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845" windowHeight="8145"/>
  </bookViews>
  <sheets>
    <sheet name="01.07.26 гос.язык" sheetId="1" r:id="rId1"/>
    <sheet name="01.07.26г." sheetId="18" r:id="rId2"/>
    <sheet name="СВОД терр" sheetId="2" state="hidden" r:id="rId3"/>
    <sheet name="по ТД (копия)" sheetId="3" state="hidden" r:id="rId4"/>
    <sheet name="передвижка платежи" sheetId="4" state="hidden" r:id="rId5"/>
    <sheet name="Передвижка обязательства" sheetId="5" state="hidden" r:id="rId6"/>
    <sheet name="НЦЭ" sheetId="6" state="hidden" r:id="rId7"/>
    <sheet name="СВОД с ЦА (анализ)" sheetId="7" state="hidden" r:id="rId8"/>
    <sheet name="ЦА" sheetId="8" state="hidden" r:id="rId9"/>
    <sheet name="ИПФ обязплат" sheetId="9" state="hidden" r:id="rId10"/>
    <sheet name="Совещание" sheetId="10" state="hidden" r:id="rId11"/>
    <sheet name="риски" sheetId="11" state="hidden" r:id="rId12"/>
    <sheet name="Капремонт" sheetId="12" state="hidden" r:id="rId13"/>
    <sheet name="ЦА ожидаемое" sheetId="13" state="hidden" r:id="rId14"/>
    <sheet name="Лист10" sheetId="14" state="hidden" r:id="rId15"/>
    <sheet name="Совещание МЗ" sheetId="15" state="hidden" r:id="rId16"/>
  </sheets>
  <calcPr calcId="144525"/>
</workbook>
</file>

<file path=xl/calcChain.xml><?xml version="1.0" encoding="utf-8"?>
<calcChain xmlns="http://schemas.openxmlformats.org/spreadsheetml/2006/main">
  <c r="I32" i="18" l="1"/>
  <c r="I33" i="18"/>
  <c r="I34" i="18"/>
  <c r="I35" i="18"/>
  <c r="I36" i="18"/>
  <c r="I37" i="18"/>
  <c r="I38" i="18"/>
  <c r="I40" i="18"/>
  <c r="I41" i="18"/>
  <c r="I42" i="18"/>
  <c r="I43" i="18"/>
  <c r="I44" i="18"/>
  <c r="I45" i="18"/>
  <c r="I46" i="18"/>
  <c r="I47" i="18"/>
  <c r="I48" i="18"/>
  <c r="I49" i="18"/>
  <c r="M32" i="18"/>
  <c r="M33" i="18"/>
  <c r="M34" i="18"/>
  <c r="M35" i="18"/>
  <c r="M36" i="18"/>
  <c r="M37" i="18"/>
  <c r="M38" i="18"/>
  <c r="M40" i="18"/>
  <c r="M41" i="18"/>
  <c r="M42" i="18"/>
  <c r="M43" i="18"/>
  <c r="M44" i="18"/>
  <c r="M45" i="18"/>
  <c r="M46" i="18"/>
  <c r="M47" i="18"/>
  <c r="M48" i="18"/>
  <c r="M49" i="18"/>
  <c r="M59" i="18"/>
  <c r="M59" i="1"/>
  <c r="M54" i="1"/>
  <c r="M55" i="1"/>
  <c r="M56" i="1"/>
  <c r="M57" i="1"/>
  <c r="M58" i="1"/>
  <c r="M32" i="1"/>
  <c r="M33" i="1"/>
  <c r="M34" i="1"/>
  <c r="M35" i="1"/>
  <c r="M36" i="1"/>
  <c r="M37" i="1"/>
  <c r="M38" i="1"/>
  <c r="M40" i="1"/>
  <c r="M41" i="1"/>
  <c r="M42" i="1"/>
  <c r="M43" i="1"/>
  <c r="M44" i="1"/>
  <c r="M45" i="1"/>
  <c r="M46" i="1"/>
  <c r="M47" i="1"/>
  <c r="M48" i="1"/>
  <c r="M49" i="1"/>
  <c r="I35" i="1"/>
  <c r="I36" i="1"/>
  <c r="I37" i="1"/>
  <c r="I38" i="1"/>
  <c r="I40" i="1"/>
  <c r="I41" i="1"/>
  <c r="I42" i="1"/>
  <c r="I43" i="1"/>
  <c r="I44" i="1"/>
  <c r="I45" i="1"/>
  <c r="I46" i="1"/>
  <c r="I47" i="1"/>
  <c r="I48" i="1"/>
  <c r="I49" i="1"/>
  <c r="I34" i="1"/>
  <c r="L48" i="1"/>
  <c r="L49" i="1"/>
  <c r="L50" i="1"/>
  <c r="H49" i="1"/>
  <c r="L49" i="18"/>
  <c r="H49" i="18"/>
  <c r="L59" i="18" l="1"/>
  <c r="I59" i="18"/>
  <c r="H59" i="18"/>
  <c r="K58" i="18"/>
  <c r="J58" i="18"/>
  <c r="G58" i="18"/>
  <c r="F58" i="18"/>
  <c r="E58" i="18"/>
  <c r="M57" i="18"/>
  <c r="L57" i="18"/>
  <c r="I57" i="18"/>
  <c r="H57" i="18"/>
  <c r="M56" i="18"/>
  <c r="L56" i="18"/>
  <c r="I56" i="18"/>
  <c r="H56" i="18"/>
  <c r="K55" i="18"/>
  <c r="J55" i="18"/>
  <c r="E55" i="18"/>
  <c r="M54" i="18"/>
  <c r="L54" i="18"/>
  <c r="I54" i="18"/>
  <c r="H54" i="18"/>
  <c r="M53" i="18"/>
  <c r="L53" i="18"/>
  <c r="I53" i="18"/>
  <c r="H53" i="18"/>
  <c r="K52" i="18"/>
  <c r="K51" i="18" s="1"/>
  <c r="J52" i="18"/>
  <c r="J51" i="18" s="1"/>
  <c r="G52" i="18"/>
  <c r="F52" i="18"/>
  <c r="F51" i="18" s="1"/>
  <c r="E52" i="18"/>
  <c r="E51" i="18" s="1"/>
  <c r="L50" i="18"/>
  <c r="H50" i="18"/>
  <c r="L48" i="18"/>
  <c r="H48" i="18"/>
  <c r="L47" i="18"/>
  <c r="H47" i="18"/>
  <c r="L46" i="18"/>
  <c r="H46" i="18"/>
  <c r="L45" i="18"/>
  <c r="H45" i="18"/>
  <c r="L44" i="18"/>
  <c r="H44" i="18"/>
  <c r="L43" i="18"/>
  <c r="H43" i="18"/>
  <c r="L42" i="18"/>
  <c r="H42" i="18"/>
  <c r="L41" i="18"/>
  <c r="H41" i="18"/>
  <c r="L40" i="18"/>
  <c r="H40" i="18"/>
  <c r="L39" i="18"/>
  <c r="H39" i="18"/>
  <c r="L38" i="18"/>
  <c r="H38" i="18"/>
  <c r="L37" i="18"/>
  <c r="H37" i="18"/>
  <c r="L36" i="18"/>
  <c r="H36" i="18"/>
  <c r="L35" i="18"/>
  <c r="H35" i="18"/>
  <c r="L34" i="18"/>
  <c r="H34" i="18"/>
  <c r="L33" i="18"/>
  <c r="H33" i="18"/>
  <c r="L32" i="18"/>
  <c r="H32" i="18"/>
  <c r="M31" i="18"/>
  <c r="L31" i="18"/>
  <c r="I31" i="18"/>
  <c r="H31" i="18"/>
  <c r="K30" i="18"/>
  <c r="J30" i="18"/>
  <c r="G30" i="18"/>
  <c r="F30" i="18"/>
  <c r="L29" i="18"/>
  <c r="H29" i="18"/>
  <c r="H28" i="18"/>
  <c r="L27" i="18"/>
  <c r="H27" i="18"/>
  <c r="L26" i="18"/>
  <c r="H26" i="18"/>
  <c r="L25" i="18"/>
  <c r="I25" i="18"/>
  <c r="H25" i="18"/>
  <c r="L24" i="18"/>
  <c r="H24" i="18"/>
  <c r="J23" i="18"/>
  <c r="G23" i="18"/>
  <c r="F23" i="18"/>
  <c r="M22" i="18"/>
  <c r="L22" i="18"/>
  <c r="I22" i="18"/>
  <c r="H22" i="18"/>
  <c r="M21" i="18"/>
  <c r="L21" i="18"/>
  <c r="I21" i="18"/>
  <c r="H21" i="18"/>
  <c r="M20" i="18"/>
  <c r="L20" i="18"/>
  <c r="I20" i="18"/>
  <c r="H20" i="18"/>
  <c r="K19" i="18"/>
  <c r="J19" i="18"/>
  <c r="G19" i="18"/>
  <c r="F19" i="18"/>
  <c r="E19" i="18"/>
  <c r="L18" i="18"/>
  <c r="M17" i="18"/>
  <c r="L17" i="18"/>
  <c r="I17" i="18"/>
  <c r="H17" i="18"/>
  <c r="M16" i="18"/>
  <c r="L16" i="18"/>
  <c r="I16" i="18"/>
  <c r="H16" i="18"/>
  <c r="M15" i="18"/>
  <c r="L15" i="18"/>
  <c r="I15" i="18"/>
  <c r="H15" i="18"/>
  <c r="L14" i="18"/>
  <c r="H14" i="18"/>
  <c r="M13" i="18"/>
  <c r="L13" i="18"/>
  <c r="I13" i="18"/>
  <c r="H13" i="18"/>
  <c r="M12" i="18"/>
  <c r="L12" i="18"/>
  <c r="I12" i="18"/>
  <c r="H12" i="18"/>
  <c r="M11" i="18"/>
  <c r="L11" i="18"/>
  <c r="I11" i="18"/>
  <c r="H11" i="18"/>
  <c r="K10" i="18"/>
  <c r="J10" i="18"/>
  <c r="G10" i="18"/>
  <c r="G9" i="18" l="1"/>
  <c r="J9" i="18"/>
  <c r="J8" i="18" s="1"/>
  <c r="I52" i="18"/>
  <c r="I58" i="18"/>
  <c r="H52" i="18"/>
  <c r="H51" i="18" s="1"/>
  <c r="L30" i="18"/>
  <c r="L52" i="18"/>
  <c r="L51" i="18" s="1"/>
  <c r="M55" i="18"/>
  <c r="H19" i="18"/>
  <c r="M51" i="18"/>
  <c r="M52" i="18"/>
  <c r="M58" i="18"/>
  <c r="I30" i="18"/>
  <c r="M30" i="18"/>
  <c r="I19" i="18"/>
  <c r="G51" i="18"/>
  <c r="I51" i="18" s="1"/>
  <c r="H30" i="18"/>
  <c r="M10" i="18"/>
  <c r="H58" i="18"/>
  <c r="M19" i="18"/>
  <c r="H23" i="18"/>
  <c r="L55" i="18"/>
  <c r="L19" i="18"/>
  <c r="L10" i="18"/>
  <c r="L58" i="18"/>
  <c r="I59" i="1"/>
  <c r="L59" i="1"/>
  <c r="L57" i="1"/>
  <c r="L56" i="1"/>
  <c r="L54" i="1"/>
  <c r="L53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25" i="1"/>
  <c r="L24" i="1"/>
  <c r="L22" i="1"/>
  <c r="L21" i="1"/>
  <c r="L20" i="1"/>
  <c r="L12" i="1"/>
  <c r="L13" i="1"/>
  <c r="L14" i="1"/>
  <c r="L15" i="1"/>
  <c r="L16" i="1"/>
  <c r="L17" i="1"/>
  <c r="L18" i="1"/>
  <c r="L11" i="1"/>
  <c r="H59" i="1"/>
  <c r="H58" i="1" s="1"/>
  <c r="H57" i="1"/>
  <c r="H56" i="1"/>
  <c r="H54" i="1"/>
  <c r="H53" i="1"/>
  <c r="H50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29" i="1"/>
  <c r="H28" i="1"/>
  <c r="H27" i="1"/>
  <c r="H26" i="1"/>
  <c r="H25" i="1"/>
  <c r="H24" i="1"/>
  <c r="H22" i="1"/>
  <c r="H21" i="1"/>
  <c r="H20" i="1"/>
  <c r="H12" i="1"/>
  <c r="H13" i="1"/>
  <c r="H14" i="1"/>
  <c r="H15" i="1"/>
  <c r="H16" i="1"/>
  <c r="H17" i="1"/>
  <c r="H11" i="1"/>
  <c r="E58" i="1"/>
  <c r="E19" i="1"/>
  <c r="E55" i="1"/>
  <c r="E52" i="1"/>
  <c r="E51" i="1" s="1"/>
  <c r="H19" i="1" l="1"/>
  <c r="G8" i="18"/>
  <c r="H52" i="1"/>
  <c r="H30" i="1"/>
  <c r="H23" i="1"/>
  <c r="E15" i="15"/>
  <c r="H13" i="14"/>
  <c r="I13" i="14" s="1"/>
  <c r="H12" i="14"/>
  <c r="H16" i="14" s="1"/>
  <c r="G11" i="14"/>
  <c r="H11" i="14" s="1"/>
  <c r="O11" i="14" s="1"/>
  <c r="H10" i="14"/>
  <c r="E10" i="14"/>
  <c r="D9" i="14"/>
  <c r="E9" i="14" s="1"/>
  <c r="I9" i="14" s="1"/>
  <c r="E8" i="14"/>
  <c r="I8" i="14" s="1"/>
  <c r="E7" i="14"/>
  <c r="D7" i="14"/>
  <c r="E6" i="14"/>
  <c r="I6" i="14" s="1"/>
  <c r="I5" i="14"/>
  <c r="G5" i="14"/>
  <c r="D5" i="14"/>
  <c r="H54" i="13"/>
  <c r="G54" i="13"/>
  <c r="I54" i="13" s="1"/>
  <c r="F54" i="13"/>
  <c r="E54" i="13"/>
  <c r="G52" i="13"/>
  <c r="F52" i="13"/>
  <c r="E52" i="13"/>
  <c r="J52" i="13" s="1"/>
  <c r="G50" i="13"/>
  <c r="F50" i="13"/>
  <c r="E50" i="13"/>
  <c r="H49" i="13"/>
  <c r="G49" i="13"/>
  <c r="F49" i="13"/>
  <c r="E49" i="13"/>
  <c r="J49" i="13" s="1"/>
  <c r="H46" i="13"/>
  <c r="G46" i="13"/>
  <c r="F46" i="13"/>
  <c r="E46" i="13"/>
  <c r="H45" i="13"/>
  <c r="G45" i="13"/>
  <c r="F45" i="13"/>
  <c r="E45" i="13"/>
  <c r="J45" i="13" s="1"/>
  <c r="I44" i="13"/>
  <c r="H44" i="13"/>
  <c r="G44" i="13"/>
  <c r="F44" i="13"/>
  <c r="E44" i="13"/>
  <c r="J44" i="13" s="1"/>
  <c r="H43" i="13"/>
  <c r="G43" i="13"/>
  <c r="F43" i="13"/>
  <c r="E43" i="13"/>
  <c r="J43" i="13" s="1"/>
  <c r="G42" i="13"/>
  <c r="F42" i="13"/>
  <c r="E42" i="13"/>
  <c r="P41" i="13"/>
  <c r="H41" i="13"/>
  <c r="J41" i="13" s="1"/>
  <c r="O41" i="13" s="1"/>
  <c r="G41" i="13"/>
  <c r="F41" i="13"/>
  <c r="E41" i="13"/>
  <c r="I41" i="13" s="1"/>
  <c r="H40" i="13"/>
  <c r="G40" i="13"/>
  <c r="F40" i="13"/>
  <c r="E40" i="13"/>
  <c r="H39" i="13"/>
  <c r="G39" i="13"/>
  <c r="F39" i="13"/>
  <c r="E39" i="13"/>
  <c r="J39" i="13" s="1"/>
  <c r="N39" i="13" s="1"/>
  <c r="P39" i="13" s="1"/>
  <c r="H38" i="13"/>
  <c r="G38" i="13"/>
  <c r="I38" i="13" s="1"/>
  <c r="F38" i="13"/>
  <c r="E38" i="13"/>
  <c r="H37" i="13"/>
  <c r="G37" i="13"/>
  <c r="F37" i="13"/>
  <c r="E37" i="13"/>
  <c r="H36" i="13"/>
  <c r="J36" i="13" s="1"/>
  <c r="G36" i="13"/>
  <c r="F36" i="13"/>
  <c r="E36" i="13"/>
  <c r="H35" i="13"/>
  <c r="G35" i="13"/>
  <c r="F35" i="13"/>
  <c r="E35" i="13"/>
  <c r="G34" i="13"/>
  <c r="I34" i="13" s="1"/>
  <c r="F34" i="13"/>
  <c r="E34" i="13"/>
  <c r="G33" i="13"/>
  <c r="F33" i="13"/>
  <c r="E33" i="13"/>
  <c r="G32" i="13"/>
  <c r="F32" i="13"/>
  <c r="E32" i="13"/>
  <c r="I32" i="13" s="1"/>
  <c r="G31" i="13"/>
  <c r="F31" i="13"/>
  <c r="E31" i="13"/>
  <c r="I31" i="13" s="1"/>
  <c r="G30" i="13"/>
  <c r="F30" i="13"/>
  <c r="E30" i="13"/>
  <c r="G29" i="13"/>
  <c r="F29" i="13"/>
  <c r="E29" i="13"/>
  <c r="O28" i="13"/>
  <c r="G28" i="13"/>
  <c r="F28" i="13"/>
  <c r="E28" i="13"/>
  <c r="I28" i="13" s="1"/>
  <c r="G27" i="13"/>
  <c r="F27" i="13"/>
  <c r="E27" i="13"/>
  <c r="H25" i="13"/>
  <c r="G25" i="13"/>
  <c r="F25" i="13"/>
  <c r="E25" i="13"/>
  <c r="I24" i="13"/>
  <c r="H24" i="13"/>
  <c r="G24" i="13"/>
  <c r="F24" i="13"/>
  <c r="E24" i="13"/>
  <c r="J24" i="13" s="1"/>
  <c r="H23" i="13"/>
  <c r="G23" i="13"/>
  <c r="F23" i="13"/>
  <c r="E23" i="13"/>
  <c r="J23" i="13" s="1"/>
  <c r="H22" i="13"/>
  <c r="G22" i="13"/>
  <c r="F22" i="13"/>
  <c r="E22" i="13"/>
  <c r="J22" i="13" s="1"/>
  <c r="H21" i="13"/>
  <c r="G21" i="13"/>
  <c r="F21" i="13"/>
  <c r="E21" i="13"/>
  <c r="I21" i="13" s="1"/>
  <c r="H20" i="13"/>
  <c r="G20" i="13"/>
  <c r="F20" i="13"/>
  <c r="E20" i="13"/>
  <c r="P18" i="13"/>
  <c r="H18" i="13"/>
  <c r="G18" i="13"/>
  <c r="F18" i="13"/>
  <c r="E18" i="13"/>
  <c r="H17" i="13"/>
  <c r="G17" i="13"/>
  <c r="F17" i="13"/>
  <c r="E17" i="13"/>
  <c r="J17" i="13" s="1"/>
  <c r="I16" i="13"/>
  <c r="H16" i="13"/>
  <c r="G16" i="13"/>
  <c r="F16" i="13"/>
  <c r="E16" i="13"/>
  <c r="H14" i="13"/>
  <c r="J14" i="13" s="1"/>
  <c r="G14" i="13"/>
  <c r="F14" i="13"/>
  <c r="E14" i="13"/>
  <c r="I14" i="13" s="1"/>
  <c r="H13" i="13"/>
  <c r="G13" i="13"/>
  <c r="F13" i="13"/>
  <c r="E13" i="13"/>
  <c r="J13" i="13" s="1"/>
  <c r="I12" i="13"/>
  <c r="H12" i="13"/>
  <c r="G12" i="13"/>
  <c r="F12" i="13"/>
  <c r="E12" i="13"/>
  <c r="J12" i="13" s="1"/>
  <c r="H11" i="13"/>
  <c r="G11" i="13"/>
  <c r="F11" i="13"/>
  <c r="E11" i="13"/>
  <c r="J11" i="13" s="1"/>
  <c r="H10" i="13"/>
  <c r="G10" i="13"/>
  <c r="F10" i="13"/>
  <c r="E10" i="13"/>
  <c r="H9" i="13"/>
  <c r="G9" i="13"/>
  <c r="F9" i="13"/>
  <c r="E9" i="13"/>
  <c r="I8" i="13"/>
  <c r="G8" i="13"/>
  <c r="F8" i="13"/>
  <c r="E8" i="13"/>
  <c r="G7" i="13"/>
  <c r="I7" i="13" s="1"/>
  <c r="F7" i="13"/>
  <c r="E7" i="13"/>
  <c r="E29" i="12"/>
  <c r="I16" i="11"/>
  <c r="I15" i="11"/>
  <c r="E11" i="11"/>
  <c r="E8" i="11" s="1"/>
  <c r="I10" i="11"/>
  <c r="B112" i="10"/>
  <c r="B111" i="10"/>
  <c r="B110" i="10"/>
  <c r="B109" i="10"/>
  <c r="B108" i="10"/>
  <c r="B107" i="10"/>
  <c r="B106" i="10"/>
  <c r="B105" i="10"/>
  <c r="B104" i="10"/>
  <c r="B103" i="10"/>
  <c r="B102" i="10"/>
  <c r="B101" i="10"/>
  <c r="B100" i="10"/>
  <c r="B99" i="10"/>
  <c r="B98" i="10"/>
  <c r="B97" i="10"/>
  <c r="B96" i="10"/>
  <c r="B95" i="10"/>
  <c r="B94" i="10"/>
  <c r="B93" i="10"/>
  <c r="B92" i="10"/>
  <c r="B26" i="10"/>
  <c r="B25" i="10"/>
  <c r="B24" i="10"/>
  <c r="B23" i="10"/>
  <c r="B22" i="10"/>
  <c r="B21" i="10"/>
  <c r="B20" i="10"/>
  <c r="B19" i="10"/>
  <c r="B18" i="10"/>
  <c r="H17" i="10"/>
  <c r="B17" i="10"/>
  <c r="B16" i="10"/>
  <c r="H15" i="10"/>
  <c r="B15" i="10"/>
  <c r="B14" i="10"/>
  <c r="B13" i="10"/>
  <c r="B12" i="10"/>
  <c r="B11" i="10"/>
  <c r="B10" i="10"/>
  <c r="B9" i="10"/>
  <c r="H8" i="10"/>
  <c r="B8" i="10"/>
  <c r="H7" i="10"/>
  <c r="B7" i="10"/>
  <c r="B6" i="10"/>
  <c r="L4" i="10"/>
  <c r="J4" i="10"/>
  <c r="H4" i="10"/>
  <c r="G200" i="9"/>
  <c r="S145" i="9"/>
  <c r="R145" i="9"/>
  <c r="Q145" i="9"/>
  <c r="P145" i="9"/>
  <c r="O145" i="9"/>
  <c r="N145" i="9"/>
  <c r="M145" i="9"/>
  <c r="L145" i="9"/>
  <c r="K145" i="9"/>
  <c r="J145" i="9"/>
  <c r="I145" i="9"/>
  <c r="M144" i="9"/>
  <c r="K144" i="9"/>
  <c r="S141" i="9"/>
  <c r="R141" i="9"/>
  <c r="R138" i="9" s="1"/>
  <c r="J140" i="9"/>
  <c r="J139" i="9"/>
  <c r="Q138" i="9"/>
  <c r="P138" i="9"/>
  <c r="O138" i="9"/>
  <c r="N138" i="9"/>
  <c r="M138" i="9"/>
  <c r="L138" i="9"/>
  <c r="K138" i="9"/>
  <c r="I138" i="9"/>
  <c r="N132" i="9"/>
  <c r="S129" i="9"/>
  <c r="R129" i="9"/>
  <c r="Q129" i="9"/>
  <c r="P129" i="9"/>
  <c r="O129" i="9"/>
  <c r="N129" i="9"/>
  <c r="M129" i="9"/>
  <c r="L129" i="9"/>
  <c r="K129" i="9"/>
  <c r="J129" i="9"/>
  <c r="I129" i="9"/>
  <c r="H129" i="9"/>
  <c r="N128" i="9"/>
  <c r="L128" i="9"/>
  <c r="L119" i="9" s="1"/>
  <c r="K128" i="9"/>
  <c r="K119" i="9" s="1"/>
  <c r="J128" i="9"/>
  <c r="J119" i="9" s="1"/>
  <c r="S126" i="9"/>
  <c r="I126" i="9"/>
  <c r="G126" i="9" s="1"/>
  <c r="G125" i="9"/>
  <c r="I124" i="9"/>
  <c r="G124" i="9" s="1"/>
  <c r="S123" i="9"/>
  <c r="I123" i="9"/>
  <c r="I128" i="9" s="1"/>
  <c r="G122" i="9"/>
  <c r="G121" i="9"/>
  <c r="G120" i="9"/>
  <c r="S119" i="9"/>
  <c r="R119" i="9"/>
  <c r="Q119" i="9"/>
  <c r="P119" i="9"/>
  <c r="O119" i="9"/>
  <c r="N119" i="9"/>
  <c r="M119" i="9"/>
  <c r="S118" i="9"/>
  <c r="R118" i="9"/>
  <c r="Q118" i="9"/>
  <c r="P118" i="9"/>
  <c r="O118" i="9"/>
  <c r="N118" i="9"/>
  <c r="M118" i="9"/>
  <c r="L118" i="9"/>
  <c r="K118" i="9"/>
  <c r="J118" i="9"/>
  <c r="G118" i="9" s="1"/>
  <c r="I118" i="9"/>
  <c r="H118" i="9"/>
  <c r="S117" i="9"/>
  <c r="R117" i="9"/>
  <c r="Q117" i="9"/>
  <c r="P117" i="9"/>
  <c r="O117" i="9"/>
  <c r="N117" i="9"/>
  <c r="M117" i="9"/>
  <c r="L117" i="9"/>
  <c r="K117" i="9"/>
  <c r="J117" i="9"/>
  <c r="I117" i="9"/>
  <c r="H117" i="9"/>
  <c r="S116" i="9"/>
  <c r="R116" i="9"/>
  <c r="Q116" i="9"/>
  <c r="P116" i="9"/>
  <c r="O116" i="9"/>
  <c r="N116" i="9"/>
  <c r="M116" i="9"/>
  <c r="L116" i="9"/>
  <c r="K116" i="9"/>
  <c r="J116" i="9"/>
  <c r="I116" i="9"/>
  <c r="H116" i="9"/>
  <c r="G98" i="9"/>
  <c r="G97" i="9" s="1"/>
  <c r="S97" i="9"/>
  <c r="R97" i="9"/>
  <c r="Q97" i="9"/>
  <c r="P97" i="9"/>
  <c r="O97" i="9"/>
  <c r="N97" i="9"/>
  <c r="M97" i="9"/>
  <c r="L97" i="9"/>
  <c r="K97" i="9"/>
  <c r="J97" i="9"/>
  <c r="I97" i="9"/>
  <c r="H97" i="9"/>
  <c r="G96" i="9"/>
  <c r="G94" i="9"/>
  <c r="G93" i="9"/>
  <c r="G92" i="9" s="1"/>
  <c r="G91" i="9" s="1"/>
  <c r="N92" i="9"/>
  <c r="G90" i="9"/>
  <c r="G86" i="9"/>
  <c r="G85" i="9" s="1"/>
  <c r="G83" i="9"/>
  <c r="G82" i="9"/>
  <c r="G81" i="9"/>
  <c r="H80" i="9"/>
  <c r="G80" i="9"/>
  <c r="G79" i="9"/>
  <c r="G78" i="9"/>
  <c r="G77" i="9"/>
  <c r="G76" i="9"/>
  <c r="S75" i="9"/>
  <c r="S53" i="9" s="1"/>
  <c r="R75" i="9"/>
  <c r="Q75" i="9"/>
  <c r="P75" i="9"/>
  <c r="P53" i="9" s="1"/>
  <c r="O75" i="9"/>
  <c r="O53" i="9" s="1"/>
  <c r="N75" i="9"/>
  <c r="M75" i="9"/>
  <c r="L75" i="9"/>
  <c r="L53" i="9" s="1"/>
  <c r="K75" i="9"/>
  <c r="J75" i="9"/>
  <c r="I75" i="9"/>
  <c r="H75" i="9"/>
  <c r="H53" i="9" s="1"/>
  <c r="G74" i="9"/>
  <c r="G73" i="9"/>
  <c r="G72" i="9"/>
  <c r="G71" i="9"/>
  <c r="G70" i="9"/>
  <c r="G69" i="9"/>
  <c r="G68" i="9"/>
  <c r="G67" i="9"/>
  <c r="G66" i="9"/>
  <c r="G65" i="9"/>
  <c r="G64" i="9"/>
  <c r="G63" i="9"/>
  <c r="G62" i="9"/>
  <c r="I61" i="9"/>
  <c r="G61" i="9"/>
  <c r="G60" i="9"/>
  <c r="G59" i="9"/>
  <c r="G58" i="9"/>
  <c r="G57" i="9"/>
  <c r="G56" i="9"/>
  <c r="G55" i="9"/>
  <c r="G54" i="9"/>
  <c r="R53" i="9"/>
  <c r="Q53" i="9"/>
  <c r="N53" i="9"/>
  <c r="M53" i="9"/>
  <c r="K53" i="9"/>
  <c r="J53" i="9"/>
  <c r="I53" i="9"/>
  <c r="G52" i="9"/>
  <c r="G51" i="9"/>
  <c r="G50" i="9"/>
  <c r="G49" i="9"/>
  <c r="S48" i="9"/>
  <c r="S46" i="9" s="1"/>
  <c r="R48" i="9"/>
  <c r="Q48" i="9"/>
  <c r="P48" i="9"/>
  <c r="P46" i="9" s="1"/>
  <c r="O48" i="9"/>
  <c r="N48" i="9"/>
  <c r="M48" i="9"/>
  <c r="M46" i="9" s="1"/>
  <c r="L48" i="9"/>
  <c r="L46" i="9" s="1"/>
  <c r="K48" i="9"/>
  <c r="K46" i="9" s="1"/>
  <c r="J48" i="9"/>
  <c r="I48" i="9"/>
  <c r="H48" i="9"/>
  <c r="G47" i="9"/>
  <c r="R46" i="9"/>
  <c r="Q46" i="9"/>
  <c r="O46" i="9"/>
  <c r="N46" i="9"/>
  <c r="J46" i="9"/>
  <c r="I46" i="9"/>
  <c r="S41" i="9"/>
  <c r="R41" i="9"/>
  <c r="Q41" i="9"/>
  <c r="P41" i="9"/>
  <c r="O41" i="9"/>
  <c r="N41" i="9"/>
  <c r="M41" i="9"/>
  <c r="L41" i="9"/>
  <c r="K41" i="9"/>
  <c r="J41" i="9"/>
  <c r="I41" i="9"/>
  <c r="H41" i="9"/>
  <c r="S37" i="9"/>
  <c r="S30" i="9" s="1"/>
  <c r="R37" i="9"/>
  <c r="R30" i="9" s="1"/>
  <c r="Q37" i="9"/>
  <c r="P37" i="9"/>
  <c r="O37" i="9"/>
  <c r="N37" i="9"/>
  <c r="M37" i="9"/>
  <c r="M30" i="9" s="1"/>
  <c r="L37" i="9"/>
  <c r="L30" i="9" s="1"/>
  <c r="K37" i="9"/>
  <c r="K30" i="9" s="1"/>
  <c r="J37" i="9"/>
  <c r="H37" i="9"/>
  <c r="J31" i="9"/>
  <c r="I31" i="9"/>
  <c r="I30" i="9" s="1"/>
  <c r="H31" i="9"/>
  <c r="Q30" i="9"/>
  <c r="P30" i="9"/>
  <c r="N30" i="9"/>
  <c r="S28" i="9"/>
  <c r="R28" i="9"/>
  <c r="Q28" i="9"/>
  <c r="P28" i="9"/>
  <c r="O28" i="9"/>
  <c r="N28" i="9"/>
  <c r="M28" i="9"/>
  <c r="L28" i="9"/>
  <c r="K28" i="9"/>
  <c r="J28" i="9"/>
  <c r="I28" i="9"/>
  <c r="H28" i="9"/>
  <c r="S20" i="9"/>
  <c r="R20" i="9"/>
  <c r="Q20" i="9"/>
  <c r="P20" i="9"/>
  <c r="O20" i="9"/>
  <c r="O16" i="9" s="1"/>
  <c r="N20" i="9"/>
  <c r="M20" i="9"/>
  <c r="L20" i="9"/>
  <c r="K20" i="9"/>
  <c r="J20" i="9"/>
  <c r="I20" i="9"/>
  <c r="I16" i="9" s="1"/>
  <c r="H20" i="9"/>
  <c r="G19" i="9"/>
  <c r="G18" i="9"/>
  <c r="G17" i="9"/>
  <c r="L16" i="9"/>
  <c r="O72" i="8"/>
  <c r="O70" i="8"/>
  <c r="O69" i="8"/>
  <c r="O66" i="8"/>
  <c r="N61" i="8"/>
  <c r="M61" i="8"/>
  <c r="I61" i="8"/>
  <c r="H61" i="8"/>
  <c r="L60" i="8"/>
  <c r="K60" i="8"/>
  <c r="H60" i="8"/>
  <c r="G60" i="8"/>
  <c r="G53" i="13" s="1"/>
  <c r="F60" i="8"/>
  <c r="F53" i="13" s="1"/>
  <c r="E60" i="8"/>
  <c r="M59" i="8"/>
  <c r="H59" i="8"/>
  <c r="L58" i="8"/>
  <c r="H52" i="13" s="1"/>
  <c r="K58" i="8"/>
  <c r="I58" i="8"/>
  <c r="H58" i="8"/>
  <c r="H57" i="8" s="1"/>
  <c r="I57" i="8"/>
  <c r="G57" i="8"/>
  <c r="F57" i="8"/>
  <c r="F51" i="13" s="1"/>
  <c r="E57" i="8"/>
  <c r="E51" i="13" s="1"/>
  <c r="L56" i="8"/>
  <c r="H50" i="13" s="1"/>
  <c r="K56" i="8"/>
  <c r="I56" i="8"/>
  <c r="H56" i="8"/>
  <c r="N55" i="8"/>
  <c r="M55" i="8"/>
  <c r="I55" i="8"/>
  <c r="H55" i="8"/>
  <c r="H54" i="8"/>
  <c r="G54" i="8"/>
  <c r="F54" i="8"/>
  <c r="F48" i="13" s="1"/>
  <c r="E54" i="8"/>
  <c r="E48" i="13" s="1"/>
  <c r="H53" i="8"/>
  <c r="E53" i="8"/>
  <c r="E47" i="13" s="1"/>
  <c r="I52" i="8"/>
  <c r="I51" i="8"/>
  <c r="I50" i="8"/>
  <c r="I49" i="8"/>
  <c r="L48" i="8"/>
  <c r="H42" i="13" s="1"/>
  <c r="J42" i="13" s="1"/>
  <c r="K48" i="8"/>
  <c r="I48" i="8"/>
  <c r="H48" i="8"/>
  <c r="N47" i="8"/>
  <c r="M47" i="8"/>
  <c r="I47" i="8"/>
  <c r="H47" i="8"/>
  <c r="I46" i="8"/>
  <c r="N45" i="8"/>
  <c r="M45" i="8"/>
  <c r="O73" i="8" s="1"/>
  <c r="T6" i="3" s="1"/>
  <c r="I45" i="8"/>
  <c r="H45" i="8"/>
  <c r="N44" i="8"/>
  <c r="M44" i="8"/>
  <c r="I44" i="8"/>
  <c r="H44" i="8"/>
  <c r="I43" i="8"/>
  <c r="N42" i="8"/>
  <c r="M42" i="8"/>
  <c r="I42" i="8"/>
  <c r="H42" i="8"/>
  <c r="I41" i="8"/>
  <c r="I39" i="8"/>
  <c r="L38" i="8"/>
  <c r="K38" i="8"/>
  <c r="I38" i="8"/>
  <c r="H38" i="8"/>
  <c r="L37" i="8"/>
  <c r="H33" i="13" s="1"/>
  <c r="K37" i="8"/>
  <c r="M37" i="8" s="1"/>
  <c r="I37" i="8"/>
  <c r="H37" i="8"/>
  <c r="L36" i="8"/>
  <c r="H32" i="13" s="1"/>
  <c r="K36" i="8"/>
  <c r="M36" i="8" s="1"/>
  <c r="I36" i="8"/>
  <c r="H36" i="8"/>
  <c r="M35" i="8"/>
  <c r="L35" i="8"/>
  <c r="H31" i="13" s="1"/>
  <c r="K35" i="8"/>
  <c r="I35" i="8"/>
  <c r="H35" i="8"/>
  <c r="L34" i="8"/>
  <c r="L33" i="8"/>
  <c r="K33" i="8"/>
  <c r="M33" i="8" s="1"/>
  <c r="I33" i="8"/>
  <c r="H33" i="8"/>
  <c r="L32" i="8"/>
  <c r="H28" i="13" s="1"/>
  <c r="K32" i="8"/>
  <c r="N32" i="8" s="1"/>
  <c r="I32" i="8"/>
  <c r="H32" i="8"/>
  <c r="L31" i="8"/>
  <c r="K31" i="8"/>
  <c r="I31" i="8"/>
  <c r="H31" i="8"/>
  <c r="G30" i="8"/>
  <c r="G26" i="13" s="1"/>
  <c r="F30" i="8"/>
  <c r="E30" i="8"/>
  <c r="N26" i="8"/>
  <c r="M26" i="8"/>
  <c r="O68" i="8" s="1"/>
  <c r="I26" i="8"/>
  <c r="H26" i="8"/>
  <c r="N25" i="8"/>
  <c r="M25" i="8"/>
  <c r="M23" i="8" s="1"/>
  <c r="I25" i="8"/>
  <c r="H25" i="8"/>
  <c r="H23" i="8" s="1"/>
  <c r="L23" i="8"/>
  <c r="H19" i="13" s="1"/>
  <c r="K23" i="8"/>
  <c r="G23" i="8"/>
  <c r="G19" i="13" s="1"/>
  <c r="F23" i="8"/>
  <c r="E23" i="8"/>
  <c r="E19" i="13" s="1"/>
  <c r="N22" i="8"/>
  <c r="M22" i="8"/>
  <c r="I22" i="8"/>
  <c r="H22" i="8"/>
  <c r="N21" i="8"/>
  <c r="M21" i="8"/>
  <c r="I21" i="8"/>
  <c r="H21" i="8"/>
  <c r="N20" i="8"/>
  <c r="M20" i="8"/>
  <c r="I20" i="8"/>
  <c r="H20" i="8"/>
  <c r="H19" i="8" s="1"/>
  <c r="L19" i="8"/>
  <c r="K19" i="8"/>
  <c r="G19" i="8"/>
  <c r="F19" i="8"/>
  <c r="F15" i="13" s="1"/>
  <c r="E19" i="8"/>
  <c r="N16" i="8"/>
  <c r="M16" i="8"/>
  <c r="I16" i="8"/>
  <c r="H16" i="8"/>
  <c r="M15" i="8"/>
  <c r="H15" i="8"/>
  <c r="M14" i="8"/>
  <c r="H14" i="8"/>
  <c r="M13" i="8"/>
  <c r="H13" i="8"/>
  <c r="L12" i="8"/>
  <c r="H8" i="13" s="1"/>
  <c r="K12" i="8"/>
  <c r="K10" i="8" s="1"/>
  <c r="I12" i="8"/>
  <c r="H12" i="8"/>
  <c r="N11" i="8"/>
  <c r="M11" i="8"/>
  <c r="L11" i="8"/>
  <c r="H7" i="13" s="1"/>
  <c r="K11" i="8"/>
  <c r="I11" i="8"/>
  <c r="H11" i="8"/>
  <c r="J10" i="8"/>
  <c r="G10" i="8"/>
  <c r="G9" i="8" s="1"/>
  <c r="F10" i="8"/>
  <c r="E10" i="8"/>
  <c r="E6" i="13" s="1"/>
  <c r="A2" i="8"/>
  <c r="AS81" i="7"/>
  <c r="AS80" i="7" s="1"/>
  <c r="AR81" i="7"/>
  <c r="AR80" i="7" s="1"/>
  <c r="AQ81" i="7"/>
  <c r="AQ80" i="7" s="1"/>
  <c r="AP81" i="7"/>
  <c r="AP80" i="7" s="1"/>
  <c r="AO81" i="7"/>
  <c r="AO80" i="7" s="1"/>
  <c r="AN81" i="7"/>
  <c r="AM81" i="7"/>
  <c r="AM80" i="7" s="1"/>
  <c r="AL81" i="7"/>
  <c r="AL80" i="7" s="1"/>
  <c r="AK81" i="7"/>
  <c r="AK80" i="7" s="1"/>
  <c r="AJ81" i="7"/>
  <c r="AJ80" i="7" s="1"/>
  <c r="AI81" i="7"/>
  <c r="AI80" i="7" s="1"/>
  <c r="AH81" i="7"/>
  <c r="AG81" i="7"/>
  <c r="AG80" i="7" s="1"/>
  <c r="AF81" i="7"/>
  <c r="AE81" i="7"/>
  <c r="AE80" i="7" s="1"/>
  <c r="AD81" i="7"/>
  <c r="AD80" i="7" s="1"/>
  <c r="AC81" i="7"/>
  <c r="AC80" i="7" s="1"/>
  <c r="AB81" i="7"/>
  <c r="AB80" i="7" s="1"/>
  <c r="AA81" i="7"/>
  <c r="AA80" i="7" s="1"/>
  <c r="Z81" i="7"/>
  <c r="Z80" i="7" s="1"/>
  <c r="Y81" i="7"/>
  <c r="Y80" i="7" s="1"/>
  <c r="R81" i="7"/>
  <c r="AN80" i="7"/>
  <c r="AH80" i="7"/>
  <c r="AF80" i="7"/>
  <c r="R80" i="7"/>
  <c r="AU77" i="7"/>
  <c r="AT77" i="7"/>
  <c r="AS77" i="7"/>
  <c r="AR77" i="7"/>
  <c r="AQ77" i="7"/>
  <c r="AP77" i="7"/>
  <c r="AO77" i="7"/>
  <c r="AN77" i="7"/>
  <c r="AM77" i="7"/>
  <c r="AL77" i="7"/>
  <c r="AK77" i="7"/>
  <c r="AJ77" i="7"/>
  <c r="AI77" i="7"/>
  <c r="AH77" i="7"/>
  <c r="AG77" i="7"/>
  <c r="AF77" i="7"/>
  <c r="AE77" i="7"/>
  <c r="AD77" i="7"/>
  <c r="AC77" i="7"/>
  <c r="AB77" i="7"/>
  <c r="AA77" i="7"/>
  <c r="V60" i="7"/>
  <c r="Q60" i="7"/>
  <c r="L60" i="7"/>
  <c r="N60" i="7" s="1"/>
  <c r="K60" i="7"/>
  <c r="H60" i="7"/>
  <c r="G60" i="7"/>
  <c r="F60" i="7"/>
  <c r="I60" i="7" s="1"/>
  <c r="E60" i="7"/>
  <c r="Q58" i="7"/>
  <c r="Q57" i="7"/>
  <c r="Q56" i="7"/>
  <c r="V55" i="7"/>
  <c r="Q55" i="7"/>
  <c r="Q54" i="7"/>
  <c r="V52" i="7"/>
  <c r="Q52" i="7"/>
  <c r="V51" i="7"/>
  <c r="Q51" i="7"/>
  <c r="V50" i="7"/>
  <c r="Q50" i="7"/>
  <c r="V49" i="7"/>
  <c r="Q49" i="7"/>
  <c r="V48" i="7"/>
  <c r="Q48" i="7"/>
  <c r="V47" i="7"/>
  <c r="Q47" i="7"/>
  <c r="F62" i="10" s="1"/>
  <c r="V46" i="7"/>
  <c r="Q46" i="7"/>
  <c r="V45" i="7"/>
  <c r="Q45" i="7"/>
  <c r="V44" i="7"/>
  <c r="Q44" i="7"/>
  <c r="V43" i="7"/>
  <c r="Q43" i="7"/>
  <c r="V42" i="7"/>
  <c r="Q42" i="7"/>
  <c r="V41" i="7"/>
  <c r="Q41" i="7"/>
  <c r="V39" i="7"/>
  <c r="Q39" i="7"/>
  <c r="V38" i="7"/>
  <c r="Q38" i="7"/>
  <c r="V37" i="7"/>
  <c r="Q37" i="7"/>
  <c r="V36" i="7"/>
  <c r="Q36" i="7"/>
  <c r="V35" i="7"/>
  <c r="Q35" i="7"/>
  <c r="Q34" i="7"/>
  <c r="V33" i="7"/>
  <c r="Q33" i="7"/>
  <c r="V32" i="7"/>
  <c r="Q32" i="7"/>
  <c r="V31" i="7"/>
  <c r="Q31" i="7"/>
  <c r="Q30" i="7"/>
  <c r="V29" i="7"/>
  <c r="Q29" i="7"/>
  <c r="V28" i="7"/>
  <c r="Q28" i="7"/>
  <c r="V27" i="7"/>
  <c r="Q27" i="7"/>
  <c r="V26" i="7"/>
  <c r="Q26" i="7"/>
  <c r="V25" i="7"/>
  <c r="Q25" i="7"/>
  <c r="V24" i="7"/>
  <c r="Q24" i="7"/>
  <c r="V23" i="7"/>
  <c r="Q23" i="7"/>
  <c r="V22" i="7"/>
  <c r="Q22" i="7"/>
  <c r="V21" i="7"/>
  <c r="Q21" i="7"/>
  <c r="V20" i="7"/>
  <c r="Q20" i="7"/>
  <c r="V18" i="7"/>
  <c r="Q18" i="7"/>
  <c r="V17" i="7"/>
  <c r="Q17" i="7"/>
  <c r="V16" i="7"/>
  <c r="Q16" i="7"/>
  <c r="V15" i="7"/>
  <c r="Q15" i="7"/>
  <c r="V14" i="7"/>
  <c r="Q14" i="7"/>
  <c r="V13" i="7"/>
  <c r="Q13" i="7"/>
  <c r="V12" i="7"/>
  <c r="Q12" i="7"/>
  <c r="V11" i="7"/>
  <c r="Q11" i="7"/>
  <c r="Q10" i="7"/>
  <c r="T3" i="7"/>
  <c r="Q3" i="7"/>
  <c r="X2" i="7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1" i="6"/>
  <c r="D40" i="6"/>
  <c r="D39" i="6"/>
  <c r="D38" i="6"/>
  <c r="P37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Q20" i="6"/>
  <c r="D20" i="6"/>
  <c r="S19" i="6"/>
  <c r="D17" i="6"/>
  <c r="Q14" i="6"/>
  <c r="Q12" i="6"/>
  <c r="Q11" i="6"/>
  <c r="Q10" i="6"/>
  <c r="E4" i="6"/>
  <c r="H31" i="5"/>
  <c r="F31" i="5"/>
  <c r="F30" i="5"/>
  <c r="G29" i="5"/>
  <c r="F29" i="5"/>
  <c r="H27" i="5"/>
  <c r="L26" i="5"/>
  <c r="K26" i="5"/>
  <c r="J26" i="5"/>
  <c r="I26" i="5"/>
  <c r="E26" i="5"/>
  <c r="D26" i="5"/>
  <c r="D32" i="5" s="1"/>
  <c r="C26" i="5"/>
  <c r="I25" i="5"/>
  <c r="G25" i="5"/>
  <c r="F25" i="5"/>
  <c r="H25" i="5" s="1"/>
  <c r="F24" i="5"/>
  <c r="H24" i="5" s="1"/>
  <c r="F23" i="5"/>
  <c r="H23" i="5" s="1"/>
  <c r="F22" i="5"/>
  <c r="H22" i="5" s="1"/>
  <c r="F21" i="5"/>
  <c r="H21" i="5" s="1"/>
  <c r="J20" i="5"/>
  <c r="I20" i="5"/>
  <c r="G20" i="5"/>
  <c r="F20" i="5"/>
  <c r="J19" i="5"/>
  <c r="I19" i="5"/>
  <c r="G19" i="5"/>
  <c r="H19" i="5" s="1"/>
  <c r="F19" i="5"/>
  <c r="J18" i="5"/>
  <c r="I18" i="5"/>
  <c r="H18" i="5"/>
  <c r="G18" i="5"/>
  <c r="F18" i="5"/>
  <c r="J17" i="5"/>
  <c r="I17" i="5"/>
  <c r="G17" i="5"/>
  <c r="H17" i="5" s="1"/>
  <c r="F17" i="5"/>
  <c r="M16" i="5"/>
  <c r="J16" i="5"/>
  <c r="G16" i="5"/>
  <c r="F16" i="5"/>
  <c r="H16" i="5" s="1"/>
  <c r="H15" i="5"/>
  <c r="G15" i="5"/>
  <c r="F15" i="5"/>
  <c r="L14" i="5"/>
  <c r="K14" i="5"/>
  <c r="E14" i="5"/>
  <c r="D14" i="5"/>
  <c r="C14" i="5"/>
  <c r="H13" i="5"/>
  <c r="F13" i="5"/>
  <c r="F12" i="5"/>
  <c r="L11" i="5"/>
  <c r="K11" i="5"/>
  <c r="J11" i="5"/>
  <c r="I11" i="5"/>
  <c r="G11" i="5"/>
  <c r="E11" i="5"/>
  <c r="D11" i="5"/>
  <c r="C11" i="5"/>
  <c r="F10" i="5"/>
  <c r="H10" i="5" s="1"/>
  <c r="J10" i="5" s="1"/>
  <c r="J7" i="5" s="1"/>
  <c r="F9" i="5"/>
  <c r="H9" i="5" s="1"/>
  <c r="I8" i="5"/>
  <c r="I7" i="5" s="1"/>
  <c r="F8" i="5"/>
  <c r="L7" i="5"/>
  <c r="K7" i="5"/>
  <c r="G7" i="5"/>
  <c r="E7" i="5"/>
  <c r="D7" i="5"/>
  <c r="C7" i="5"/>
  <c r="G6" i="5"/>
  <c r="C6" i="5"/>
  <c r="F6" i="5" s="1"/>
  <c r="H6" i="5" s="1"/>
  <c r="J5" i="5"/>
  <c r="I5" i="5"/>
  <c r="G5" i="5"/>
  <c r="C5" i="5"/>
  <c r="F5" i="5" s="1"/>
  <c r="H5" i="5" s="1"/>
  <c r="J4" i="5"/>
  <c r="I4" i="5"/>
  <c r="G4" i="5"/>
  <c r="C4" i="5"/>
  <c r="F4" i="5" s="1"/>
  <c r="F3" i="5" s="1"/>
  <c r="L3" i="5"/>
  <c r="K3" i="5"/>
  <c r="G3" i="5"/>
  <c r="E3" i="5"/>
  <c r="D3" i="5"/>
  <c r="F31" i="4"/>
  <c r="H31" i="4" s="1"/>
  <c r="L31" i="4" s="1"/>
  <c r="F30" i="4"/>
  <c r="H30" i="4" s="1"/>
  <c r="F29" i="4"/>
  <c r="H28" i="4"/>
  <c r="J28" i="4" s="1"/>
  <c r="J26" i="4" s="1"/>
  <c r="G28" i="4"/>
  <c r="G28" i="5" s="1"/>
  <c r="F28" i="4"/>
  <c r="L27" i="4"/>
  <c r="H27" i="4"/>
  <c r="I26" i="4"/>
  <c r="G26" i="4"/>
  <c r="E26" i="4"/>
  <c r="D26" i="4"/>
  <c r="D32" i="4" s="1"/>
  <c r="C26" i="4"/>
  <c r="F25" i="4"/>
  <c r="H25" i="4" s="1"/>
  <c r="J25" i="4" s="1"/>
  <c r="J25" i="5" s="1"/>
  <c r="F24" i="4"/>
  <c r="H24" i="4" s="1"/>
  <c r="J24" i="4" s="1"/>
  <c r="N24" i="4" s="1"/>
  <c r="F23" i="4"/>
  <c r="H23" i="4" s="1"/>
  <c r="H22" i="4"/>
  <c r="J22" i="4" s="1"/>
  <c r="F22" i="4"/>
  <c r="F21" i="4"/>
  <c r="H21" i="4" s="1"/>
  <c r="L21" i="4" s="1"/>
  <c r="F20" i="4"/>
  <c r="H20" i="4" s="1"/>
  <c r="L20" i="4" s="1"/>
  <c r="F19" i="4"/>
  <c r="H19" i="4" s="1"/>
  <c r="L19" i="4" s="1"/>
  <c r="F18" i="4"/>
  <c r="F17" i="4"/>
  <c r="H17" i="4" s="1"/>
  <c r="L17" i="4" s="1"/>
  <c r="F16" i="4"/>
  <c r="H16" i="4" s="1"/>
  <c r="N15" i="4"/>
  <c r="F15" i="4"/>
  <c r="H15" i="4" s="1"/>
  <c r="G14" i="4"/>
  <c r="E14" i="4"/>
  <c r="D14" i="4"/>
  <c r="C14" i="4"/>
  <c r="N13" i="4"/>
  <c r="F13" i="4"/>
  <c r="F12" i="4"/>
  <c r="H12" i="4" s="1"/>
  <c r="L12" i="4" s="1"/>
  <c r="I11" i="4"/>
  <c r="G11" i="4"/>
  <c r="E11" i="4"/>
  <c r="D11" i="4"/>
  <c r="C11" i="4"/>
  <c r="G10" i="4"/>
  <c r="G7" i="4" s="1"/>
  <c r="F10" i="4"/>
  <c r="F9" i="4"/>
  <c r="H9" i="4" s="1"/>
  <c r="F8" i="4"/>
  <c r="I7" i="4"/>
  <c r="E7" i="4"/>
  <c r="D7" i="4"/>
  <c r="C7" i="4"/>
  <c r="H6" i="4"/>
  <c r="L6" i="4" s="1"/>
  <c r="F6" i="4"/>
  <c r="F5" i="4"/>
  <c r="H5" i="4" s="1"/>
  <c r="L5" i="4" s="1"/>
  <c r="H4" i="4"/>
  <c r="F4" i="4"/>
  <c r="K3" i="4"/>
  <c r="J3" i="4"/>
  <c r="I3" i="4"/>
  <c r="G3" i="4"/>
  <c r="E3" i="4"/>
  <c r="D3" i="4"/>
  <c r="C3" i="4"/>
  <c r="K32" i="3"/>
  <c r="W6" i="3"/>
  <c r="O6" i="3"/>
  <c r="I57" i="1"/>
  <c r="J20" i="13" l="1"/>
  <c r="I20" i="13"/>
  <c r="F11" i="4"/>
  <c r="H13" i="4"/>
  <c r="H30" i="13"/>
  <c r="J30" i="13" s="1"/>
  <c r="V34" i="7"/>
  <c r="E15" i="13"/>
  <c r="V19" i="7"/>
  <c r="Q19" i="7"/>
  <c r="J35" i="13"/>
  <c r="I35" i="13"/>
  <c r="O71" i="8"/>
  <c r="R6" i="3" s="1"/>
  <c r="M19" i="8"/>
  <c r="H30" i="9"/>
  <c r="J25" i="13"/>
  <c r="I25" i="13"/>
  <c r="L15" i="9"/>
  <c r="J38" i="13"/>
  <c r="J40" i="13"/>
  <c r="O40" i="13" s="1"/>
  <c r="I40" i="13"/>
  <c r="G51" i="13"/>
  <c r="Q13" i="6"/>
  <c r="E53" i="13"/>
  <c r="Q59" i="7"/>
  <c r="M60" i="8"/>
  <c r="O80" i="8" s="1"/>
  <c r="Y6" i="3" s="1"/>
  <c r="M60" i="7"/>
  <c r="V58" i="7"/>
  <c r="J32" i="13"/>
  <c r="M48" i="8"/>
  <c r="P16" i="9"/>
  <c r="I10" i="13"/>
  <c r="J16" i="13"/>
  <c r="J37" i="13"/>
  <c r="I43" i="13"/>
  <c r="H14" i="14"/>
  <c r="F3" i="4"/>
  <c r="E32" i="5"/>
  <c r="X77" i="7"/>
  <c r="L10" i="8"/>
  <c r="V10" i="7" s="1"/>
  <c r="O74" i="8"/>
  <c r="U6" i="3" s="1"/>
  <c r="H30" i="8"/>
  <c r="I11" i="13"/>
  <c r="I18" i="13"/>
  <c r="I30" i="13"/>
  <c r="J33" i="13"/>
  <c r="I42" i="13"/>
  <c r="J54" i="13"/>
  <c r="H3" i="4"/>
  <c r="J3" i="5"/>
  <c r="H20" i="5"/>
  <c r="U60" i="7"/>
  <c r="W60" i="7" s="1"/>
  <c r="M12" i="8"/>
  <c r="O75" i="8"/>
  <c r="V6" i="3" s="1"/>
  <c r="N58" i="8"/>
  <c r="O67" i="8"/>
  <c r="N6" i="3" s="1"/>
  <c r="N16" i="9"/>
  <c r="N15" i="9" s="1"/>
  <c r="J16" i="9"/>
  <c r="R16" i="9"/>
  <c r="R15" i="9" s="1"/>
  <c r="O30" i="9"/>
  <c r="G75" i="9"/>
  <c r="G53" i="9" s="1"/>
  <c r="K16" i="9"/>
  <c r="K15" i="9" s="1"/>
  <c r="S16" i="9"/>
  <c r="S15" i="9" s="1"/>
  <c r="J46" i="13"/>
  <c r="N35" i="8"/>
  <c r="M58" i="8"/>
  <c r="G44" i="9"/>
  <c r="G116" i="9"/>
  <c r="J9" i="13"/>
  <c r="J10" i="13"/>
  <c r="J21" i="13"/>
  <c r="I27" i="13"/>
  <c r="I36" i="13"/>
  <c r="H10" i="4"/>
  <c r="L10" i="4" s="1"/>
  <c r="C32" i="4"/>
  <c r="I3" i="5"/>
  <c r="G14" i="5"/>
  <c r="V56" i="7"/>
  <c r="I15" i="9"/>
  <c r="M16" i="9"/>
  <c r="M15" i="9" s="1"/>
  <c r="G37" i="9"/>
  <c r="J18" i="13"/>
  <c r="O18" i="13" s="1"/>
  <c r="I23" i="13"/>
  <c r="I39" i="13"/>
  <c r="I50" i="13"/>
  <c r="H8" i="4"/>
  <c r="F7" i="4"/>
  <c r="L23" i="4"/>
  <c r="J23" i="4"/>
  <c r="N23" i="4" s="1"/>
  <c r="P20" i="6"/>
  <c r="H18" i="4"/>
  <c r="L18" i="4" s="1"/>
  <c r="F14" i="4"/>
  <c r="F26" i="5"/>
  <c r="H29" i="5"/>
  <c r="F7" i="5"/>
  <c r="H8" i="5"/>
  <c r="H7" i="5" s="1"/>
  <c r="J13" i="4"/>
  <c r="J11" i="4" s="1"/>
  <c r="H11" i="4"/>
  <c r="L11" i="4" s="1"/>
  <c r="L13" i="4"/>
  <c r="H12" i="5"/>
  <c r="H11" i="5" s="1"/>
  <c r="F11" i="5"/>
  <c r="F14" i="5"/>
  <c r="J9" i="4"/>
  <c r="J7" i="4" s="1"/>
  <c r="E32" i="4"/>
  <c r="H28" i="5"/>
  <c r="G26" i="5"/>
  <c r="G32" i="5" s="1"/>
  <c r="H30" i="5"/>
  <c r="G32" i="4"/>
  <c r="H14" i="5"/>
  <c r="I32" i="5"/>
  <c r="I35" i="5" s="1"/>
  <c r="L24" i="4"/>
  <c r="L28" i="4"/>
  <c r="L16" i="4"/>
  <c r="I16" i="4"/>
  <c r="F26" i="4"/>
  <c r="F32" i="4" s="1"/>
  <c r="H29" i="4"/>
  <c r="J32" i="5"/>
  <c r="L22" i="4"/>
  <c r="L25" i="4"/>
  <c r="J30" i="4"/>
  <c r="H4" i="5"/>
  <c r="H3" i="5" s="1"/>
  <c r="C3" i="5"/>
  <c r="C32" i="5" s="1"/>
  <c r="G15" i="13"/>
  <c r="I15" i="13" s="1"/>
  <c r="I19" i="8"/>
  <c r="G5" i="13"/>
  <c r="E26" i="13"/>
  <c r="E9" i="8"/>
  <c r="K9" i="8"/>
  <c r="F26" i="13"/>
  <c r="I30" i="8"/>
  <c r="P59" i="8"/>
  <c r="O79" i="8"/>
  <c r="AA6" i="3" s="1"/>
  <c r="AA5" i="3" s="1"/>
  <c r="H53" i="13"/>
  <c r="N60" i="8"/>
  <c r="V59" i="7"/>
  <c r="O15" i="9"/>
  <c r="F19" i="13"/>
  <c r="I23" i="8"/>
  <c r="H34" i="13"/>
  <c r="J34" i="13" s="1"/>
  <c r="N38" i="8"/>
  <c r="G43" i="9"/>
  <c r="G39" i="9"/>
  <c r="G34" i="9"/>
  <c r="G21" i="9"/>
  <c r="G32" i="9"/>
  <c r="G27" i="9"/>
  <c r="G24" i="9"/>
  <c r="G45" i="9"/>
  <c r="G36" i="9"/>
  <c r="G26" i="9"/>
  <c r="G23" i="9"/>
  <c r="Q16" i="9"/>
  <c r="Q15" i="9" s="1"/>
  <c r="G48" i="9"/>
  <c r="H46" i="9"/>
  <c r="P60" i="7"/>
  <c r="R60" i="7" s="1"/>
  <c r="M38" i="8"/>
  <c r="M31" i="8"/>
  <c r="K30" i="8"/>
  <c r="N48" i="8"/>
  <c r="H27" i="13"/>
  <c r="J27" i="13" s="1"/>
  <c r="N31" i="8"/>
  <c r="L30" i="8"/>
  <c r="G41" i="9"/>
  <c r="H10" i="8"/>
  <c r="H15" i="13"/>
  <c r="J15" i="13" s="1"/>
  <c r="N19" i="8"/>
  <c r="H29" i="13"/>
  <c r="J29" i="13" s="1"/>
  <c r="N33" i="8"/>
  <c r="G123" i="9"/>
  <c r="I119" i="9"/>
  <c r="G119" i="9" s="1"/>
  <c r="G48" i="13"/>
  <c r="I48" i="13" s="1"/>
  <c r="I54" i="8"/>
  <c r="G53" i="8"/>
  <c r="O78" i="8"/>
  <c r="F6" i="13"/>
  <c r="F9" i="8"/>
  <c r="O77" i="8"/>
  <c r="X6" i="3" s="1"/>
  <c r="K54" i="8"/>
  <c r="M56" i="8"/>
  <c r="O65" i="8" s="1"/>
  <c r="L6" i="3" s="1"/>
  <c r="J30" i="9"/>
  <c r="J15" i="9" s="1"/>
  <c r="J138" i="9"/>
  <c r="J144" i="9"/>
  <c r="G6" i="13"/>
  <c r="I6" i="13" s="1"/>
  <c r="I10" i="8"/>
  <c r="M32" i="8"/>
  <c r="G84" i="9"/>
  <c r="G129" i="9"/>
  <c r="M10" i="8"/>
  <c r="N56" i="8"/>
  <c r="G28" i="9"/>
  <c r="P15" i="9"/>
  <c r="G46" i="9"/>
  <c r="G117" i="9"/>
  <c r="S138" i="9"/>
  <c r="G141" i="9"/>
  <c r="F53" i="8"/>
  <c r="K57" i="8"/>
  <c r="I60" i="8"/>
  <c r="J28" i="13"/>
  <c r="L57" i="8"/>
  <c r="H16" i="9"/>
  <c r="H15" i="9" s="1"/>
  <c r="G25" i="9"/>
  <c r="G29" i="9"/>
  <c r="G130" i="9"/>
  <c r="J8" i="13"/>
  <c r="I51" i="13"/>
  <c r="J31" i="13"/>
  <c r="J53" i="13"/>
  <c r="I53" i="13"/>
  <c r="G33" i="9"/>
  <c r="G38" i="9"/>
  <c r="G42" i="9"/>
  <c r="J50" i="13"/>
  <c r="E14" i="14"/>
  <c r="N12" i="8"/>
  <c r="J19" i="13"/>
  <c r="I19" i="13"/>
  <c r="N23" i="8"/>
  <c r="N36" i="8"/>
  <c r="J7" i="13"/>
  <c r="L54" i="8"/>
  <c r="G22" i="9"/>
  <c r="G35" i="9"/>
  <c r="G40" i="9"/>
  <c r="I12" i="14"/>
  <c r="I46" i="13"/>
  <c r="O12" i="14"/>
  <c r="I7" i="14"/>
  <c r="I10" i="14"/>
  <c r="I9" i="13"/>
  <c r="I13" i="13"/>
  <c r="I17" i="13"/>
  <c r="I22" i="13"/>
  <c r="H19" i="14" s="1"/>
  <c r="H21" i="14" s="1"/>
  <c r="I45" i="13"/>
  <c r="I49" i="13"/>
  <c r="I52" i="13"/>
  <c r="I11" i="14"/>
  <c r="I29" i="13"/>
  <c r="I33" i="13"/>
  <c r="I37" i="13"/>
  <c r="F32" i="5" l="1"/>
  <c r="N10" i="8"/>
  <c r="H6" i="13"/>
  <c r="J6" i="13" s="1"/>
  <c r="H14" i="4"/>
  <c r="H26" i="5"/>
  <c r="I14" i="14"/>
  <c r="J20" i="14" s="1"/>
  <c r="H51" i="13"/>
  <c r="J51" i="13" s="1"/>
  <c r="V57" i="7"/>
  <c r="N57" i="8"/>
  <c r="I16" i="5"/>
  <c r="I15" i="4"/>
  <c r="H32" i="5"/>
  <c r="G47" i="13"/>
  <c r="I47" i="13" s="1"/>
  <c r="I53" i="8"/>
  <c r="Q53" i="7"/>
  <c r="Q9" i="6"/>
  <c r="M30" i="8"/>
  <c r="E5" i="13"/>
  <c r="E8" i="8"/>
  <c r="Q9" i="7"/>
  <c r="M8" i="5"/>
  <c r="I26" i="13"/>
  <c r="L30" i="4"/>
  <c r="H48" i="13"/>
  <c r="J48" i="13" s="1"/>
  <c r="L53" i="8"/>
  <c r="N54" i="8"/>
  <c r="V54" i="7"/>
  <c r="M54" i="8"/>
  <c r="O64" i="8"/>
  <c r="H26" i="13"/>
  <c r="J26" i="13" s="1"/>
  <c r="N30" i="8"/>
  <c r="V30" i="7"/>
  <c r="F47" i="13"/>
  <c r="G31" i="9"/>
  <c r="G30" i="9" s="1"/>
  <c r="G8" i="8"/>
  <c r="L9" i="8"/>
  <c r="L9" i="4"/>
  <c r="K53" i="8"/>
  <c r="F5" i="13"/>
  <c r="H9" i="8"/>
  <c r="F8" i="8"/>
  <c r="G20" i="9"/>
  <c r="G16" i="9" s="1"/>
  <c r="G15" i="9" s="1"/>
  <c r="G14" i="9" s="1"/>
  <c r="I9" i="8"/>
  <c r="H26" i="4"/>
  <c r="L29" i="4"/>
  <c r="H7" i="4"/>
  <c r="L7" i="4" s="1"/>
  <c r="L8" i="4"/>
  <c r="H23" i="14" l="1"/>
  <c r="L26" i="4"/>
  <c r="H32" i="4"/>
  <c r="M53" i="8"/>
  <c r="H5" i="13"/>
  <c r="L8" i="8"/>
  <c r="N9" i="8"/>
  <c r="V9" i="7"/>
  <c r="I15" i="5"/>
  <c r="J15" i="4"/>
  <c r="L15" i="4" s="1"/>
  <c r="I14" i="4"/>
  <c r="I32" i="4" s="1"/>
  <c r="G4" i="13"/>
  <c r="I8" i="8"/>
  <c r="F6" i="3" s="1"/>
  <c r="D6" i="3"/>
  <c r="O63" i="8"/>
  <c r="K6" i="3"/>
  <c r="E4" i="13"/>
  <c r="Q8" i="7"/>
  <c r="V8" i="7"/>
  <c r="B6" i="3"/>
  <c r="M9" i="8"/>
  <c r="H47" i="13"/>
  <c r="J47" i="13" s="1"/>
  <c r="V53" i="7"/>
  <c r="N53" i="8"/>
  <c r="F4" i="13"/>
  <c r="H8" i="8"/>
  <c r="C6" i="3"/>
  <c r="J5" i="13"/>
  <c r="I5" i="13"/>
  <c r="K8" i="8"/>
  <c r="E6" i="3" l="1"/>
  <c r="M8" i="8"/>
  <c r="G6" i="3"/>
  <c r="J14" i="4"/>
  <c r="J15" i="5"/>
  <c r="I4" i="13"/>
  <c r="H4" i="13"/>
  <c r="J4" i="13" s="1"/>
  <c r="N8" i="8"/>
  <c r="O8" i="8"/>
  <c r="J6" i="3" s="1"/>
  <c r="H6" i="3"/>
  <c r="K55" i="1" l="1"/>
  <c r="F52" i="1"/>
  <c r="F51" i="1" s="1"/>
  <c r="F58" i="1"/>
  <c r="H51" i="1"/>
  <c r="J58" i="1"/>
  <c r="J55" i="1"/>
  <c r="I12" i="1"/>
  <c r="K58" i="1"/>
  <c r="G58" i="1"/>
  <c r="J32" i="4"/>
  <c r="L32" i="4" s="1"/>
  <c r="L14" i="4"/>
  <c r="I6" i="3"/>
  <c r="K52" i="1" l="1"/>
  <c r="K51" i="1" s="1"/>
  <c r="J19" i="1"/>
  <c r="L58" i="1"/>
  <c r="L55" i="1"/>
  <c r="J52" i="1"/>
  <c r="J51" i="1" s="1"/>
  <c r="L52" i="1"/>
  <c r="L51" i="1" s="1"/>
  <c r="K30" i="1"/>
  <c r="L30" i="1"/>
  <c r="J30" i="1"/>
  <c r="J23" i="1"/>
  <c r="K19" i="1"/>
  <c r="L19" i="1"/>
  <c r="K10" i="1"/>
  <c r="L10" i="1"/>
  <c r="J10" i="1"/>
  <c r="G52" i="1"/>
  <c r="G51" i="1" s="1"/>
  <c r="I51" i="1" s="1"/>
  <c r="F19" i="1"/>
  <c r="G30" i="1"/>
  <c r="F30" i="1"/>
  <c r="G23" i="1"/>
  <c r="F23" i="1"/>
  <c r="G19" i="1"/>
  <c r="G10" i="1"/>
  <c r="I58" i="1"/>
  <c r="I16" i="1"/>
  <c r="I13" i="1"/>
  <c r="M17" i="1"/>
  <c r="I53" i="1"/>
  <c r="I31" i="1"/>
  <c r="I21" i="1"/>
  <c r="M20" i="1"/>
  <c r="I33" i="1"/>
  <c r="M21" i="1"/>
  <c r="M31" i="1"/>
  <c r="I25" i="1"/>
  <c r="M22" i="1"/>
  <c r="M53" i="1"/>
  <c r="I17" i="1"/>
  <c r="M16" i="1"/>
  <c r="I32" i="1"/>
  <c r="I11" i="1"/>
  <c r="I15" i="1"/>
  <c r="I56" i="1"/>
  <c r="M12" i="1"/>
  <c r="I20" i="1"/>
  <c r="I22" i="1"/>
  <c r="I54" i="1"/>
  <c r="M11" i="1"/>
  <c r="M15" i="1"/>
  <c r="M13" i="1"/>
  <c r="I52" i="1" l="1"/>
  <c r="I19" i="1"/>
  <c r="M51" i="1"/>
  <c r="M52" i="1"/>
  <c r="M19" i="1"/>
  <c r="J9" i="1"/>
  <c r="J8" i="1" s="1"/>
  <c r="M10" i="1"/>
  <c r="M30" i="1"/>
  <c r="I30" i="1"/>
  <c r="G9" i="1"/>
  <c r="G8" i="1" l="1"/>
  <c r="J10" i="3"/>
  <c r="AE44" i="7"/>
  <c r="AE37" i="7"/>
  <c r="AR48" i="7"/>
  <c r="Z49" i="7"/>
  <c r="Z56" i="7"/>
  <c r="M24" i="3"/>
  <c r="H10" i="3"/>
  <c r="AQ41" i="7"/>
  <c r="E37" i="2"/>
  <c r="I18" i="3"/>
  <c r="AK38" i="7"/>
  <c r="Y55" i="7"/>
  <c r="H19" i="3"/>
  <c r="AI24" i="7"/>
  <c r="AO27" i="7"/>
  <c r="AB20" i="7"/>
  <c r="E15" i="3"/>
  <c r="L29" i="2"/>
  <c r="AG17" i="7"/>
  <c r="AS56" i="7"/>
  <c r="AI39" i="7"/>
  <c r="G55" i="2"/>
  <c r="D14" i="10"/>
  <c r="AM30" i="7"/>
  <c r="AI29" i="7"/>
  <c r="R61" i="2"/>
  <c r="L12" i="2"/>
  <c r="AG10" i="7"/>
  <c r="I12" i="2"/>
  <c r="AF36" i="7"/>
  <c r="AG54" i="7"/>
  <c r="AP10" i="7"/>
  <c r="AC29" i="7"/>
  <c r="E54" i="2"/>
  <c r="L42" i="2"/>
  <c r="AL22" i="7"/>
  <c r="M37" i="2"/>
  <c r="AA57" i="7"/>
  <c r="AM13" i="7"/>
  <c r="AH41" i="7"/>
  <c r="N39" i="2"/>
  <c r="AP47" i="7"/>
  <c r="D21" i="10"/>
  <c r="L37" i="2"/>
  <c r="AR17" i="7"/>
  <c r="M8" i="2"/>
  <c r="D11" i="3"/>
  <c r="P54" i="6"/>
  <c r="R23" i="3"/>
  <c r="AI58" i="7"/>
  <c r="R21" i="3"/>
  <c r="AH46" i="7"/>
  <c r="T24" i="3"/>
  <c r="Y14" i="3"/>
  <c r="P11" i="3"/>
  <c r="AQ54" i="7"/>
  <c r="W24" i="3"/>
  <c r="L19" i="2"/>
  <c r="N11" i="2"/>
  <c r="I23" i="3"/>
  <c r="L32" i="2"/>
  <c r="AG42" i="7"/>
  <c r="AM42" i="7"/>
  <c r="AJ30" i="7"/>
  <c r="AD56" i="7"/>
  <c r="B18" i="3"/>
  <c r="AL31" i="7"/>
  <c r="M56" i="2"/>
  <c r="D7" i="3"/>
  <c r="R61" i="6"/>
  <c r="F14" i="2"/>
  <c r="L12" i="3"/>
  <c r="R59" i="6"/>
  <c r="H60" i="2"/>
  <c r="Q43" i="2"/>
  <c r="V22" i="3"/>
  <c r="Q51" i="6"/>
  <c r="I15" i="3"/>
  <c r="N44" i="2"/>
  <c r="M59" i="2"/>
  <c r="H47" i="2"/>
  <c r="E21" i="2"/>
  <c r="M21" i="3"/>
  <c r="F44" i="2"/>
  <c r="Y61" i="2"/>
  <c r="V61" i="2"/>
  <c r="R53" i="6"/>
  <c r="L46" i="2"/>
  <c r="AM9" i="7"/>
  <c r="AS37" i="7"/>
  <c r="AR39" i="7"/>
  <c r="L25" i="3"/>
  <c r="AD47" i="7"/>
  <c r="L16" i="2"/>
  <c r="AN55" i="7"/>
  <c r="M30" i="2"/>
  <c r="Z36" i="7"/>
  <c r="AC58" i="7"/>
  <c r="AB43" i="7"/>
  <c r="AK24" i="7"/>
  <c r="F17" i="3"/>
  <c r="H16" i="2"/>
  <c r="AD20" i="7"/>
  <c r="AE13" i="7"/>
  <c r="AC31" i="7"/>
  <c r="AH15" i="7"/>
  <c r="AD26" i="7"/>
  <c r="Q12" i="3"/>
  <c r="V74" i="2"/>
  <c r="AJ23" i="7"/>
  <c r="AG12" i="7"/>
  <c r="R60" i="6"/>
  <c r="L17" i="2"/>
  <c r="C25" i="10"/>
  <c r="K55" i="2"/>
  <c r="R52" i="6"/>
  <c r="L19" i="3"/>
  <c r="AH38" i="7"/>
  <c r="V16" i="3"/>
  <c r="AS33" i="7"/>
  <c r="R8" i="3"/>
  <c r="K22" i="3"/>
  <c r="Y8" i="3"/>
  <c r="AI25" i="7"/>
  <c r="Q15" i="3"/>
  <c r="AS53" i="7"/>
  <c r="M43" i="2"/>
  <c r="H23" i="2"/>
  <c r="AS34" i="7"/>
  <c r="AL46" i="7"/>
  <c r="AB45" i="7"/>
  <c r="AG20" i="7"/>
  <c r="F18" i="3"/>
  <c r="AP27" i="7"/>
  <c r="W17" i="3"/>
  <c r="I30" i="2"/>
  <c r="G40" i="2"/>
  <c r="AJ41" i="7"/>
  <c r="AD28" i="7"/>
  <c r="AG30" i="7"/>
  <c r="AE36" i="7"/>
  <c r="AN53" i="7"/>
  <c r="M28" i="2"/>
  <c r="Q37" i="2"/>
  <c r="D15" i="3"/>
  <c r="AN16" i="7"/>
  <c r="G34" i="2"/>
  <c r="AR10" i="7"/>
  <c r="AQ45" i="7"/>
  <c r="N10" i="3"/>
  <c r="Z31" i="7"/>
  <c r="AO30" i="7"/>
  <c r="K35" i="2"/>
  <c r="H8" i="3"/>
  <c r="H14" i="2"/>
  <c r="C26" i="10"/>
  <c r="L18" i="3"/>
  <c r="P55" i="6"/>
  <c r="E11" i="2"/>
  <c r="AK25" i="7"/>
  <c r="S7" i="3"/>
  <c r="Q47" i="2"/>
  <c r="AR26" i="7"/>
  <c r="R25" i="3"/>
  <c r="M13" i="2"/>
  <c r="M19" i="3"/>
  <c r="AP17" i="7"/>
  <c r="Q7" i="3"/>
  <c r="AJ28" i="7"/>
  <c r="AK44" i="7"/>
  <c r="Q17" i="2"/>
  <c r="AK32" i="7"/>
  <c r="AS47" i="7"/>
  <c r="AI50" i="7"/>
  <c r="AM17" i="7"/>
  <c r="I14" i="3"/>
  <c r="R24" i="3"/>
  <c r="AR47" i="7"/>
  <c r="AD45" i="7"/>
  <c r="AI19" i="7"/>
  <c r="X19" i="3"/>
  <c r="T7" i="3"/>
  <c r="P61" i="2"/>
  <c r="K76" i="2"/>
  <c r="AI18" i="7"/>
  <c r="D17" i="3"/>
  <c r="F23" i="3"/>
  <c r="AA10" i="7"/>
  <c r="AE20" i="7"/>
  <c r="AA48" i="7"/>
  <c r="AD58" i="7"/>
  <c r="AF44" i="7"/>
  <c r="AQ14" i="7"/>
  <c r="Q49" i="6"/>
  <c r="G60" i="2"/>
  <c r="AM29" i="7"/>
  <c r="S61" i="2"/>
  <c r="Q60" i="2"/>
  <c r="AI20" i="7"/>
  <c r="I20" i="3"/>
  <c r="AH29" i="7"/>
  <c r="AF58" i="7"/>
  <c r="N20" i="3"/>
  <c r="AJ55" i="7"/>
  <c r="F35" i="2"/>
  <c r="AI26" i="7"/>
  <c r="P15" i="3"/>
  <c r="I45" i="2"/>
  <c r="AF12" i="7"/>
  <c r="N33" i="2"/>
  <c r="AH9" i="7"/>
  <c r="Y20" i="7"/>
  <c r="AC45" i="7"/>
  <c r="L49" i="2"/>
  <c r="AB22" i="7"/>
  <c r="AR23" i="7"/>
  <c r="AA50" i="7"/>
  <c r="H25" i="3"/>
  <c r="AQ46" i="7"/>
  <c r="AQ27" i="7"/>
  <c r="C7" i="3"/>
  <c r="E28" i="2"/>
  <c r="AC23" i="7"/>
  <c r="J7" i="3"/>
  <c r="AP38" i="7"/>
  <c r="K25" i="2"/>
  <c r="Y10" i="3"/>
  <c r="H41" i="2"/>
  <c r="G31" i="2"/>
  <c r="AH35" i="7"/>
  <c r="AB42" i="7"/>
  <c r="F39" i="2"/>
  <c r="E38" i="2"/>
  <c r="Y48" i="7"/>
  <c r="AK39" i="7"/>
  <c r="AQ21" i="7"/>
  <c r="Q14" i="2"/>
  <c r="AL24" i="7"/>
  <c r="Q41" i="2"/>
  <c r="X62" i="2"/>
  <c r="AF11" i="7"/>
  <c r="N17" i="3"/>
  <c r="S18" i="3"/>
  <c r="AK19" i="7"/>
  <c r="AO21" i="7"/>
  <c r="AQ29" i="7"/>
  <c r="AQ22" i="7"/>
  <c r="AE8" i="7"/>
  <c r="AA53" i="7"/>
  <c r="Z10" i="7"/>
  <c r="AJ51" i="7"/>
  <c r="AF38" i="7"/>
  <c r="AB36" i="7"/>
  <c r="L8" i="3"/>
  <c r="N34" i="2"/>
  <c r="Q22" i="3"/>
  <c r="B14" i="3"/>
  <c r="AR19" i="7"/>
  <c r="AC20" i="7"/>
  <c r="I32" i="2"/>
  <c r="Y12" i="7"/>
  <c r="M47" i="2"/>
  <c r="C16" i="10"/>
  <c r="F46" i="2"/>
  <c r="AB30" i="7"/>
  <c r="H32" i="2"/>
  <c r="C26" i="3"/>
  <c r="AN20" i="7"/>
  <c r="AB48" i="7"/>
  <c r="AN57" i="7"/>
  <c r="G12" i="3"/>
  <c r="AE39" i="7"/>
  <c r="AO16" i="7"/>
  <c r="Y18" i="7"/>
  <c r="L21" i="2"/>
  <c r="AG58" i="7"/>
  <c r="Y24" i="7"/>
  <c r="AQ10" i="7"/>
  <c r="AE51" i="7"/>
  <c r="AK27" i="7"/>
  <c r="L27" i="2"/>
  <c r="Q13" i="2"/>
  <c r="Y26" i="3"/>
  <c r="K70" i="2"/>
  <c r="E33" i="2"/>
  <c r="AC52" i="7"/>
  <c r="K21" i="2"/>
  <c r="G33" i="2"/>
  <c r="AQ24" i="7"/>
  <c r="K32" i="2"/>
  <c r="AS44" i="7"/>
  <c r="AS12" i="7"/>
  <c r="AF51" i="7"/>
  <c r="AN45" i="7"/>
  <c r="AS26" i="7"/>
  <c r="S26" i="3"/>
  <c r="G9" i="2"/>
  <c r="E29" i="2"/>
  <c r="Z53" i="7"/>
  <c r="AD11" i="7"/>
  <c r="AJ39" i="7"/>
  <c r="F38" i="2"/>
  <c r="O76" i="2"/>
  <c r="N56" i="2"/>
  <c r="AE10" i="7"/>
  <c r="K45" i="2"/>
  <c r="Q65" i="6"/>
  <c r="G44" i="2"/>
  <c r="AD38" i="7"/>
  <c r="Q38" i="2"/>
  <c r="AG31" i="7"/>
  <c r="AM51" i="7"/>
  <c r="F48" i="2"/>
  <c r="AD14" i="7"/>
  <c r="AB23" i="7"/>
  <c r="G23" i="3"/>
  <c r="O24" i="3"/>
  <c r="Y16" i="7"/>
  <c r="AH57" i="7"/>
  <c r="T62" i="2"/>
  <c r="AB44" i="7"/>
  <c r="P53" i="6"/>
  <c r="H43" i="2"/>
  <c r="R17" i="3"/>
  <c r="J24" i="3"/>
  <c r="AF42" i="7"/>
  <c r="E24" i="3"/>
  <c r="AK37" i="7"/>
  <c r="AI56" i="7"/>
  <c r="B13" i="3"/>
  <c r="AI47" i="7"/>
  <c r="F10" i="2"/>
  <c r="AH17" i="7"/>
  <c r="AO31" i="7"/>
  <c r="AC38" i="7"/>
  <c r="C6" i="10"/>
  <c r="B20" i="3"/>
  <c r="Y15" i="3"/>
  <c r="E41" i="2"/>
  <c r="O67" i="2"/>
  <c r="AF52" i="7"/>
  <c r="Q55" i="2"/>
  <c r="N29" i="2"/>
  <c r="Q62" i="6"/>
  <c r="AG56" i="7"/>
  <c r="AN25" i="7"/>
  <c r="AD23" i="7"/>
  <c r="D23" i="3"/>
  <c r="Z29" i="7"/>
  <c r="G21" i="2"/>
  <c r="Q55" i="6"/>
  <c r="AS27" i="7"/>
  <c r="K58" i="2"/>
  <c r="AD22" i="7"/>
  <c r="I48" i="2"/>
  <c r="N15" i="2"/>
  <c r="H26" i="3"/>
  <c r="K12" i="2"/>
  <c r="AJ47" i="7"/>
  <c r="S15" i="3"/>
  <c r="G23" i="2"/>
  <c r="G39" i="2"/>
  <c r="AN51" i="7"/>
  <c r="R9" i="3"/>
  <c r="H31" i="2"/>
  <c r="AA56" i="7"/>
  <c r="O26" i="3"/>
  <c r="Q50" i="6"/>
  <c r="AJ10" i="7"/>
  <c r="E10" i="3"/>
  <c r="Y53" i="7"/>
  <c r="AP45" i="7"/>
  <c r="C25" i="12"/>
  <c r="I39" i="2"/>
  <c r="AK15" i="7"/>
  <c r="AF29" i="7"/>
  <c r="F20" i="3"/>
  <c r="D10" i="10"/>
  <c r="P18" i="3"/>
  <c r="P49" i="6"/>
  <c r="F9" i="2"/>
  <c r="L24" i="3"/>
  <c r="AO17" i="7"/>
  <c r="G15" i="3"/>
  <c r="AR12" i="7"/>
  <c r="P45" i="6"/>
  <c r="AD42" i="7"/>
  <c r="AM24" i="7"/>
  <c r="L54" i="2"/>
  <c r="AA18" i="7"/>
  <c r="K63" i="2"/>
  <c r="AF49" i="7"/>
  <c r="I43" i="2"/>
  <c r="O16" i="3"/>
  <c r="AG49" i="7"/>
  <c r="M42" i="2"/>
  <c r="AI38" i="7"/>
  <c r="F9" i="3"/>
  <c r="I41" i="2"/>
  <c r="AS11" i="7"/>
  <c r="U19" i="3"/>
  <c r="AR18" i="7"/>
  <c r="AO42" i="7"/>
  <c r="H54" i="2"/>
  <c r="H17" i="3"/>
  <c r="AC17" i="7"/>
  <c r="Y9" i="3"/>
  <c r="K24" i="2"/>
  <c r="Q9" i="3"/>
  <c r="AD36" i="7"/>
  <c r="AO10" i="7"/>
  <c r="R49" i="6"/>
  <c r="T11" i="3"/>
  <c r="AM48" i="7"/>
  <c r="AP13" i="7"/>
  <c r="G38" i="2"/>
  <c r="J14" i="3"/>
  <c r="AJ42" i="7"/>
  <c r="AK43" i="7"/>
  <c r="AM19" i="7"/>
  <c r="C22" i="12"/>
  <c r="K48" i="2"/>
  <c r="H33" i="2"/>
  <c r="AK20" i="7"/>
  <c r="AK46" i="7"/>
  <c r="N27" i="2"/>
  <c r="AQ57" i="7"/>
  <c r="I9" i="3"/>
  <c r="AN23" i="7"/>
  <c r="AR20" i="7"/>
  <c r="AH12" i="7"/>
  <c r="S8" i="3"/>
  <c r="AA19" i="7"/>
  <c r="D19" i="10"/>
  <c r="AN30" i="7"/>
  <c r="K60" i="2"/>
  <c r="C18" i="10"/>
  <c r="N41" i="2"/>
  <c r="R27" i="3"/>
  <c r="B22" i="3"/>
  <c r="AJ9" i="7"/>
  <c r="K75" i="2"/>
  <c r="K62" i="2"/>
  <c r="F28" i="2"/>
  <c r="AL49" i="7"/>
  <c r="AC16" i="7"/>
  <c r="O72" i="2"/>
  <c r="AM28" i="7"/>
  <c r="Q19" i="2"/>
  <c r="O77" i="2"/>
  <c r="H15" i="2"/>
  <c r="AH11" i="7"/>
  <c r="N13" i="2"/>
  <c r="AK8" i="7"/>
  <c r="S13" i="3"/>
  <c r="AL35" i="7"/>
  <c r="Q24" i="3"/>
  <c r="T16" i="3"/>
  <c r="AR22" i="7"/>
  <c r="AI31" i="7"/>
  <c r="I15" i="2"/>
  <c r="P8" i="3"/>
  <c r="K40" i="2"/>
  <c r="G13" i="2"/>
  <c r="AR9" i="7"/>
  <c r="P76" i="2"/>
  <c r="AI42" i="7"/>
  <c r="AJ44" i="7"/>
  <c r="Z17" i="7"/>
  <c r="AB17" i="7"/>
  <c r="AI41" i="7"/>
  <c r="AA55" i="7"/>
  <c r="K67" i="2"/>
  <c r="Q22" i="2"/>
  <c r="Z14" i="7"/>
  <c r="F26" i="3"/>
  <c r="AK47" i="7"/>
  <c r="AL36" i="7"/>
  <c r="Y42" i="7"/>
  <c r="F37" i="2"/>
  <c r="H9" i="3"/>
  <c r="AJ57" i="7"/>
  <c r="AO52" i="7"/>
  <c r="M22" i="2"/>
  <c r="AO26" i="7"/>
  <c r="U61" i="2"/>
  <c r="AJ14" i="7"/>
  <c r="T21" i="3"/>
  <c r="N23" i="2"/>
  <c r="AJ19" i="7"/>
  <c r="H24" i="3"/>
  <c r="AF48" i="7"/>
  <c r="N25" i="2"/>
  <c r="M29" i="2"/>
  <c r="Z50" i="7"/>
  <c r="AJ12" i="7"/>
  <c r="H8" i="2"/>
  <c r="H35" i="2"/>
  <c r="L17" i="3"/>
  <c r="AM43" i="7"/>
  <c r="L30" i="2"/>
  <c r="AH14" i="7"/>
  <c r="AC13" i="7"/>
  <c r="C7" i="10"/>
  <c r="C13" i="10"/>
  <c r="E42" i="2"/>
  <c r="AE56" i="7"/>
  <c r="L13" i="3"/>
  <c r="AK26" i="7"/>
  <c r="Q16" i="2"/>
  <c r="AO49" i="7"/>
  <c r="X7" i="3"/>
  <c r="V17" i="3"/>
  <c r="M34" i="2"/>
  <c r="E12" i="2"/>
  <c r="AR56" i="7"/>
  <c r="AL12" i="7"/>
  <c r="Q25" i="2"/>
  <c r="Q50" i="2"/>
  <c r="AH24" i="7"/>
  <c r="AB57" i="7"/>
  <c r="Q53" i="2"/>
  <c r="AR31" i="7"/>
  <c r="H26" i="2"/>
  <c r="R19" i="3"/>
  <c r="AM20" i="7"/>
  <c r="T23" i="3"/>
  <c r="AK14" i="7"/>
  <c r="D13" i="10"/>
  <c r="E17" i="2"/>
  <c r="T15" i="3"/>
  <c r="F25" i="2"/>
  <c r="D17" i="10"/>
  <c r="AB15" i="7"/>
  <c r="S21" i="3"/>
  <c r="AC34" i="7"/>
  <c r="M36" i="2"/>
  <c r="AH47" i="7"/>
  <c r="P52" i="6"/>
  <c r="N36" i="2"/>
  <c r="S76" i="2"/>
  <c r="AK9" i="7"/>
  <c r="K25" i="3"/>
  <c r="X22" i="3"/>
  <c r="H21" i="2"/>
  <c r="AQ44" i="7"/>
  <c r="D25" i="10"/>
  <c r="H27" i="3"/>
  <c r="N37" i="2"/>
  <c r="AM10" i="7"/>
  <c r="U20" i="3"/>
  <c r="N30" i="2"/>
  <c r="I26" i="2"/>
  <c r="B21" i="3"/>
  <c r="Q14" i="3"/>
  <c r="AK53" i="7"/>
  <c r="N27" i="3"/>
  <c r="AO46" i="7"/>
  <c r="K38" i="2"/>
  <c r="AF47" i="7"/>
  <c r="AK11" i="7"/>
  <c r="N19" i="3"/>
  <c r="AI21" i="7"/>
  <c r="K14" i="3"/>
  <c r="C21" i="3"/>
  <c r="T19" i="3"/>
  <c r="AF9" i="7"/>
  <c r="D23" i="10"/>
  <c r="Z45" i="7"/>
  <c r="AR46" i="7"/>
  <c r="C7" i="12"/>
  <c r="AM37" i="7"/>
  <c r="AI36" i="7"/>
  <c r="K44" i="2"/>
  <c r="Q11" i="2"/>
  <c r="D11" i="10"/>
  <c r="C16" i="3"/>
  <c r="AC21" i="7"/>
  <c r="F45" i="2"/>
  <c r="G24" i="3"/>
  <c r="M15" i="3"/>
  <c r="Z8" i="7"/>
  <c r="G25" i="3"/>
  <c r="AP26" i="7"/>
  <c r="P21" i="3"/>
  <c r="AG37" i="7"/>
  <c r="AF31" i="7"/>
  <c r="AN58" i="7"/>
  <c r="F16" i="3"/>
  <c r="G19" i="2"/>
  <c r="C17" i="3"/>
  <c r="AN15" i="7"/>
  <c r="N55" i="2"/>
  <c r="H37" i="2"/>
  <c r="AG28" i="7"/>
  <c r="AN39" i="7"/>
  <c r="AO9" i="7"/>
  <c r="AC54" i="7"/>
  <c r="I19" i="2"/>
  <c r="Q26" i="2"/>
  <c r="AN50" i="7"/>
  <c r="AL38" i="7"/>
  <c r="E45" i="2"/>
  <c r="AS38" i="7"/>
  <c r="AM41" i="7"/>
  <c r="AI37" i="7"/>
  <c r="AA39" i="7"/>
  <c r="AC22" i="7"/>
  <c r="AQ47" i="7"/>
  <c r="AR38" i="7"/>
  <c r="AR28" i="7"/>
  <c r="Q21" i="3"/>
  <c r="H19" i="2"/>
  <c r="AC33" i="7"/>
  <c r="R62" i="6"/>
  <c r="AA15" i="7"/>
  <c r="AB11" i="7"/>
  <c r="B23" i="3"/>
  <c r="H27" i="2"/>
  <c r="M14" i="2"/>
  <c r="AE14" i="7"/>
  <c r="N12" i="2"/>
  <c r="AF56" i="7"/>
  <c r="AP23" i="7"/>
  <c r="AO36" i="7"/>
  <c r="F13" i="3"/>
  <c r="H25" i="2"/>
  <c r="Q62" i="2"/>
  <c r="X27" i="3"/>
  <c r="T25" i="3"/>
  <c r="AP19" i="7"/>
  <c r="V65" i="2"/>
  <c r="AA28" i="7"/>
  <c r="Q57" i="2"/>
  <c r="H52" i="2"/>
  <c r="AG50" i="7"/>
  <c r="N59" i="2"/>
  <c r="AN37" i="7"/>
  <c r="P63" i="2"/>
  <c r="N49" i="2"/>
  <c r="AO55" i="7"/>
  <c r="F8" i="3"/>
  <c r="E23" i="3"/>
  <c r="Y14" i="7"/>
  <c r="AQ17" i="7"/>
  <c r="AQ18" i="7"/>
  <c r="E26" i="2"/>
  <c r="AR13" i="7"/>
  <c r="AL37" i="7"/>
  <c r="AA47" i="7"/>
  <c r="S64" i="2"/>
  <c r="AM46" i="7"/>
  <c r="L11" i="2"/>
  <c r="W10" i="3"/>
  <c r="AP41" i="7"/>
  <c r="AB27" i="7"/>
  <c r="AJ17" i="7"/>
  <c r="I49" i="2"/>
  <c r="G56" i="2"/>
  <c r="X15" i="3"/>
  <c r="L22" i="2"/>
  <c r="K73" i="2"/>
  <c r="AB10" i="7"/>
  <c r="AG33" i="7"/>
  <c r="M45" i="2"/>
  <c r="AJ36" i="7"/>
  <c r="M12" i="3"/>
  <c r="E47" i="2"/>
  <c r="AM15" i="7"/>
  <c r="M44" i="2"/>
  <c r="AL48" i="7"/>
  <c r="G18" i="3"/>
  <c r="AK58" i="7"/>
  <c r="S20" i="3"/>
  <c r="Y36" i="7"/>
  <c r="U12" i="3"/>
  <c r="AF19" i="7"/>
  <c r="Z54" i="7"/>
  <c r="AJ16" i="7"/>
  <c r="AR44" i="7"/>
  <c r="C10" i="10"/>
  <c r="M9" i="2"/>
  <c r="AG52" i="7"/>
  <c r="U9" i="3"/>
  <c r="AN26" i="7"/>
  <c r="R65" i="6"/>
  <c r="AI13" i="7"/>
  <c r="K14" i="2"/>
  <c r="R57" i="6"/>
  <c r="C20" i="12"/>
  <c r="AJ37" i="7"/>
  <c r="I33" i="2"/>
  <c r="S14" i="3"/>
  <c r="AD16" i="7"/>
  <c r="D19" i="3"/>
  <c r="V14" i="3"/>
  <c r="R22" i="3"/>
  <c r="M19" i="2"/>
  <c r="N22" i="2"/>
  <c r="Y22" i="3"/>
  <c r="C21" i="10"/>
  <c r="AG8" i="7"/>
  <c r="AO43" i="7"/>
  <c r="AM33" i="7"/>
  <c r="AK30" i="7"/>
  <c r="W16" i="3"/>
  <c r="AR24" i="7"/>
  <c r="AK52" i="7"/>
  <c r="AF16" i="7"/>
  <c r="X14" i="3"/>
  <c r="K15" i="2"/>
  <c r="S24" i="3"/>
  <c r="AC12" i="7"/>
  <c r="L26" i="3"/>
  <c r="K23" i="2"/>
  <c r="AS16" i="7"/>
  <c r="D16" i="10"/>
  <c r="AQ9" i="7"/>
  <c r="AC11" i="7"/>
  <c r="E26" i="3"/>
  <c r="K43" i="2"/>
  <c r="AL28" i="7"/>
  <c r="T22" i="3"/>
  <c r="J26" i="3"/>
  <c r="F27" i="3"/>
  <c r="V62" i="2"/>
  <c r="K33" i="2"/>
  <c r="AI32" i="7"/>
  <c r="H11" i="2"/>
  <c r="AK23" i="7"/>
  <c r="F55" i="2"/>
  <c r="O9" i="3"/>
  <c r="L47" i="2"/>
  <c r="N7" i="3"/>
  <c r="Q27" i="2"/>
  <c r="E39" i="2"/>
  <c r="U17" i="3"/>
  <c r="R7" i="3"/>
  <c r="H55" i="2"/>
  <c r="AQ58" i="7"/>
  <c r="N43" i="2"/>
  <c r="Q23" i="2"/>
  <c r="Z16" i="7"/>
  <c r="W64" i="2"/>
  <c r="X8" i="3"/>
  <c r="N53" i="2"/>
  <c r="Z57" i="7"/>
  <c r="AP15" i="7"/>
  <c r="AO11" i="7"/>
  <c r="K34" i="2"/>
  <c r="AA45" i="7"/>
  <c r="P9" i="3"/>
  <c r="Q49" i="2"/>
  <c r="AH52" i="7"/>
  <c r="AK13" i="7"/>
  <c r="AQ11" i="7"/>
  <c r="G11" i="2"/>
  <c r="AD19" i="7"/>
  <c r="AR15" i="7"/>
  <c r="G35" i="2"/>
  <c r="AF10" i="7"/>
  <c r="AF41" i="7"/>
  <c r="I56" i="2"/>
  <c r="H29" i="2"/>
  <c r="J11" i="3"/>
  <c r="V23" i="3"/>
  <c r="AQ55" i="7"/>
  <c r="Z13" i="7"/>
  <c r="AB38" i="7"/>
  <c r="AE16" i="7"/>
  <c r="AM18" i="7"/>
  <c r="C23" i="12"/>
  <c r="AD27" i="7"/>
  <c r="B11" i="3"/>
  <c r="F26" i="2"/>
  <c r="AJ56" i="7"/>
  <c r="AH8" i="7"/>
  <c r="AQ53" i="7"/>
  <c r="AP21" i="7"/>
  <c r="AR53" i="7"/>
  <c r="Z18" i="7"/>
  <c r="F49" i="2"/>
  <c r="AF30" i="7"/>
  <c r="I10" i="2"/>
  <c r="AE15" i="7"/>
  <c r="W14" i="3"/>
  <c r="AO29" i="7"/>
  <c r="AR33" i="7"/>
  <c r="AP18" i="7"/>
  <c r="Q73" i="2"/>
  <c r="I22" i="2"/>
  <c r="AM44" i="7"/>
  <c r="U15" i="3"/>
  <c r="AK10" i="7"/>
  <c r="AC39" i="7"/>
  <c r="G29" i="2"/>
  <c r="C24" i="10"/>
  <c r="AG13" i="7"/>
  <c r="Q56" i="2"/>
  <c r="AE42" i="7"/>
  <c r="H10" i="2"/>
  <c r="G26" i="2"/>
  <c r="I36" i="2"/>
  <c r="AL39" i="7"/>
  <c r="AC15" i="7"/>
  <c r="AQ49" i="7"/>
  <c r="G8" i="3"/>
  <c r="AO23" i="7"/>
  <c r="AF54" i="7"/>
  <c r="C8" i="3"/>
  <c r="AH55" i="7"/>
  <c r="AB29" i="7"/>
  <c r="Y27" i="3"/>
  <c r="H46" i="2"/>
  <c r="L60" i="2"/>
  <c r="I8" i="2"/>
  <c r="G14" i="2"/>
  <c r="K41" i="2"/>
  <c r="W20" i="3"/>
  <c r="AK21" i="7"/>
  <c r="AH22" i="7"/>
  <c r="AJ8" i="7"/>
  <c r="Z22" i="7"/>
  <c r="Y56" i="7"/>
  <c r="AC46" i="7"/>
  <c r="AK35" i="7"/>
  <c r="M18" i="3"/>
  <c r="AM32" i="7"/>
  <c r="N9" i="2"/>
  <c r="AO50" i="7"/>
  <c r="S17" i="3"/>
  <c r="Z25" i="7"/>
  <c r="N42" i="2"/>
  <c r="I13" i="3"/>
  <c r="E16" i="3"/>
  <c r="D24" i="3"/>
  <c r="F22" i="2"/>
  <c r="Z44" i="7"/>
  <c r="K72" i="2"/>
  <c r="AF21" i="7"/>
  <c r="AG14" i="7"/>
  <c r="G27" i="2"/>
  <c r="N46" i="2"/>
  <c r="AN46" i="7"/>
  <c r="I11" i="2"/>
  <c r="AM49" i="7"/>
  <c r="AP24" i="7"/>
  <c r="C16" i="12"/>
  <c r="J8" i="3"/>
  <c r="H24" i="2"/>
  <c r="AA23" i="7"/>
  <c r="AM8" i="7"/>
  <c r="H38" i="2"/>
  <c r="AF32" i="7"/>
  <c r="I11" i="3"/>
  <c r="F8" i="2"/>
  <c r="X16" i="3"/>
  <c r="AN49" i="7"/>
  <c r="AS20" i="7"/>
  <c r="J18" i="3"/>
  <c r="AL43" i="7"/>
  <c r="AK54" i="7"/>
  <c r="AP43" i="7"/>
  <c r="AE54" i="7"/>
  <c r="N26" i="2"/>
  <c r="AN42" i="7"/>
  <c r="G22" i="2"/>
  <c r="P60" i="6"/>
  <c r="H13" i="3"/>
  <c r="I52" i="2"/>
  <c r="AL27" i="7"/>
  <c r="O13" i="3"/>
  <c r="AL58" i="7"/>
  <c r="Q51" i="2"/>
  <c r="O22" i="3"/>
  <c r="C12" i="10"/>
  <c r="G49" i="2"/>
  <c r="AD44" i="7"/>
  <c r="F15" i="2"/>
  <c r="AN14" i="7"/>
  <c r="AI30" i="7"/>
  <c r="E48" i="2"/>
  <c r="AP44" i="7"/>
  <c r="P57" i="6"/>
  <c r="AP48" i="7"/>
  <c r="AG51" i="7"/>
  <c r="Q26" i="3"/>
  <c r="V64" i="2"/>
  <c r="F52" i="2"/>
  <c r="AF28" i="7"/>
  <c r="K13" i="3"/>
  <c r="O69" i="2"/>
  <c r="X12" i="3"/>
  <c r="M54" i="2"/>
  <c r="C9" i="3"/>
  <c r="X25" i="3"/>
  <c r="R47" i="6"/>
  <c r="F33" i="2"/>
  <c r="AC28" i="7"/>
  <c r="AK36" i="7"/>
  <c r="AH44" i="7"/>
  <c r="AA29" i="7"/>
  <c r="C6" i="12"/>
  <c r="Q52" i="2"/>
  <c r="AQ50" i="7"/>
  <c r="C18" i="3"/>
  <c r="AO53" i="7"/>
  <c r="AH21" i="7"/>
  <c r="AQ43" i="7"/>
  <c r="AN29" i="7"/>
  <c r="Y62" i="2"/>
  <c r="Y30" i="7"/>
  <c r="D16" i="3"/>
  <c r="AN13" i="7"/>
  <c r="AB9" i="7"/>
  <c r="AE48" i="7"/>
  <c r="AP22" i="7"/>
  <c r="M15" i="2"/>
  <c r="AF50" i="7"/>
  <c r="AJ27" i="7"/>
  <c r="R54" i="6"/>
  <c r="L59" i="2"/>
  <c r="Z41" i="7"/>
  <c r="O7" i="3"/>
  <c r="K26" i="2"/>
  <c r="AF23" i="7"/>
  <c r="O17" i="3"/>
  <c r="AP33" i="7"/>
  <c r="W75" i="2"/>
  <c r="AS18" i="7"/>
  <c r="AE26" i="7"/>
  <c r="AL50" i="7"/>
  <c r="M26" i="2"/>
  <c r="AS41" i="7"/>
  <c r="AP25" i="7"/>
  <c r="Z12" i="7"/>
  <c r="Q17" i="3"/>
  <c r="AA32" i="7"/>
  <c r="AQ31" i="7"/>
  <c r="K56" i="2"/>
  <c r="AM54" i="7"/>
  <c r="K10" i="3"/>
  <c r="M27" i="3"/>
  <c r="W12" i="3"/>
  <c r="AC56" i="7"/>
  <c r="AE17" i="7"/>
  <c r="AR42" i="7"/>
  <c r="G8" i="2"/>
  <c r="N16" i="2"/>
  <c r="I25" i="3"/>
  <c r="M41" i="2"/>
  <c r="S73" i="2"/>
  <c r="N13" i="3"/>
  <c r="F7" i="3"/>
  <c r="C8" i="10"/>
  <c r="AQ42" i="7"/>
  <c r="M18" i="2"/>
  <c r="L57" i="2"/>
  <c r="AC48" i="7"/>
  <c r="F11" i="3"/>
  <c r="H56" i="2"/>
  <c r="V69" i="2"/>
  <c r="N18" i="3"/>
  <c r="C17" i="12"/>
  <c r="AR16" i="7"/>
  <c r="K36" i="2"/>
  <c r="H58" i="2"/>
  <c r="I24" i="2"/>
  <c r="AG27" i="7"/>
  <c r="Z9" i="7"/>
  <c r="H23" i="3"/>
  <c r="O27" i="3"/>
  <c r="M8" i="3"/>
  <c r="AL47" i="7"/>
  <c r="AB25" i="7"/>
  <c r="F14" i="3"/>
  <c r="AD46" i="7"/>
  <c r="Q16" i="3"/>
  <c r="G20" i="3"/>
  <c r="Y31" i="7"/>
  <c r="K68" i="2"/>
  <c r="L25" i="2"/>
  <c r="L55" i="2"/>
  <c r="F18" i="2"/>
  <c r="W21" i="3"/>
  <c r="AH58" i="7"/>
  <c r="AK16" i="7"/>
  <c r="C23" i="3"/>
  <c r="O11" i="3"/>
  <c r="F27" i="2"/>
  <c r="AN31" i="7"/>
  <c r="M27" i="2"/>
  <c r="Z52" i="7"/>
  <c r="Q70" i="2"/>
  <c r="L44" i="2"/>
  <c r="G13" i="3"/>
  <c r="F19" i="2"/>
  <c r="AC47" i="7"/>
  <c r="P16" i="3"/>
  <c r="AS57" i="7"/>
  <c r="Q11" i="3"/>
  <c r="Y33" i="7"/>
  <c r="K49" i="2"/>
  <c r="Q19" i="3"/>
  <c r="C23" i="10"/>
  <c r="K71" i="2"/>
  <c r="U22" i="3"/>
  <c r="X26" i="3"/>
  <c r="R15" i="3"/>
  <c r="P12" i="3"/>
  <c r="AN21" i="7"/>
  <c r="AS54" i="7"/>
  <c r="U7" i="3"/>
  <c r="Y28" i="7"/>
  <c r="G46" i="2"/>
  <c r="AE32" i="7"/>
  <c r="N11" i="3"/>
  <c r="AD31" i="7"/>
  <c r="AB50" i="7"/>
  <c r="AN56" i="7"/>
  <c r="AI51" i="7"/>
  <c r="E27" i="3"/>
  <c r="D24" i="10"/>
  <c r="AJ20" i="7"/>
  <c r="AG21" i="7"/>
  <c r="M20" i="3"/>
  <c r="AL21" i="7"/>
  <c r="S25" i="3"/>
  <c r="N26" i="3"/>
  <c r="F34" i="2"/>
  <c r="AH36" i="7"/>
  <c r="W27" i="3"/>
  <c r="M17" i="3"/>
  <c r="AL52" i="7"/>
  <c r="AE33" i="7"/>
  <c r="AE22" i="7"/>
  <c r="AM31" i="7"/>
  <c r="P7" i="3"/>
  <c r="AS31" i="7"/>
  <c r="I55" i="2"/>
  <c r="U21" i="3"/>
  <c r="AN12" i="7"/>
  <c r="U62" i="2"/>
  <c r="AR54" i="7"/>
  <c r="G14" i="3"/>
  <c r="AG18" i="7"/>
  <c r="AE53" i="7"/>
  <c r="AH37" i="7"/>
  <c r="Y8" i="7"/>
  <c r="AB52" i="7"/>
  <c r="K15" i="3"/>
  <c r="P64" i="6"/>
  <c r="Y41" i="7"/>
  <c r="AP35" i="7"/>
  <c r="AJ46" i="7"/>
  <c r="N28" i="2"/>
  <c r="B24" i="3"/>
  <c r="AK55" i="7"/>
  <c r="R55" i="6"/>
  <c r="I25" i="2"/>
  <c r="R64" i="6"/>
  <c r="H48" i="2"/>
  <c r="U27" i="3"/>
  <c r="L9" i="2"/>
  <c r="P10" i="3"/>
  <c r="R11" i="3"/>
  <c r="AJ43" i="7"/>
  <c r="Q39" i="2"/>
  <c r="K37" i="2"/>
  <c r="Y13" i="7"/>
  <c r="F47" i="2"/>
  <c r="G12" i="2"/>
  <c r="AD24" i="7"/>
  <c r="F22" i="3"/>
  <c r="AR36" i="7"/>
  <c r="AB33" i="7"/>
  <c r="J12" i="3"/>
  <c r="O75" i="2"/>
  <c r="R18" i="3"/>
  <c r="E52" i="2"/>
  <c r="AH50" i="7"/>
  <c r="M17" i="2"/>
  <c r="AQ19" i="7"/>
  <c r="AP50" i="7"/>
  <c r="I23" i="2"/>
  <c r="AD29" i="7"/>
  <c r="V8" i="3"/>
  <c r="L23" i="3"/>
  <c r="K47" i="2"/>
  <c r="AQ39" i="7"/>
  <c r="M16" i="3"/>
  <c r="C13" i="3"/>
  <c r="V11" i="3"/>
  <c r="AP58" i="7"/>
  <c r="R67" i="2"/>
  <c r="AE45" i="7"/>
  <c r="AM26" i="7"/>
  <c r="AR30" i="7"/>
  <c r="AB24" i="7"/>
  <c r="V27" i="3"/>
  <c r="H20" i="2"/>
  <c r="P23" i="3"/>
  <c r="AH43" i="7"/>
  <c r="S23" i="3"/>
  <c r="AE41" i="7"/>
  <c r="AF26" i="7"/>
  <c r="P64" i="2"/>
  <c r="Q8" i="3"/>
  <c r="AS49" i="7"/>
  <c r="T13" i="3"/>
  <c r="G25" i="2"/>
  <c r="AN11" i="7"/>
  <c r="AD30" i="7"/>
  <c r="O12" i="3"/>
  <c r="AA26" i="7"/>
  <c r="AE9" i="7"/>
  <c r="V10" i="3"/>
  <c r="K22" i="2"/>
  <c r="AO19" i="7"/>
  <c r="F10" i="3"/>
  <c r="E36" i="2"/>
  <c r="Q54" i="6"/>
  <c r="C24" i="3"/>
  <c r="Q56" i="6"/>
  <c r="Z27" i="7"/>
  <c r="AS24" i="7"/>
  <c r="R13" i="3"/>
  <c r="G52" i="2"/>
  <c r="K9" i="3"/>
  <c r="P46" i="6"/>
  <c r="L45" i="2"/>
  <c r="F12" i="2"/>
  <c r="E49" i="2"/>
  <c r="Z47" i="7"/>
  <c r="AB58" i="7"/>
  <c r="H7" i="3"/>
  <c r="S9" i="3"/>
  <c r="V12" i="3"/>
  <c r="P13" i="3"/>
  <c r="Q54" i="2"/>
  <c r="Y35" i="7"/>
  <c r="AO48" i="7"/>
  <c r="F53" i="2"/>
  <c r="AM53" i="7"/>
  <c r="G9" i="3"/>
  <c r="AO51" i="7"/>
  <c r="L8" i="2"/>
  <c r="AS32" i="7"/>
  <c r="AL23" i="7"/>
  <c r="W23" i="3"/>
  <c r="AS13" i="7"/>
  <c r="AI33" i="7"/>
  <c r="AM57" i="7"/>
  <c r="G57" i="2"/>
  <c r="AP37" i="7"/>
  <c r="AK18" i="7"/>
  <c r="M21" i="2"/>
  <c r="AH18" i="7"/>
  <c r="AA12" i="7"/>
  <c r="P59" i="6"/>
  <c r="D21" i="3"/>
  <c r="Z42" i="7"/>
  <c r="AB47" i="7"/>
  <c r="AP42" i="7"/>
  <c r="H11" i="3"/>
  <c r="F25" i="3"/>
  <c r="AF45" i="7"/>
  <c r="AL29" i="7"/>
  <c r="O73" i="2"/>
  <c r="N48" i="2"/>
  <c r="E22" i="2"/>
  <c r="AP20" i="7"/>
  <c r="AB16" i="7"/>
  <c r="Y15" i="7"/>
  <c r="AE31" i="7"/>
  <c r="AH53" i="7"/>
  <c r="M51" i="2"/>
  <c r="AO35" i="7"/>
  <c r="AC19" i="7"/>
  <c r="L9" i="3"/>
  <c r="AG55" i="7"/>
  <c r="P58" i="6"/>
  <c r="AC44" i="7"/>
  <c r="AE49" i="7"/>
  <c r="AD50" i="7"/>
  <c r="AA31" i="7"/>
  <c r="Z37" i="7"/>
  <c r="AD25" i="7"/>
  <c r="AM16" i="7"/>
  <c r="I46" i="2"/>
  <c r="AJ58" i="7"/>
  <c r="AJ18" i="7"/>
  <c r="AD13" i="7"/>
  <c r="AJ31" i="7"/>
  <c r="X24" i="3"/>
  <c r="E51" i="2"/>
  <c r="AI16" i="7"/>
  <c r="AH56" i="7"/>
  <c r="G26" i="3"/>
  <c r="AJ35" i="7"/>
  <c r="L31" i="2"/>
  <c r="AM36" i="7"/>
  <c r="E22" i="3"/>
  <c r="AM25" i="7"/>
  <c r="E35" i="2"/>
  <c r="E13" i="3"/>
  <c r="AC42" i="7"/>
  <c r="L52" i="2"/>
  <c r="H22" i="2"/>
  <c r="N8" i="3"/>
  <c r="C15" i="12"/>
  <c r="AL10" i="7"/>
  <c r="W11" i="3"/>
  <c r="AH48" i="7"/>
  <c r="Q33" i="2"/>
  <c r="AM45" i="7"/>
  <c r="Y49" i="7"/>
  <c r="U16" i="3"/>
  <c r="AI49" i="7"/>
  <c r="AP31" i="7"/>
  <c r="AN27" i="7"/>
  <c r="H14" i="3"/>
  <c r="AG35" i="7"/>
  <c r="F12" i="3"/>
  <c r="Z32" i="7"/>
  <c r="Q32" i="2"/>
  <c r="E59" i="2"/>
  <c r="H34" i="2"/>
  <c r="Q20" i="3"/>
  <c r="M23" i="2"/>
  <c r="AF17" i="7"/>
  <c r="AH19" i="7"/>
  <c r="C24" i="12"/>
  <c r="Y11" i="7"/>
  <c r="AJ15" i="7"/>
  <c r="AI35" i="7"/>
  <c r="AH13" i="7"/>
  <c r="T20" i="3"/>
  <c r="AA9" i="7"/>
  <c r="AC36" i="7"/>
  <c r="F16" i="2"/>
  <c r="AR43" i="7"/>
  <c r="AH23" i="7"/>
  <c r="G36" i="2"/>
  <c r="P26" i="3"/>
  <c r="Y57" i="7"/>
  <c r="V70" i="2"/>
  <c r="AC37" i="7"/>
  <c r="AH30" i="7"/>
  <c r="K12" i="3"/>
  <c r="L35" i="2"/>
  <c r="AE24" i="7"/>
  <c r="I47" i="2"/>
  <c r="L48" i="2"/>
  <c r="Q64" i="6"/>
  <c r="U11" i="3"/>
  <c r="AA33" i="7"/>
  <c r="T74" i="2"/>
  <c r="AG32" i="7"/>
  <c r="B27" i="3"/>
  <c r="C22" i="3"/>
  <c r="N23" i="3"/>
  <c r="AA8" i="7"/>
  <c r="AG44" i="7"/>
  <c r="N8" i="2"/>
  <c r="AP52" i="7"/>
  <c r="AJ49" i="7"/>
  <c r="M52" i="2"/>
  <c r="E32" i="2"/>
  <c r="L10" i="2"/>
  <c r="C15" i="3"/>
  <c r="AD35" i="7"/>
  <c r="S62" i="2"/>
  <c r="AI55" i="7"/>
  <c r="AS15" i="7"/>
  <c r="Y10" i="7"/>
  <c r="AF8" i="7"/>
  <c r="AN19" i="7"/>
  <c r="N24" i="3"/>
  <c r="Y21" i="7"/>
  <c r="Q58" i="2"/>
  <c r="AF57" i="7"/>
  <c r="V21" i="3"/>
  <c r="AN54" i="7"/>
  <c r="AA42" i="7"/>
  <c r="AA37" i="7"/>
  <c r="AB35" i="7"/>
  <c r="I7" i="3"/>
  <c r="AB28" i="7"/>
  <c r="C11" i="10"/>
  <c r="O14" i="3"/>
  <c r="M58" i="2"/>
  <c r="AB55" i="7"/>
  <c r="AG45" i="7"/>
  <c r="Y23" i="3"/>
  <c r="AF39" i="7"/>
  <c r="E23" i="2"/>
  <c r="R26" i="3"/>
  <c r="V25" i="3"/>
  <c r="Q30" i="2"/>
  <c r="AI17" i="7"/>
  <c r="R68" i="2"/>
  <c r="E46" i="2"/>
  <c r="I16" i="3"/>
  <c r="AA41" i="7"/>
  <c r="Z11" i="7"/>
  <c r="E40" i="2"/>
  <c r="AR29" i="7"/>
  <c r="AC55" i="7"/>
  <c r="AG11" i="7"/>
  <c r="M25" i="2"/>
  <c r="AM55" i="7"/>
  <c r="I12" i="3"/>
  <c r="U26" i="3"/>
  <c r="AC26" i="7"/>
  <c r="M38" i="2"/>
  <c r="AN22" i="7"/>
  <c r="I51" i="2"/>
  <c r="AN9" i="7"/>
  <c r="Y47" i="7"/>
  <c r="AP32" i="7"/>
  <c r="Z21" i="7"/>
  <c r="M7" i="3"/>
  <c r="AD18" i="7"/>
  <c r="F31" i="2"/>
  <c r="AA17" i="7"/>
  <c r="AL9" i="7"/>
  <c r="Q18" i="2"/>
  <c r="Q35" i="2"/>
  <c r="B10" i="3"/>
  <c r="H44" i="2"/>
  <c r="AQ28" i="7"/>
  <c r="P47" i="6"/>
  <c r="AS51" i="7"/>
  <c r="C22" i="10"/>
  <c r="R16" i="3"/>
  <c r="AN38" i="7"/>
  <c r="D18" i="3"/>
  <c r="Y9" i="7"/>
  <c r="AN8" i="7"/>
  <c r="AP51" i="7"/>
  <c r="R46" i="6"/>
  <c r="AM12" i="7"/>
  <c r="J13" i="3"/>
  <c r="V19" i="3"/>
  <c r="AS28" i="7"/>
  <c r="AD43" i="7"/>
  <c r="AD37" i="7"/>
  <c r="I37" i="2"/>
  <c r="F59" i="2"/>
  <c r="Q74" i="2"/>
  <c r="F40" i="2"/>
  <c r="AD51" i="7"/>
  <c r="D15" i="10"/>
  <c r="AP29" i="7"/>
  <c r="AL30" i="7"/>
  <c r="AQ48" i="7"/>
  <c r="K51" i="2"/>
  <c r="I38" i="2"/>
  <c r="N32" i="2"/>
  <c r="L10" i="3"/>
  <c r="AB49" i="7"/>
  <c r="W7" i="3"/>
  <c r="N35" i="2"/>
  <c r="E21" i="3"/>
  <c r="AD10" i="7"/>
  <c r="AN33" i="7"/>
  <c r="AR37" i="7"/>
  <c r="Q61" i="2"/>
  <c r="AQ52" i="7"/>
  <c r="Q12" i="2"/>
  <c r="AS55" i="7"/>
  <c r="AJ29" i="7"/>
  <c r="K46" i="2"/>
  <c r="AA58" i="7"/>
  <c r="AC24" i="7"/>
  <c r="D14" i="3"/>
  <c r="I60" i="2"/>
  <c r="AA43" i="7"/>
  <c r="AS14" i="7"/>
  <c r="O63" i="2"/>
  <c r="AA54" i="7"/>
  <c r="U13" i="3"/>
  <c r="AQ38" i="7"/>
  <c r="Q48" i="2"/>
  <c r="N50" i="2"/>
  <c r="AG15" i="7"/>
  <c r="V72" i="2"/>
  <c r="W25" i="3"/>
  <c r="V15" i="3"/>
  <c r="S22" i="3"/>
  <c r="I16" i="2"/>
  <c r="AQ36" i="7"/>
  <c r="V76" i="2"/>
  <c r="AL55" i="7"/>
  <c r="AM23" i="7"/>
  <c r="G32" i="2"/>
  <c r="Y39" i="7"/>
  <c r="AM56" i="7"/>
  <c r="X11" i="3"/>
  <c r="H17" i="2"/>
  <c r="AP12" i="7"/>
  <c r="W61" i="2"/>
  <c r="AJ21" i="7"/>
  <c r="AG46" i="7"/>
  <c r="M57" i="2"/>
  <c r="Q18" i="3"/>
  <c r="K13" i="2"/>
  <c r="AF27" i="7"/>
  <c r="M39" i="2"/>
  <c r="Y11" i="3"/>
  <c r="AS58" i="7"/>
  <c r="AK22" i="7"/>
  <c r="R51" i="6"/>
  <c r="AO22" i="7"/>
  <c r="P20" i="3"/>
  <c r="R58" i="6"/>
  <c r="G53" i="2"/>
  <c r="E16" i="2"/>
  <c r="B25" i="3"/>
  <c r="L23" i="2"/>
  <c r="AD21" i="7"/>
  <c r="K20" i="2"/>
  <c r="C20" i="3"/>
  <c r="AM27" i="7"/>
  <c r="N52" i="2"/>
  <c r="AA25" i="7"/>
  <c r="K17" i="3"/>
  <c r="G19" i="3"/>
  <c r="G18" i="2"/>
  <c r="K50" i="2"/>
  <c r="I59" i="2"/>
  <c r="AK57" i="7"/>
  <c r="F20" i="2"/>
  <c r="AB19" i="7"/>
  <c r="R66" i="2"/>
  <c r="E58" i="2"/>
  <c r="Y18" i="3"/>
  <c r="AL53" i="7"/>
  <c r="L58" i="2"/>
  <c r="H22" i="3"/>
  <c r="AN43" i="7"/>
  <c r="AE23" i="7"/>
  <c r="P24" i="3"/>
  <c r="O65" i="2"/>
  <c r="AP16" i="7"/>
  <c r="E24" i="2"/>
  <c r="AS21" i="7"/>
  <c r="C21" i="12"/>
  <c r="T12" i="3"/>
  <c r="AE57" i="7"/>
  <c r="AK56" i="7"/>
  <c r="Y51" i="7"/>
  <c r="AR35" i="7"/>
  <c r="V7" i="3"/>
  <c r="K18" i="2"/>
  <c r="K74" i="2"/>
  <c r="U67" i="2"/>
  <c r="F21" i="3"/>
  <c r="E31" i="2"/>
  <c r="K27" i="2"/>
  <c r="AN47" i="7"/>
  <c r="AE52" i="7"/>
  <c r="W9" i="3"/>
  <c r="U66" i="2"/>
  <c r="K27" i="3"/>
  <c r="Y38" i="7"/>
  <c r="AG57" i="7"/>
  <c r="L51" i="2"/>
  <c r="G17" i="3"/>
  <c r="AF24" i="7"/>
  <c r="N60" i="2"/>
  <c r="AB13" i="7"/>
  <c r="AC49" i="7"/>
  <c r="AH16" i="7"/>
  <c r="AR32" i="7"/>
  <c r="K64" i="2"/>
  <c r="Q15" i="2"/>
  <c r="M13" i="3"/>
  <c r="E18" i="3"/>
  <c r="AE58" i="7"/>
  <c r="J19" i="3"/>
  <c r="AO25" i="7"/>
  <c r="S11" i="3"/>
  <c r="F56" i="2"/>
  <c r="H50" i="2"/>
  <c r="AD12" i="7"/>
  <c r="AR25" i="7"/>
  <c r="M32" i="2"/>
  <c r="AO32" i="7"/>
  <c r="AE29" i="7"/>
  <c r="F58" i="2"/>
  <c r="AG16" i="7"/>
  <c r="AA52" i="7"/>
  <c r="I17" i="3"/>
  <c r="N9" i="3"/>
  <c r="R45" i="6"/>
  <c r="AG25" i="7"/>
  <c r="E30" i="2"/>
  <c r="AO44" i="7"/>
  <c r="T61" i="2"/>
  <c r="Y26" i="7"/>
  <c r="R50" i="6"/>
  <c r="AL19" i="7"/>
  <c r="AQ56" i="7"/>
  <c r="AF18" i="7"/>
  <c r="H30" i="2"/>
  <c r="N21" i="3"/>
  <c r="H15" i="3"/>
  <c r="H16" i="3"/>
  <c r="V73" i="2"/>
  <c r="AN24" i="7"/>
  <c r="T9" i="3"/>
  <c r="E11" i="3"/>
  <c r="C15" i="10"/>
  <c r="X20" i="3"/>
  <c r="L56" i="2"/>
  <c r="G30" i="2"/>
  <c r="AS36" i="7"/>
  <c r="C26" i="12"/>
  <c r="AN41" i="7"/>
  <c r="E19" i="2"/>
  <c r="AP30" i="7"/>
  <c r="AI54" i="7"/>
  <c r="AN32" i="7"/>
  <c r="C19" i="12"/>
  <c r="K11" i="3"/>
  <c r="Y46" i="7"/>
  <c r="Q44" i="2"/>
  <c r="AD17" i="7"/>
  <c r="Y22" i="7"/>
  <c r="K31" i="2"/>
  <c r="AH42" i="7"/>
  <c r="E53" i="2"/>
  <c r="W19" i="3"/>
  <c r="AJ50" i="7"/>
  <c r="S27" i="3"/>
  <c r="J23" i="3"/>
  <c r="K19" i="3"/>
  <c r="Y17" i="7"/>
  <c r="M9" i="3"/>
  <c r="AS39" i="7"/>
  <c r="AI28" i="7"/>
  <c r="AM11" i="7"/>
  <c r="N20" i="2"/>
  <c r="AF20" i="7"/>
  <c r="AB14" i="7"/>
  <c r="Q42" i="2"/>
  <c r="AQ26" i="7"/>
  <c r="AJ53" i="7"/>
  <c r="AA20" i="7"/>
  <c r="AQ37" i="7"/>
  <c r="L13" i="2"/>
  <c r="K52" i="2"/>
  <c r="N17" i="2"/>
  <c r="P27" i="3"/>
  <c r="N15" i="3"/>
  <c r="AP9" i="7"/>
  <c r="Q21" i="2"/>
  <c r="AF25" i="7"/>
  <c r="R10" i="3"/>
  <c r="AH27" i="7"/>
  <c r="K39" i="2"/>
  <c r="C17" i="10"/>
  <c r="AK28" i="7"/>
  <c r="AK31" i="7"/>
  <c r="AE35" i="7"/>
  <c r="AA46" i="7"/>
  <c r="Q46" i="6"/>
  <c r="G22" i="3"/>
  <c r="E14" i="3"/>
  <c r="G50" i="2"/>
  <c r="AI10" i="7"/>
  <c r="AS17" i="7"/>
  <c r="H45" i="2"/>
  <c r="F29" i="2"/>
  <c r="AI45" i="7"/>
  <c r="O10" i="3"/>
  <c r="AJ26" i="7"/>
  <c r="AB37" i="7"/>
  <c r="AK12" i="7"/>
  <c r="Z20" i="7"/>
  <c r="K20" i="3"/>
  <c r="L39" i="2"/>
  <c r="AA14" i="7"/>
  <c r="E14" i="2"/>
  <c r="M22" i="3"/>
  <c r="P19" i="3"/>
  <c r="AB12" i="7"/>
  <c r="AB8" i="7"/>
  <c r="M11" i="3"/>
  <c r="AF13" i="7"/>
  <c r="AO39" i="7"/>
  <c r="L20" i="3"/>
  <c r="Y16" i="3"/>
  <c r="AA35" i="7"/>
  <c r="M46" i="2"/>
  <c r="N51" i="2"/>
  <c r="AI9" i="7"/>
  <c r="Q59" i="6"/>
  <c r="AK33" i="7"/>
  <c r="P50" i="6"/>
  <c r="AL16" i="7"/>
  <c r="AA11" i="7"/>
  <c r="AR8" i="7"/>
  <c r="AS8" i="7"/>
  <c r="AH28" i="7"/>
  <c r="B19" i="3"/>
  <c r="F43" i="2"/>
  <c r="D9" i="3"/>
  <c r="M31" i="2"/>
  <c r="AD53" i="7"/>
  <c r="AD55" i="7"/>
  <c r="H57" i="2"/>
  <c r="Z19" i="7"/>
  <c r="S19" i="3"/>
  <c r="H20" i="3"/>
  <c r="AC8" i="7"/>
  <c r="AM35" i="7"/>
  <c r="AJ54" i="7"/>
  <c r="K26" i="3"/>
  <c r="AL17" i="7"/>
  <c r="Y29" i="7"/>
  <c r="AP28" i="7"/>
  <c r="K65" i="2"/>
  <c r="T8" i="3"/>
  <c r="L21" i="3"/>
  <c r="AI52" i="7"/>
  <c r="AN36" i="7"/>
  <c r="Y13" i="3"/>
  <c r="O68" i="2"/>
  <c r="B12" i="3"/>
  <c r="Q45" i="2"/>
  <c r="AG29" i="7"/>
  <c r="K42" i="2"/>
  <c r="AO54" i="7"/>
  <c r="AL51" i="7"/>
  <c r="AA13" i="7"/>
  <c r="G7" i="3"/>
  <c r="AI8" i="7"/>
  <c r="V18" i="3"/>
  <c r="AF33" i="7"/>
  <c r="E13" i="2"/>
  <c r="J21" i="3"/>
  <c r="AD54" i="7"/>
  <c r="AQ15" i="7"/>
  <c r="AN48" i="7"/>
  <c r="B26" i="3"/>
  <c r="AE46" i="7"/>
  <c r="AH10" i="7"/>
  <c r="M33" i="2"/>
  <c r="I8" i="3"/>
  <c r="L50" i="2"/>
  <c r="Y45" i="7"/>
  <c r="T27" i="3"/>
  <c r="G28" i="2"/>
  <c r="AM21" i="7"/>
  <c r="AH20" i="7"/>
  <c r="K53" i="2"/>
  <c r="L34" i="2"/>
  <c r="AS25" i="7"/>
  <c r="F57" i="2"/>
  <c r="AI11" i="7"/>
  <c r="AL26" i="7"/>
  <c r="N31" i="2"/>
  <c r="F17" i="2"/>
  <c r="AO24" i="7"/>
  <c r="P62" i="2"/>
  <c r="AS48" i="7"/>
  <c r="AF15" i="7"/>
  <c r="G54" i="2"/>
  <c r="AO15" i="7"/>
  <c r="E8" i="3"/>
  <c r="AM52" i="7"/>
  <c r="D7" i="10"/>
  <c r="AA51" i="7"/>
  <c r="H49" i="2"/>
  <c r="AQ25" i="7"/>
  <c r="L41" i="2"/>
  <c r="M16" i="2"/>
  <c r="E60" i="2"/>
  <c r="AQ8" i="7"/>
  <c r="F21" i="2"/>
  <c r="E20" i="3"/>
  <c r="AF55" i="7"/>
  <c r="AB56" i="7"/>
  <c r="M60" i="2"/>
  <c r="F32" i="2"/>
  <c r="AL32" i="7"/>
  <c r="AL45" i="7"/>
  <c r="AB46" i="7"/>
  <c r="I34" i="2"/>
  <c r="AR11" i="7"/>
  <c r="AI46" i="7"/>
  <c r="AC51" i="7"/>
  <c r="AE19" i="7"/>
  <c r="AH54" i="7"/>
  <c r="K29" i="2"/>
  <c r="AG41" i="7"/>
  <c r="AF35" i="7"/>
  <c r="I24" i="3"/>
  <c r="W62" i="2"/>
  <c r="AK42" i="7"/>
  <c r="S16" i="3"/>
  <c r="N47" i="2"/>
  <c r="AS19" i="7"/>
  <c r="AF22" i="7"/>
  <c r="I53" i="2"/>
  <c r="AJ45" i="7"/>
  <c r="AK48" i="7"/>
  <c r="G16" i="2"/>
  <c r="B7" i="3"/>
  <c r="R14" i="3"/>
  <c r="L14" i="3"/>
  <c r="H39" i="2"/>
  <c r="AG24" i="7"/>
  <c r="K21" i="3"/>
  <c r="V9" i="3"/>
  <c r="I9" i="2"/>
  <c r="N18" i="2"/>
  <c r="AL44" i="7"/>
  <c r="R12" i="3"/>
  <c r="O21" i="3"/>
  <c r="H12" i="3"/>
  <c r="G48" i="2"/>
  <c r="O15" i="3"/>
  <c r="K77" i="2"/>
  <c r="O8" i="3"/>
  <c r="AE50" i="7"/>
  <c r="C14" i="10"/>
  <c r="AA44" i="7"/>
  <c r="AK49" i="7"/>
  <c r="AK41" i="7"/>
  <c r="L36" i="2"/>
  <c r="I27" i="2"/>
  <c r="C27" i="3"/>
  <c r="AJ32" i="7"/>
  <c r="S12" i="3"/>
  <c r="AL54" i="7"/>
  <c r="AG23" i="7"/>
  <c r="Y32" i="7"/>
  <c r="Q48" i="6"/>
  <c r="M53" i="2"/>
  <c r="W8" i="3"/>
  <c r="AQ51" i="7"/>
  <c r="D18" i="10"/>
  <c r="AE55" i="7"/>
  <c r="G17" i="2"/>
  <c r="AR57" i="7"/>
  <c r="Q63" i="6"/>
  <c r="Q13" i="3"/>
  <c r="B15" i="3"/>
  <c r="AQ13" i="7"/>
  <c r="B8" i="3"/>
  <c r="AS50" i="7"/>
  <c r="AQ12" i="7"/>
  <c r="Y20" i="3"/>
  <c r="M10" i="3"/>
  <c r="AD9" i="7"/>
  <c r="T26" i="3"/>
  <c r="AA22" i="7"/>
  <c r="C9" i="12"/>
  <c r="Q60" i="6"/>
  <c r="T17" i="3"/>
  <c r="W26" i="3"/>
  <c r="AL15" i="7"/>
  <c r="D26" i="3"/>
  <c r="Q24" i="2"/>
  <c r="I31" i="2"/>
  <c r="L38" i="2"/>
  <c r="E9" i="3"/>
  <c r="N57" i="2"/>
  <c r="X10" i="3"/>
  <c r="D20" i="10"/>
  <c r="F60" i="2"/>
  <c r="AI15" i="7"/>
  <c r="AC9" i="7"/>
  <c r="C20" i="10"/>
  <c r="N10" i="2"/>
  <c r="AO18" i="7"/>
  <c r="J20" i="3"/>
  <c r="P22" i="3"/>
  <c r="Z26" i="7"/>
  <c r="D22" i="3"/>
  <c r="C8" i="12"/>
  <c r="Y27" i="7"/>
  <c r="I50" i="2"/>
  <c r="C11" i="3"/>
  <c r="J16" i="3"/>
  <c r="Z48" i="7"/>
  <c r="N16" i="3"/>
  <c r="AA36" i="7"/>
  <c r="AR45" i="7"/>
  <c r="L43" i="2"/>
  <c r="J9" i="3"/>
  <c r="AS10" i="7"/>
  <c r="AB39" i="7"/>
  <c r="K57" i="2"/>
  <c r="Q57" i="6"/>
  <c r="AG22" i="7"/>
  <c r="Y12" i="3"/>
  <c r="AN28" i="7"/>
  <c r="J17" i="3"/>
  <c r="M55" i="2"/>
  <c r="AL14" i="7"/>
  <c r="AE28" i="7"/>
  <c r="AJ33" i="7"/>
  <c r="T14" i="3"/>
  <c r="X18" i="3"/>
  <c r="K28" i="2"/>
  <c r="Y37" i="7"/>
  <c r="D20" i="3"/>
  <c r="AE18" i="7"/>
  <c r="AM14" i="7"/>
  <c r="AR41" i="7"/>
  <c r="R48" i="6"/>
  <c r="AM22" i="7"/>
  <c r="Q61" i="6"/>
  <c r="AI53" i="7"/>
  <c r="I20" i="2"/>
  <c r="AF46" i="7"/>
  <c r="I54" i="2"/>
  <c r="R63" i="6"/>
  <c r="AM47" i="7"/>
  <c r="AS22" i="7"/>
  <c r="H18" i="3"/>
  <c r="O83" i="2"/>
  <c r="F19" i="3"/>
  <c r="Y25" i="7"/>
  <c r="AH25" i="7"/>
  <c r="AC50" i="7"/>
  <c r="AS30" i="7"/>
  <c r="I14" i="2"/>
  <c r="O78" i="2"/>
  <c r="W15" i="3"/>
  <c r="AD57" i="7"/>
  <c r="AO56" i="7"/>
  <c r="I10" i="3"/>
  <c r="AD8" i="7"/>
  <c r="AB21" i="7"/>
  <c r="AG38" i="7"/>
  <c r="I13" i="2"/>
  <c r="AH39" i="7"/>
  <c r="L24" i="2"/>
  <c r="L27" i="3"/>
  <c r="AB18" i="7"/>
  <c r="AO58" i="7"/>
  <c r="AC10" i="7"/>
  <c r="U14" i="3"/>
  <c r="AD33" i="7"/>
  <c r="S63" i="2"/>
  <c r="Y43" i="7"/>
  <c r="AH51" i="7"/>
  <c r="W22" i="3"/>
  <c r="AI12" i="7"/>
  <c r="N12" i="3"/>
  <c r="Z15" i="7"/>
  <c r="J25" i="3"/>
  <c r="L53" i="2"/>
  <c r="K19" i="2"/>
  <c r="K66" i="2"/>
  <c r="AJ24" i="7"/>
  <c r="W13" i="3"/>
  <c r="H21" i="3"/>
  <c r="AR50" i="7"/>
  <c r="Y77" i="2"/>
  <c r="AC27" i="7"/>
  <c r="P63" i="6"/>
  <c r="E18" i="2"/>
  <c r="G10" i="2"/>
  <c r="AJ25" i="7"/>
  <c r="O70" i="2"/>
  <c r="L14" i="2"/>
  <c r="K7" i="3"/>
  <c r="Y44" i="7"/>
  <c r="N25" i="3"/>
  <c r="AE27" i="7"/>
  <c r="AG39" i="7"/>
  <c r="G21" i="3"/>
  <c r="AA27" i="7"/>
  <c r="AR55" i="7"/>
  <c r="K54" i="2"/>
  <c r="AO12" i="7"/>
  <c r="P62" i="6"/>
  <c r="N19" i="2"/>
  <c r="N21" i="2"/>
  <c r="V71" i="2"/>
  <c r="AL20" i="7"/>
  <c r="AP56" i="7"/>
  <c r="G11" i="3"/>
  <c r="I42" i="2"/>
  <c r="F51" i="2"/>
  <c r="W18" i="3"/>
  <c r="I22" i="3"/>
  <c r="B16" i="3"/>
  <c r="U25" i="3"/>
  <c r="G20" i="2"/>
  <c r="G45" i="2"/>
  <c r="AA30" i="7"/>
  <c r="E25" i="3"/>
  <c r="D27" i="3"/>
  <c r="Q10" i="3"/>
  <c r="AI48" i="7"/>
  <c r="G43" i="2"/>
  <c r="E15" i="2"/>
  <c r="Z43" i="7"/>
  <c r="E44" i="2"/>
  <c r="G42" i="2"/>
  <c r="AE11" i="7"/>
  <c r="F11" i="2"/>
  <c r="AB41" i="7"/>
  <c r="I44" i="2"/>
  <c r="AD15" i="7"/>
  <c r="G27" i="3"/>
  <c r="Q53" i="6"/>
  <c r="AI23" i="7"/>
  <c r="I35" i="2"/>
  <c r="AJ13" i="7"/>
  <c r="AS46" i="7"/>
  <c r="I57" i="2"/>
  <c r="S10" i="3"/>
  <c r="F24" i="2"/>
  <c r="E55" i="2"/>
  <c r="AD48" i="7"/>
  <c r="Z58" i="7"/>
  <c r="F13" i="2"/>
  <c r="AA21" i="7"/>
  <c r="AJ48" i="7"/>
  <c r="E20" i="2"/>
  <c r="AC14" i="7"/>
  <c r="V20" i="3"/>
  <c r="Y52" i="7"/>
  <c r="AA49" i="7"/>
  <c r="Y7" i="3"/>
  <c r="G58" i="2"/>
  <c r="Z46" i="7"/>
  <c r="AC32" i="7"/>
  <c r="M35" i="2"/>
  <c r="V24" i="3"/>
  <c r="E8" i="2"/>
  <c r="H42" i="2"/>
  <c r="AI57" i="7"/>
  <c r="V26" i="3"/>
  <c r="R80" i="2"/>
  <c r="AG48" i="7"/>
  <c r="H9" i="2"/>
  <c r="K24" i="3"/>
  <c r="N22" i="3"/>
  <c r="L15" i="2"/>
  <c r="AR58" i="7"/>
  <c r="N54" i="2"/>
  <c r="L26" i="2"/>
  <c r="N14" i="3"/>
  <c r="I26" i="3"/>
  <c r="Z30" i="7"/>
  <c r="I29" i="2"/>
  <c r="M23" i="3"/>
  <c r="AE30" i="7"/>
  <c r="L11" i="3"/>
  <c r="F50" i="2"/>
  <c r="Q9" i="2"/>
  <c r="X61" i="2"/>
  <c r="K23" i="3"/>
  <c r="M12" i="2"/>
  <c r="C9" i="10"/>
  <c r="AQ16" i="7"/>
  <c r="Y50" i="7"/>
  <c r="K17" i="2"/>
  <c r="P73" i="2"/>
  <c r="AF14" i="7"/>
  <c r="AF43" i="7"/>
  <c r="AO37" i="7"/>
  <c r="AL33" i="7"/>
  <c r="L33" i="2"/>
  <c r="D26" i="10"/>
  <c r="AL25" i="7"/>
  <c r="X13" i="3"/>
  <c r="AL18" i="7"/>
  <c r="AG26" i="7"/>
  <c r="D12" i="10"/>
  <c r="O74" i="2"/>
  <c r="I18" i="2"/>
  <c r="AO14" i="7"/>
  <c r="Q29" i="2"/>
  <c r="AL41" i="7"/>
  <c r="U24" i="3"/>
  <c r="R20" i="3"/>
  <c r="P17" i="3"/>
  <c r="F30" i="2"/>
  <c r="B9" i="3"/>
  <c r="Z51" i="7"/>
  <c r="AP53" i="7"/>
  <c r="Z39" i="7"/>
  <c r="G24" i="2"/>
  <c r="AP46" i="7"/>
  <c r="K11" i="2"/>
  <c r="J22" i="3"/>
  <c r="E34" i="2"/>
  <c r="AO33" i="7"/>
  <c r="D8" i="3"/>
  <c r="P14" i="3"/>
  <c r="AL57" i="7"/>
  <c r="AH31" i="7"/>
  <c r="AM38" i="7"/>
  <c r="Q45" i="6"/>
  <c r="C19" i="3"/>
  <c r="AR21" i="7"/>
  <c r="AB53" i="7"/>
  <c r="K18" i="3"/>
  <c r="AA16" i="7"/>
  <c r="R62" i="2"/>
  <c r="K59" i="2"/>
  <c r="Z24" i="7"/>
  <c r="AH49" i="7"/>
  <c r="AI14" i="7"/>
  <c r="U68" i="2"/>
  <c r="AO38" i="7"/>
  <c r="G15" i="2"/>
  <c r="K16" i="3"/>
  <c r="L22" i="3"/>
  <c r="Y19" i="3"/>
  <c r="I27" i="3"/>
  <c r="AK29" i="7"/>
  <c r="D13" i="3"/>
  <c r="AC25" i="7"/>
  <c r="AE38" i="7"/>
  <c r="AP36" i="7"/>
  <c r="G37" i="2"/>
  <c r="E57" i="2"/>
  <c r="AS9" i="7"/>
  <c r="AO41" i="7"/>
  <c r="T70" i="2"/>
  <c r="AP55" i="7"/>
  <c r="AO8" i="7"/>
  <c r="E19" i="3"/>
  <c r="L15" i="3"/>
  <c r="AC43" i="7"/>
  <c r="O20" i="3"/>
  <c r="O82" i="2"/>
  <c r="AN52" i="7"/>
  <c r="AI22" i="7"/>
  <c r="AN44" i="7"/>
  <c r="Q36" i="2"/>
  <c r="O66" i="2"/>
  <c r="M24" i="2"/>
  <c r="M11" i="2"/>
  <c r="AD49" i="7"/>
  <c r="C25" i="3"/>
  <c r="AI27" i="7"/>
  <c r="E17" i="3"/>
  <c r="P51" i="6"/>
  <c r="Q46" i="2"/>
  <c r="C13" i="12"/>
  <c r="AG36" i="7"/>
  <c r="Z35" i="7"/>
  <c r="AB26" i="7"/>
  <c r="AE21" i="7"/>
  <c r="Q52" i="6"/>
  <c r="AO45" i="7"/>
  <c r="D6" i="10"/>
  <c r="AH45" i="7"/>
  <c r="AJ22" i="7"/>
  <c r="F54" i="2"/>
  <c r="AK45" i="7"/>
  <c r="O62" i="2"/>
  <c r="H51" i="2"/>
  <c r="E43" i="2"/>
  <c r="X9" i="3"/>
  <c r="AR27" i="7"/>
  <c r="L18" i="2"/>
  <c r="E10" i="2"/>
  <c r="AP8" i="7"/>
  <c r="AJ52" i="7"/>
  <c r="AL11" i="7"/>
  <c r="H18" i="2"/>
  <c r="AB51" i="7"/>
  <c r="U10" i="3"/>
  <c r="N38" i="2"/>
  <c r="AQ23" i="7"/>
  <c r="C14" i="3"/>
  <c r="I58" i="2"/>
  <c r="Y25" i="3"/>
  <c r="U23" i="3"/>
  <c r="M50" i="2"/>
  <c r="E12" i="3"/>
  <c r="E7" i="3"/>
  <c r="K10" i="2"/>
  <c r="R56" i="6"/>
  <c r="I28" i="2"/>
  <c r="AG53" i="7"/>
  <c r="K16" i="2"/>
  <c r="AE12" i="7"/>
  <c r="AO13" i="7"/>
  <c r="AK51" i="7"/>
  <c r="M48" i="2"/>
  <c r="G16" i="3"/>
  <c r="I21" i="2"/>
  <c r="C12" i="3"/>
  <c r="Q58" i="6"/>
  <c r="K30" i="2"/>
  <c r="O19" i="3"/>
  <c r="Y21" i="3"/>
  <c r="AP57" i="7"/>
  <c r="U8" i="3"/>
  <c r="AJ11" i="7"/>
  <c r="L7" i="3"/>
  <c r="V63" i="2"/>
  <c r="V13" i="3"/>
  <c r="I17" i="2"/>
  <c r="AM50" i="7"/>
  <c r="AN17" i="7"/>
  <c r="L20" i="2"/>
  <c r="AN35" i="7"/>
  <c r="K81" i="2"/>
  <c r="AP49" i="7"/>
  <c r="O18" i="3"/>
  <c r="I19" i="3"/>
  <c r="Z23" i="7"/>
  <c r="Q20" i="2"/>
  <c r="P56" i="6"/>
  <c r="AQ20" i="7"/>
  <c r="Z33" i="7"/>
  <c r="G51" i="2"/>
  <c r="AN10" i="7"/>
  <c r="D25" i="3"/>
  <c r="Y19" i="7"/>
  <c r="D9" i="10"/>
  <c r="AO20" i="7"/>
  <c r="H59" i="2"/>
  <c r="AJ38" i="7"/>
  <c r="AR52" i="7"/>
  <c r="AI43" i="7"/>
  <c r="C14" i="12"/>
  <c r="E9" i="2"/>
  <c r="C19" i="10"/>
  <c r="AO47" i="7"/>
  <c r="M10" i="2"/>
  <c r="I21" i="3"/>
  <c r="AO28" i="7"/>
  <c r="X21" i="3"/>
  <c r="N14" i="2"/>
  <c r="AF53" i="7"/>
  <c r="K8" i="2"/>
  <c r="Q27" i="3"/>
  <c r="Q10" i="2"/>
  <c r="G41" i="2"/>
  <c r="AL13" i="7"/>
  <c r="AP14" i="7"/>
  <c r="AQ35" i="7"/>
  <c r="H13" i="2"/>
  <c r="Q47" i="6"/>
  <c r="K8" i="3"/>
  <c r="AR49" i="7"/>
  <c r="L16" i="3"/>
  <c r="P25" i="3"/>
  <c r="M26" i="3"/>
  <c r="AC53" i="7"/>
  <c r="AC30" i="7"/>
  <c r="P61" i="6"/>
  <c r="H28" i="2"/>
  <c r="Q25" i="3"/>
  <c r="AP39" i="7"/>
  <c r="Y17" i="3"/>
  <c r="H36" i="2"/>
  <c r="AS52" i="7"/>
  <c r="AH32" i="7"/>
  <c r="M49" i="2"/>
  <c r="AS42" i="7"/>
  <c r="AB32" i="7"/>
  <c r="M25" i="3"/>
  <c r="AQ32" i="7"/>
  <c r="AC18" i="7"/>
  <c r="Q31" i="2"/>
  <c r="E27" i="2"/>
  <c r="Z14" i="3"/>
  <c r="K69" i="2"/>
  <c r="AG9" i="7"/>
  <c r="Q23" i="3"/>
  <c r="F15" i="3"/>
  <c r="B17" i="3"/>
  <c r="E50" i="2"/>
  <c r="AQ30" i="7"/>
  <c r="AS29" i="7"/>
  <c r="L40" i="2"/>
  <c r="AA24" i="7"/>
  <c r="M20" i="2"/>
  <c r="O71" i="2"/>
  <c r="T10" i="3"/>
  <c r="N45" i="2"/>
  <c r="AH26" i="7"/>
  <c r="Y24" i="3"/>
  <c r="P48" i="6"/>
  <c r="U18" i="3"/>
  <c r="N58" i="2"/>
  <c r="Q59" i="2"/>
  <c r="AQ33" i="7"/>
  <c r="N24" i="2"/>
  <c r="AS43" i="7"/>
  <c r="M14" i="3"/>
  <c r="Z55" i="7"/>
  <c r="AL56" i="7"/>
  <c r="E56" i="2"/>
  <c r="F36" i="2"/>
  <c r="AF37" i="7"/>
  <c r="AI44" i="7"/>
  <c r="L28" i="2"/>
  <c r="D8" i="10"/>
  <c r="F42" i="2"/>
  <c r="H53" i="2"/>
  <c r="H12" i="2"/>
  <c r="P65" i="6"/>
  <c r="AH33" i="7"/>
  <c r="C10" i="3"/>
  <c r="X23" i="3"/>
  <c r="AG43" i="7"/>
  <c r="AS45" i="7"/>
  <c r="G10" i="3"/>
  <c r="AA38" i="7"/>
  <c r="Y23" i="7"/>
  <c r="AD41" i="7"/>
  <c r="Y54" i="7"/>
  <c r="AB31" i="7"/>
  <c r="AD32" i="7"/>
  <c r="K9" i="2"/>
  <c r="AO57" i="7"/>
  <c r="AG19" i="7"/>
  <c r="AD52" i="7"/>
  <c r="F24" i="3"/>
  <c r="F23" i="2"/>
  <c r="AG47" i="7"/>
  <c r="T18" i="3"/>
  <c r="Y58" i="7"/>
  <c r="Z28" i="7"/>
  <c r="E25" i="2"/>
  <c r="T73" i="2"/>
  <c r="O64" i="2"/>
  <c r="AC57" i="7"/>
  <c r="AP54" i="7"/>
  <c r="G59" i="2"/>
  <c r="AL42" i="7"/>
  <c r="K78" i="2"/>
  <c r="G47" i="2"/>
  <c r="O25" i="3"/>
  <c r="Z38" i="7"/>
  <c r="AC41" i="7"/>
  <c r="AE47" i="7"/>
  <c r="Q28" i="2"/>
  <c r="AD39" i="7"/>
  <c r="O23" i="3"/>
  <c r="F41" i="2"/>
  <c r="AR14" i="7"/>
  <c r="AK17" i="7"/>
  <c r="AE25" i="7"/>
  <c r="Q8" i="2"/>
  <c r="X17" i="3"/>
  <c r="D12" i="3"/>
  <c r="J27" i="3"/>
  <c r="AS23" i="7"/>
  <c r="AM58" i="7"/>
  <c r="AP11" i="7"/>
  <c r="AL8" i="7"/>
  <c r="AN18" i="7"/>
  <c r="D22" i="10"/>
  <c r="AB54" i="7"/>
  <c r="AM39" i="7"/>
  <c r="J15" i="3"/>
  <c r="AK50" i="7"/>
  <c r="D10" i="3"/>
  <c r="AE43" i="7"/>
  <c r="AR51" i="7"/>
  <c r="AG65" i="7" l="1"/>
  <c r="AO71" i="7"/>
  <c r="F49" i="10"/>
  <c r="D79" i="10"/>
  <c r="AR63" i="7"/>
  <c r="AG66" i="7"/>
  <c r="F40" i="10"/>
  <c r="AF71" i="7"/>
  <c r="F69" i="10"/>
  <c r="AE69" i="7"/>
  <c r="G46" i="7"/>
  <c r="G58" i="7"/>
  <c r="G14" i="6"/>
  <c r="E25" i="7"/>
  <c r="F71" i="10"/>
  <c r="F23" i="7"/>
  <c r="K9" i="7"/>
  <c r="AF69" i="7"/>
  <c r="AU72" i="7"/>
  <c r="AI65" i="7"/>
  <c r="H12" i="7"/>
  <c r="H52" i="7"/>
  <c r="F41" i="7"/>
  <c r="D65" i="10"/>
  <c r="L28" i="7"/>
  <c r="K28" i="18"/>
  <c r="F36" i="7"/>
  <c r="E11" i="6"/>
  <c r="E55" i="7"/>
  <c r="Q22" i="6"/>
  <c r="AB75" i="7"/>
  <c r="AU65" i="7"/>
  <c r="AJ67" i="7"/>
  <c r="M20" i="7"/>
  <c r="E26" i="12"/>
  <c r="D26" i="12" s="1"/>
  <c r="AU68" i="7"/>
  <c r="E49" i="7"/>
  <c r="C102" i="10"/>
  <c r="Z5" i="3"/>
  <c r="E27" i="18"/>
  <c r="E27" i="7"/>
  <c r="M48" i="7"/>
  <c r="H36" i="7"/>
  <c r="AR71" i="7"/>
  <c r="F52" i="10"/>
  <c r="H28" i="7"/>
  <c r="H13" i="7"/>
  <c r="AN64" i="7"/>
  <c r="H105" i="10" s="1"/>
  <c r="K8" i="7"/>
  <c r="M10" i="7"/>
  <c r="F79" i="10"/>
  <c r="C76" i="10"/>
  <c r="F19" i="10"/>
  <c r="E105" i="10" s="1"/>
  <c r="K19" i="10"/>
  <c r="I19" i="10"/>
  <c r="E9" i="7"/>
  <c r="AK65" i="7"/>
  <c r="H58" i="7"/>
  <c r="H14" i="6"/>
  <c r="AQ70" i="7"/>
  <c r="D66" i="10"/>
  <c r="G50" i="7"/>
  <c r="AS70" i="7"/>
  <c r="L20" i="7"/>
  <c r="L5" i="3"/>
  <c r="AL63" i="7"/>
  <c r="K30" i="7"/>
  <c r="M47" i="7"/>
  <c r="AQ64" i="7"/>
  <c r="H108" i="10" s="1"/>
  <c r="K16" i="7"/>
  <c r="K10" i="7"/>
  <c r="E5" i="3"/>
  <c r="M49" i="7"/>
  <c r="H18" i="7"/>
  <c r="AN63" i="7"/>
  <c r="E10" i="7"/>
  <c r="L18" i="7"/>
  <c r="E42" i="7"/>
  <c r="H50" i="7"/>
  <c r="AM72" i="7"/>
  <c r="F53" i="7"/>
  <c r="F9" i="6"/>
  <c r="AJ72" i="7"/>
  <c r="D63" i="10"/>
  <c r="D4" i="10"/>
  <c r="AQ72" i="7"/>
  <c r="AG74" i="7"/>
  <c r="AD67" i="7"/>
  <c r="M11" i="7"/>
  <c r="M24" i="7"/>
  <c r="AE65" i="7"/>
  <c r="AR75" i="7"/>
  <c r="Q38" i="6"/>
  <c r="AQ69" i="7"/>
  <c r="E56" i="7"/>
  <c r="E12" i="6"/>
  <c r="G37" i="7"/>
  <c r="AE66" i="7"/>
  <c r="AM68" i="7"/>
  <c r="E20" i="12"/>
  <c r="D20" i="12" s="1"/>
  <c r="G15" i="7"/>
  <c r="K58" i="7"/>
  <c r="K14" i="6"/>
  <c r="AC76" i="7"/>
  <c r="AT74" i="7"/>
  <c r="Q44" i="6"/>
  <c r="E34" i="7"/>
  <c r="K11" i="7"/>
  <c r="G24" i="7"/>
  <c r="AB71" i="7"/>
  <c r="F36" i="10"/>
  <c r="C94" i="10"/>
  <c r="F30" i="7"/>
  <c r="AN69" i="7"/>
  <c r="D69" i="10"/>
  <c r="AI67" i="7"/>
  <c r="AN66" i="7"/>
  <c r="D83" i="10"/>
  <c r="L33" i="7"/>
  <c r="AH65" i="7"/>
  <c r="K17" i="7"/>
  <c r="AS76" i="7"/>
  <c r="I9" i="10"/>
  <c r="C66" i="10"/>
  <c r="F9" i="10"/>
  <c r="E95" i="10" s="1"/>
  <c r="K9" i="10"/>
  <c r="M12" i="7"/>
  <c r="F49" i="7"/>
  <c r="L26" i="7"/>
  <c r="L15" i="7"/>
  <c r="H9" i="7"/>
  <c r="H41" i="7"/>
  <c r="E8" i="7"/>
  <c r="M35" i="7"/>
  <c r="G57" i="7"/>
  <c r="G13" i="6"/>
  <c r="Y5" i="3"/>
  <c r="E20" i="7"/>
  <c r="AC74" i="7"/>
  <c r="F13" i="7"/>
  <c r="E54" i="7"/>
  <c r="E10" i="6"/>
  <c r="F24" i="7"/>
  <c r="AL64" i="7"/>
  <c r="H103" i="10" s="1"/>
  <c r="AF73" i="7"/>
  <c r="AD69" i="7"/>
  <c r="F11" i="7"/>
  <c r="AG63" i="7"/>
  <c r="G41" i="7"/>
  <c r="E43" i="7"/>
  <c r="AB65" i="7"/>
  <c r="E15" i="7"/>
  <c r="G42" i="7"/>
  <c r="G44" i="7"/>
  <c r="G20" i="7"/>
  <c r="C101" i="10"/>
  <c r="P32" i="6"/>
  <c r="F50" i="7"/>
  <c r="AN70" i="7"/>
  <c r="K53" i="7"/>
  <c r="K9" i="6"/>
  <c r="AT75" i="7"/>
  <c r="Q40" i="6"/>
  <c r="AI71" i="7"/>
  <c r="F43" i="10"/>
  <c r="K5" i="3"/>
  <c r="L14" i="7"/>
  <c r="AL66" i="7"/>
  <c r="G10" i="7"/>
  <c r="E18" i="7"/>
  <c r="E18" i="1"/>
  <c r="E10" i="1" s="1"/>
  <c r="E18" i="18"/>
  <c r="E10" i="18" s="1"/>
  <c r="D106" i="10"/>
  <c r="E20" i="10"/>
  <c r="G20" i="10" s="1"/>
  <c r="P27" i="6"/>
  <c r="K19" i="7"/>
  <c r="L52" i="7"/>
  <c r="AB73" i="7"/>
  <c r="AA65" i="7"/>
  <c r="L24" i="7"/>
  <c r="F44" i="10"/>
  <c r="AJ71" i="7"/>
  <c r="AD74" i="7"/>
  <c r="P29" i="6"/>
  <c r="AJ66" i="7"/>
  <c r="AA66" i="7"/>
  <c r="D103" i="10"/>
  <c r="E17" i="10"/>
  <c r="G17" i="10" s="1"/>
  <c r="F77" i="10"/>
  <c r="AT69" i="7"/>
  <c r="K28" i="7"/>
  <c r="M54" i="7"/>
  <c r="M10" i="6"/>
  <c r="K56" i="7"/>
  <c r="K12" i="6"/>
  <c r="F38" i="10"/>
  <c r="AD71" i="7"/>
  <c r="L42" i="7"/>
  <c r="AT72" i="7"/>
  <c r="AB67" i="7"/>
  <c r="F20" i="10"/>
  <c r="E106" i="10" s="1"/>
  <c r="I20" i="10"/>
  <c r="C77" i="10"/>
  <c r="K20" i="10"/>
  <c r="AK73" i="7"/>
  <c r="F59" i="7"/>
  <c r="D77" i="10"/>
  <c r="L38" i="7"/>
  <c r="AN73" i="7"/>
  <c r="P40" i="6"/>
  <c r="C93" i="10"/>
  <c r="AS64" i="7"/>
  <c r="H110" i="10" s="1"/>
  <c r="C100" i="10"/>
  <c r="G17" i="7"/>
  <c r="AG75" i="7"/>
  <c r="Q27" i="6"/>
  <c r="D75" i="10"/>
  <c r="P22" i="6"/>
  <c r="M52" i="7"/>
  <c r="L36" i="7"/>
  <c r="AM69" i="7"/>
  <c r="K14" i="10"/>
  <c r="I14" i="10"/>
  <c r="F14" i="10"/>
  <c r="E100" i="10" s="1"/>
  <c r="C71" i="10"/>
  <c r="G47" i="7"/>
  <c r="D97" i="10"/>
  <c r="E11" i="10"/>
  <c r="G11" i="10" s="1"/>
  <c r="H39" i="7"/>
  <c r="C92" i="10"/>
  <c r="B5" i="3"/>
  <c r="G16" i="7"/>
  <c r="AL72" i="7"/>
  <c r="AI69" i="7"/>
  <c r="K29" i="7"/>
  <c r="AT63" i="7"/>
  <c r="AN72" i="7"/>
  <c r="F32" i="7"/>
  <c r="M59" i="7"/>
  <c r="Q28" i="6"/>
  <c r="AH75" i="7"/>
  <c r="F21" i="7"/>
  <c r="E59" i="7"/>
  <c r="M16" i="7"/>
  <c r="AS66" i="7"/>
  <c r="H48" i="7"/>
  <c r="D64" i="10"/>
  <c r="AQ73" i="7"/>
  <c r="G53" i="7"/>
  <c r="I53" i="7" s="1"/>
  <c r="G9" i="6"/>
  <c r="I9" i="6" s="1"/>
  <c r="AH73" i="7"/>
  <c r="F17" i="7"/>
  <c r="AN67" i="7"/>
  <c r="AK63" i="7"/>
  <c r="F56" i="7"/>
  <c r="F55" i="1"/>
  <c r="F12" i="6"/>
  <c r="F55" i="18"/>
  <c r="AU66" i="7"/>
  <c r="L34" i="7"/>
  <c r="K52" i="7"/>
  <c r="AJ70" i="7"/>
  <c r="AO74" i="7"/>
  <c r="G28" i="7"/>
  <c r="AA72" i="7"/>
  <c r="L49" i="7"/>
  <c r="M33" i="7"/>
  <c r="C111" i="10"/>
  <c r="AS73" i="7"/>
  <c r="E13" i="7"/>
  <c r="G5" i="3"/>
  <c r="AC64" i="7"/>
  <c r="H94" i="10" s="1"/>
  <c r="K41" i="7"/>
  <c r="AI68" i="7"/>
  <c r="C97" i="10"/>
  <c r="F97" i="10" s="1"/>
  <c r="E6" i="12"/>
  <c r="D6" i="12" s="1"/>
  <c r="AA68" i="7"/>
  <c r="D105" i="10"/>
  <c r="E19" i="10"/>
  <c r="G19" i="10" s="1"/>
  <c r="H55" i="18"/>
  <c r="H12" i="6"/>
  <c r="H55" i="1"/>
  <c r="H56" i="7"/>
  <c r="AF75" i="7"/>
  <c r="Q26" i="6"/>
  <c r="M31" i="7"/>
  <c r="F42" i="7"/>
  <c r="C104" i="10"/>
  <c r="AC63" i="7"/>
  <c r="AN76" i="7"/>
  <c r="M45" i="7"/>
  <c r="F51" i="10"/>
  <c r="AQ71" i="7"/>
  <c r="AH64" i="7"/>
  <c r="H99" i="10" s="1"/>
  <c r="E14" i="7"/>
  <c r="L39" i="7"/>
  <c r="AB70" i="7"/>
  <c r="AL67" i="7"/>
  <c r="AK72" i="7"/>
  <c r="F29" i="7"/>
  <c r="H44" i="7"/>
  <c r="G49" i="7"/>
  <c r="F17" i="10"/>
  <c r="E103" i="10" s="1"/>
  <c r="K17" i="10"/>
  <c r="C74" i="10"/>
  <c r="I17" i="10"/>
  <c r="K39" i="7"/>
  <c r="AH66" i="7"/>
  <c r="K51" i="7"/>
  <c r="L13" i="7"/>
  <c r="AC70" i="7"/>
  <c r="AS67" i="7"/>
  <c r="AH70" i="7"/>
  <c r="AO63" i="7"/>
  <c r="AU71" i="7"/>
  <c r="F55" i="10"/>
  <c r="P33" i="6"/>
  <c r="E52" i="7"/>
  <c r="K31" i="7"/>
  <c r="I18" i="12"/>
  <c r="E19" i="7"/>
  <c r="AP69" i="7"/>
  <c r="G30" i="7"/>
  <c r="L11" i="6"/>
  <c r="L55" i="7"/>
  <c r="F15" i="10"/>
  <c r="E101" i="10" s="1"/>
  <c r="C72" i="10"/>
  <c r="I15" i="10"/>
  <c r="K15" i="10"/>
  <c r="D101" i="10"/>
  <c r="E15" i="10"/>
  <c r="G15" i="10" s="1"/>
  <c r="E14" i="10"/>
  <c r="G14" i="10" s="1"/>
  <c r="D100" i="10"/>
  <c r="H30" i="7"/>
  <c r="AA67" i="7"/>
  <c r="E30" i="7"/>
  <c r="AI66" i="7"/>
  <c r="R44" i="6"/>
  <c r="AI76" i="7"/>
  <c r="F13" i="6"/>
  <c r="F57" i="7"/>
  <c r="E15" i="12"/>
  <c r="D15" i="12" s="1"/>
  <c r="AG68" i="7"/>
  <c r="M32" i="7"/>
  <c r="AT66" i="7"/>
  <c r="H49" i="7"/>
  <c r="F55" i="7"/>
  <c r="F11" i="6"/>
  <c r="AQ66" i="7"/>
  <c r="AJ76" i="7"/>
  <c r="AD64" i="7"/>
  <c r="H95" i="10" s="1"/>
  <c r="L50" i="7"/>
  <c r="P23" i="6"/>
  <c r="F78" i="10"/>
  <c r="K27" i="7"/>
  <c r="E31" i="7"/>
  <c r="K18" i="7"/>
  <c r="V5" i="3"/>
  <c r="AU74" i="7"/>
  <c r="E24" i="7"/>
  <c r="AR76" i="7"/>
  <c r="AP65" i="7"/>
  <c r="E21" i="10"/>
  <c r="G21" i="10" s="1"/>
  <c r="D107" i="10"/>
  <c r="L57" i="7"/>
  <c r="L13" i="6"/>
  <c r="E13" i="6"/>
  <c r="E57" i="7"/>
  <c r="F20" i="7"/>
  <c r="K49" i="7"/>
  <c r="G18" i="7"/>
  <c r="AC66" i="7"/>
  <c r="K20" i="7"/>
  <c r="AF74" i="7"/>
  <c r="L23" i="7"/>
  <c r="C110" i="10"/>
  <c r="E16" i="7"/>
  <c r="G52" i="7"/>
  <c r="M39" i="7"/>
  <c r="K13" i="7"/>
  <c r="M12" i="6"/>
  <c r="M56" i="7"/>
  <c r="AL74" i="7"/>
  <c r="H17" i="7"/>
  <c r="F35" i="10"/>
  <c r="AA71" i="7"/>
  <c r="G32" i="7"/>
  <c r="AN75" i="7"/>
  <c r="Q34" i="6"/>
  <c r="P39" i="6"/>
  <c r="AI73" i="7"/>
  <c r="AC65" i="7"/>
  <c r="K45" i="7"/>
  <c r="AL68" i="7"/>
  <c r="E19" i="12"/>
  <c r="D19" i="12" s="1"/>
  <c r="Q41" i="6"/>
  <c r="AU75" i="7"/>
  <c r="W5" i="3"/>
  <c r="P19" i="6" s="1"/>
  <c r="P21" i="6"/>
  <c r="K50" i="7"/>
  <c r="AR68" i="7"/>
  <c r="D72" i="10"/>
  <c r="F14" i="6"/>
  <c r="F58" i="7"/>
  <c r="AF65" i="7"/>
  <c r="K22" i="10"/>
  <c r="C79" i="10"/>
  <c r="I22" i="10"/>
  <c r="F22" i="10"/>
  <c r="E108" i="10" s="1"/>
  <c r="H43" i="7"/>
  <c r="C95" i="10"/>
  <c r="F31" i="7"/>
  <c r="M5" i="3"/>
  <c r="AB74" i="7"/>
  <c r="F63" i="10"/>
  <c r="M38" i="7"/>
  <c r="AE67" i="7"/>
  <c r="AO75" i="7"/>
  <c r="Q35" i="6"/>
  <c r="M25" i="7"/>
  <c r="AI63" i="7"/>
  <c r="Q25" i="6"/>
  <c r="AE75" i="7"/>
  <c r="AT68" i="7"/>
  <c r="E25" i="12"/>
  <c r="D25" i="12" s="1"/>
  <c r="AB63" i="7"/>
  <c r="AC69" i="7"/>
  <c r="E45" i="7"/>
  <c r="E23" i="7"/>
  <c r="AH71" i="7"/>
  <c r="F42" i="10"/>
  <c r="AI72" i="7"/>
  <c r="AD75" i="7"/>
  <c r="Q24" i="6"/>
  <c r="M13" i="6"/>
  <c r="M57" i="7"/>
  <c r="F11" i="10"/>
  <c r="E97" i="10" s="1"/>
  <c r="C68" i="10"/>
  <c r="I11" i="10"/>
  <c r="K11" i="10"/>
  <c r="I5" i="3"/>
  <c r="AA74" i="7"/>
  <c r="AU73" i="7"/>
  <c r="Q31" i="6"/>
  <c r="AK75" i="7"/>
  <c r="L10" i="7"/>
  <c r="E32" i="7"/>
  <c r="M51" i="7"/>
  <c r="C112" i="10"/>
  <c r="L47" i="7"/>
  <c r="L35" i="7"/>
  <c r="G36" i="7"/>
  <c r="AT65" i="7"/>
  <c r="F16" i="7"/>
  <c r="AJ64" i="7"/>
  <c r="H101" i="10" s="1"/>
  <c r="AL73" i="7"/>
  <c r="AA63" i="7"/>
  <c r="M23" i="7"/>
  <c r="H34" i="7"/>
  <c r="E14" i="6"/>
  <c r="E58" i="7"/>
  <c r="D99" i="10"/>
  <c r="E13" i="10"/>
  <c r="G13" i="10" s="1"/>
  <c r="AO72" i="7"/>
  <c r="P25" i="6"/>
  <c r="H22" i="7"/>
  <c r="L51" i="7"/>
  <c r="E35" i="7"/>
  <c r="AO66" i="7"/>
  <c r="L31" i="7"/>
  <c r="AK76" i="7"/>
  <c r="E50" i="7"/>
  <c r="AF64" i="7"/>
  <c r="H97" i="10" s="1"/>
  <c r="AO76" i="7"/>
  <c r="AF66" i="7"/>
  <c r="Q29" i="6"/>
  <c r="AI75" i="7"/>
  <c r="M50" i="7"/>
  <c r="AA73" i="7"/>
  <c r="AD76" i="7"/>
  <c r="AR70" i="7"/>
  <c r="E22" i="7"/>
  <c r="E21" i="12"/>
  <c r="D21" i="12" s="1"/>
  <c r="AN68" i="7"/>
  <c r="AH72" i="7"/>
  <c r="E10" i="10"/>
  <c r="G10" i="10" s="1"/>
  <c r="D96" i="10"/>
  <c r="F66" i="10"/>
  <c r="M21" i="7"/>
  <c r="G55" i="1"/>
  <c r="G12" i="6"/>
  <c r="G55" i="18"/>
  <c r="G56" i="7"/>
  <c r="AU64" i="7"/>
  <c r="H112" i="10" s="1"/>
  <c r="P36" i="6"/>
  <c r="L8" i="7"/>
  <c r="F52" i="7"/>
  <c r="H5" i="3"/>
  <c r="E6" i="10"/>
  <c r="G6" i="10" s="1"/>
  <c r="D92" i="10"/>
  <c r="F64" i="10"/>
  <c r="E48" i="7"/>
  <c r="F12" i="7"/>
  <c r="L44" i="7"/>
  <c r="G51" i="7"/>
  <c r="E36" i="7"/>
  <c r="K22" i="7"/>
  <c r="AC67" i="7"/>
  <c r="AP63" i="7"/>
  <c r="G25" i="7"/>
  <c r="AH67" i="7"/>
  <c r="AG69" i="7"/>
  <c r="AJ65" i="7"/>
  <c r="H20" i="7"/>
  <c r="AO67" i="7"/>
  <c r="AG72" i="7"/>
  <c r="AS71" i="7"/>
  <c r="F53" i="10"/>
  <c r="K46" i="7"/>
  <c r="E14" i="12"/>
  <c r="D14" i="12" s="1"/>
  <c r="AF68" i="7"/>
  <c r="M17" i="7"/>
  <c r="E30" i="1"/>
  <c r="E30" i="18"/>
  <c r="E51" i="7"/>
  <c r="G12" i="7"/>
  <c r="F46" i="7"/>
  <c r="AA64" i="7"/>
  <c r="K37" i="7"/>
  <c r="AL65" i="7"/>
  <c r="L9" i="7"/>
  <c r="N9" i="7" s="1"/>
  <c r="H47" i="7"/>
  <c r="AM75" i="7"/>
  <c r="Q33" i="6"/>
  <c r="C109" i="10"/>
  <c r="AA69" i="7"/>
  <c r="P5" i="3"/>
  <c r="P41" i="6"/>
  <c r="F34" i="7"/>
  <c r="AN74" i="7"/>
  <c r="AI74" i="7"/>
  <c r="AL70" i="7"/>
  <c r="D81" i="10"/>
  <c r="G45" i="7"/>
  <c r="U5" i="3"/>
  <c r="AP74" i="7"/>
  <c r="C80" i="10"/>
  <c r="F23" i="10"/>
  <c r="E109" i="10" s="1"/>
  <c r="K23" i="10"/>
  <c r="I23" i="10"/>
  <c r="K48" i="7"/>
  <c r="F67" i="10"/>
  <c r="F19" i="7"/>
  <c r="L43" i="7"/>
  <c r="M27" i="7"/>
  <c r="F27" i="7"/>
  <c r="AM76" i="7"/>
  <c r="P35" i="6"/>
  <c r="F18" i="18"/>
  <c r="F18" i="1"/>
  <c r="F18" i="7"/>
  <c r="L54" i="7"/>
  <c r="L10" i="6"/>
  <c r="L25" i="7"/>
  <c r="AD66" i="7"/>
  <c r="F76" i="10"/>
  <c r="E22" i="10"/>
  <c r="G22" i="10" s="1"/>
  <c r="D108" i="10"/>
  <c r="H57" i="7"/>
  <c r="H13" i="6"/>
  <c r="K36" i="7"/>
  <c r="AT76" i="7"/>
  <c r="H55" i="7"/>
  <c r="H11" i="6"/>
  <c r="L12" i="6"/>
  <c r="L56" i="7"/>
  <c r="M18" i="7"/>
  <c r="I8" i="10"/>
  <c r="C65" i="10"/>
  <c r="K8" i="10"/>
  <c r="F8" i="10"/>
  <c r="E94" i="10" s="1"/>
  <c r="G8" i="7"/>
  <c r="P26" i="6"/>
  <c r="K11" i="6"/>
  <c r="K55" i="7"/>
  <c r="AR66" i="7"/>
  <c r="AU69" i="7"/>
  <c r="M26" i="7"/>
  <c r="AG67" i="7"/>
  <c r="K26" i="7"/>
  <c r="O5" i="3"/>
  <c r="AB69" i="7"/>
  <c r="L14" i="6"/>
  <c r="L58" i="7"/>
  <c r="M15" i="7"/>
  <c r="AP64" i="7"/>
  <c r="H107" i="10" s="1"/>
  <c r="AP68" i="7"/>
  <c r="AS65" i="7"/>
  <c r="AJ74" i="7"/>
  <c r="C27" i="12"/>
  <c r="E8" i="12"/>
  <c r="D8" i="12" s="1"/>
  <c r="AC68" i="7"/>
  <c r="F33" i="7"/>
  <c r="M9" i="6"/>
  <c r="M53" i="7"/>
  <c r="F51" i="7"/>
  <c r="E47" i="7"/>
  <c r="F15" i="7"/>
  <c r="G48" i="7"/>
  <c r="C69" i="10"/>
  <c r="F12" i="10"/>
  <c r="E98" i="10" s="1"/>
  <c r="I12" i="10"/>
  <c r="K12" i="10"/>
  <c r="E12" i="10"/>
  <c r="G12" i="10" s="1"/>
  <c r="D98" i="10"/>
  <c r="G22" i="7"/>
  <c r="AR65" i="7"/>
  <c r="AN65" i="7"/>
  <c r="AU70" i="7"/>
  <c r="F8" i="7"/>
  <c r="H38" i="7"/>
  <c r="H24" i="7"/>
  <c r="G27" i="7"/>
  <c r="AH74" i="7"/>
  <c r="F22" i="7"/>
  <c r="AB66" i="7"/>
  <c r="AM74" i="7"/>
  <c r="P34" i="6"/>
  <c r="G14" i="7"/>
  <c r="L59" i="7"/>
  <c r="H45" i="7"/>
  <c r="AD68" i="7"/>
  <c r="E9" i="12"/>
  <c r="D9" i="12" s="1"/>
  <c r="Q30" i="6"/>
  <c r="AJ75" i="7"/>
  <c r="AE73" i="7"/>
  <c r="F48" i="10"/>
  <c r="AN71" i="7"/>
  <c r="G26" i="7"/>
  <c r="H10" i="7"/>
  <c r="AI64" i="7"/>
  <c r="H100" i="10" s="1"/>
  <c r="C81" i="10"/>
  <c r="I24" i="10"/>
  <c r="F24" i="10"/>
  <c r="E110" i="10" s="1"/>
  <c r="K24" i="10"/>
  <c r="G29" i="7"/>
  <c r="AE71" i="7"/>
  <c r="F39" i="10"/>
  <c r="AQ68" i="7"/>
  <c r="E23" i="12"/>
  <c r="D23" i="12" s="1"/>
  <c r="P28" i="6"/>
  <c r="AG73" i="7"/>
  <c r="F48" i="7"/>
  <c r="AR74" i="7"/>
  <c r="F26" i="7"/>
  <c r="C96" i="10"/>
  <c r="AG76" i="7"/>
  <c r="AB64" i="7"/>
  <c r="H93" i="10" s="1"/>
  <c r="AS75" i="7"/>
  <c r="Q39" i="6"/>
  <c r="H29" i="7"/>
  <c r="AH69" i="7"/>
  <c r="G35" i="7"/>
  <c r="AT73" i="7"/>
  <c r="G11" i="7"/>
  <c r="I11" i="7" s="1"/>
  <c r="AS63" i="7"/>
  <c r="AM64" i="7"/>
  <c r="H104" i="10" s="1"/>
  <c r="AC72" i="7"/>
  <c r="K34" i="7"/>
  <c r="AQ63" i="7"/>
  <c r="AR73" i="7"/>
  <c r="AB76" i="7"/>
  <c r="H54" i="7"/>
  <c r="H10" i="6"/>
  <c r="R5" i="3"/>
  <c r="E39" i="7"/>
  <c r="N5" i="3"/>
  <c r="L46" i="7"/>
  <c r="F10" i="6"/>
  <c r="F54" i="7"/>
  <c r="H11" i="7"/>
  <c r="K33" i="7"/>
  <c r="K42" i="7"/>
  <c r="AE63" i="7"/>
  <c r="D73" i="10"/>
  <c r="AU76" i="7"/>
  <c r="K23" i="7"/>
  <c r="K15" i="7"/>
  <c r="AH76" i="7"/>
  <c r="P30" i="6"/>
  <c r="AQ65" i="7"/>
  <c r="I21" i="10"/>
  <c r="F21" i="10"/>
  <c r="E107" i="10" s="1"/>
  <c r="C78" i="10"/>
  <c r="K21" i="10"/>
  <c r="M19" i="7"/>
  <c r="AF76" i="7"/>
  <c r="K14" i="7"/>
  <c r="AK64" i="7"/>
  <c r="H102" i="10" s="1"/>
  <c r="AP67" i="7"/>
  <c r="M9" i="7"/>
  <c r="F10" i="10"/>
  <c r="E96" i="10" s="1"/>
  <c r="K10" i="10"/>
  <c r="C67" i="10"/>
  <c r="I10" i="10"/>
  <c r="AL76" i="7"/>
  <c r="M43" i="7"/>
  <c r="AO73" i="7"/>
  <c r="E46" i="7"/>
  <c r="M44" i="7"/>
  <c r="L22" i="7"/>
  <c r="G55" i="7"/>
  <c r="G11" i="6"/>
  <c r="AR69" i="7"/>
  <c r="P24" i="6"/>
  <c r="L11" i="7"/>
  <c r="F65" i="10"/>
  <c r="AT64" i="7"/>
  <c r="H111" i="10" s="1"/>
  <c r="E26" i="7"/>
  <c r="Q37" i="6"/>
  <c r="AQ75" i="7"/>
  <c r="H51" i="7"/>
  <c r="H25" i="7"/>
  <c r="M14" i="7"/>
  <c r="H27" i="7"/>
  <c r="C108" i="10"/>
  <c r="AD63" i="7"/>
  <c r="AC73" i="7"/>
  <c r="H19" i="7"/>
  <c r="F81" i="10"/>
  <c r="AC71" i="7"/>
  <c r="F37" i="10"/>
  <c r="AO69" i="7"/>
  <c r="E44" i="7"/>
  <c r="AP71" i="7"/>
  <c r="F50" i="10"/>
  <c r="H37" i="7"/>
  <c r="AP73" i="7"/>
  <c r="G19" i="7"/>
  <c r="AR67" i="7"/>
  <c r="F44" i="7"/>
  <c r="AE74" i="7"/>
  <c r="D68" i="10"/>
  <c r="K43" i="7"/>
  <c r="AB72" i="7"/>
  <c r="D80" i="10"/>
  <c r="AK74" i="7"/>
  <c r="AM63" i="7"/>
  <c r="F70" i="10"/>
  <c r="K38" i="7"/>
  <c r="C106" i="10"/>
  <c r="D112" i="10"/>
  <c r="E26" i="10"/>
  <c r="G26" i="10" s="1"/>
  <c r="D82" i="10"/>
  <c r="H21" i="7"/>
  <c r="F72" i="10"/>
  <c r="M36" i="7"/>
  <c r="AD73" i="7"/>
  <c r="D74" i="10"/>
  <c r="F25" i="7"/>
  <c r="E17" i="7"/>
  <c r="D70" i="10"/>
  <c r="AO70" i="7"/>
  <c r="H26" i="7"/>
  <c r="E12" i="7"/>
  <c r="M34" i="7"/>
  <c r="X5" i="3"/>
  <c r="AM67" i="7"/>
  <c r="E41" i="7"/>
  <c r="K13" i="10"/>
  <c r="I13" i="10"/>
  <c r="F13" i="10"/>
  <c r="E99" i="10" s="1"/>
  <c r="C70" i="10"/>
  <c r="K7" i="10"/>
  <c r="I7" i="10"/>
  <c r="C64" i="10"/>
  <c r="F7" i="10"/>
  <c r="E93" i="10" s="1"/>
  <c r="AE64" i="7"/>
  <c r="H96" i="10" s="1"/>
  <c r="L30" i="7"/>
  <c r="AO65" i="7"/>
  <c r="H35" i="7"/>
  <c r="H8" i="7"/>
  <c r="M29" i="7"/>
  <c r="D109" i="10"/>
  <c r="E23" i="10"/>
  <c r="G23" i="10" s="1"/>
  <c r="AQ67" i="7"/>
  <c r="M22" i="7"/>
  <c r="D94" i="10"/>
  <c r="E8" i="10"/>
  <c r="G8" i="10" s="1"/>
  <c r="F37" i="7"/>
  <c r="F75" i="10"/>
  <c r="AC75" i="7"/>
  <c r="Q23" i="6"/>
  <c r="AK69" i="7"/>
  <c r="G13" i="7"/>
  <c r="I13" i="7" s="1"/>
  <c r="AJ63" i="7"/>
  <c r="H15" i="7"/>
  <c r="AE76" i="7"/>
  <c r="F28" i="7"/>
  <c r="C107" i="10"/>
  <c r="K18" i="10"/>
  <c r="I18" i="10"/>
  <c r="F18" i="10"/>
  <c r="E104" i="10" s="1"/>
  <c r="C75" i="10"/>
  <c r="K59" i="7"/>
  <c r="D76" i="10"/>
  <c r="AT70" i="7"/>
  <c r="AM70" i="7"/>
  <c r="H33" i="7"/>
  <c r="K47" i="7"/>
  <c r="AM65" i="7"/>
  <c r="G38" i="7"/>
  <c r="AR64" i="7"/>
  <c r="H109" i="10" s="1"/>
  <c r="K24" i="7"/>
  <c r="D102" i="10"/>
  <c r="E16" i="10"/>
  <c r="G16" i="10" s="1"/>
  <c r="H53" i="7"/>
  <c r="H9" i="6"/>
  <c r="AU63" i="7"/>
  <c r="M41" i="7"/>
  <c r="L9" i="6"/>
  <c r="L53" i="7"/>
  <c r="P44" i="6"/>
  <c r="F9" i="7"/>
  <c r="D67" i="10"/>
  <c r="AH68" i="7"/>
  <c r="E16" i="12"/>
  <c r="D16" i="12" s="1"/>
  <c r="AM73" i="7"/>
  <c r="AR72" i="7"/>
  <c r="H31" i="7"/>
  <c r="G39" i="7"/>
  <c r="G23" i="7"/>
  <c r="F74" i="10"/>
  <c r="K12" i="7"/>
  <c r="D111" i="10"/>
  <c r="E25" i="10"/>
  <c r="G25" i="10" s="1"/>
  <c r="K57" i="7"/>
  <c r="K13" i="6"/>
  <c r="G21" i="7"/>
  <c r="AB68" i="7"/>
  <c r="E7" i="12"/>
  <c r="D7" i="12" s="1"/>
  <c r="AP66" i="7"/>
  <c r="C105" i="10"/>
  <c r="I6" i="10"/>
  <c r="K6" i="10"/>
  <c r="C63" i="10"/>
  <c r="F6" i="10"/>
  <c r="C4" i="10"/>
  <c r="I4" i="10" s="1"/>
  <c r="F10" i="7"/>
  <c r="F73" i="10"/>
  <c r="C98" i="10"/>
  <c r="H42" i="7"/>
  <c r="AA76" i="7"/>
  <c r="F47" i="7"/>
  <c r="G43" i="7"/>
  <c r="K44" i="7"/>
  <c r="F38" i="7"/>
  <c r="AL71" i="7"/>
  <c r="F46" i="10"/>
  <c r="AF63" i="7"/>
  <c r="E29" i="7"/>
  <c r="G9" i="7"/>
  <c r="AU67" i="7"/>
  <c r="AP72" i="7"/>
  <c r="K32" i="7"/>
  <c r="G33" i="7"/>
  <c r="K21" i="7"/>
  <c r="E33" i="7"/>
  <c r="L27" i="7"/>
  <c r="L21" i="7"/>
  <c r="AQ76" i="7"/>
  <c r="AG71" i="7"/>
  <c r="F41" i="10"/>
  <c r="AP70" i="7"/>
  <c r="H32" i="7"/>
  <c r="F45" i="7"/>
  <c r="F16" i="10"/>
  <c r="E102" i="10" s="1"/>
  <c r="C73" i="10"/>
  <c r="K16" i="10"/>
  <c r="I16" i="10"/>
  <c r="M46" i="7"/>
  <c r="AE70" i="7"/>
  <c r="C99" i="10"/>
  <c r="E24" i="12"/>
  <c r="D24" i="12" s="1"/>
  <c r="AS68" i="7"/>
  <c r="AQ74" i="7"/>
  <c r="AH63" i="7"/>
  <c r="AS74" i="7"/>
  <c r="F47" i="10"/>
  <c r="AM71" i="7"/>
  <c r="E38" i="7"/>
  <c r="F39" i="7"/>
  <c r="G31" i="7"/>
  <c r="K25" i="7"/>
  <c r="E28" i="18"/>
  <c r="E28" i="7"/>
  <c r="C5" i="3"/>
  <c r="D110" i="10"/>
  <c r="E24" i="10"/>
  <c r="G24" i="10" s="1"/>
  <c r="L48" i="7"/>
  <c r="AE72" i="7"/>
  <c r="AA70" i="7"/>
  <c r="AK67" i="7"/>
  <c r="F35" i="7"/>
  <c r="Q32" i="6"/>
  <c r="AL75" i="7"/>
  <c r="AJ68" i="7"/>
  <c r="AK70" i="7"/>
  <c r="AO68" i="7"/>
  <c r="E22" i="12"/>
  <c r="D22" i="12" s="1"/>
  <c r="G59" i="7"/>
  <c r="AG70" i="7"/>
  <c r="T5" i="3"/>
  <c r="AF72" i="7"/>
  <c r="F82" i="10"/>
  <c r="F83" i="10"/>
  <c r="Q5" i="3"/>
  <c r="M13" i="7"/>
  <c r="AT67" i="7"/>
  <c r="S33" i="3"/>
  <c r="S5" i="3"/>
  <c r="AM66" i="7"/>
  <c r="E11" i="7"/>
  <c r="K26" i="10"/>
  <c r="F26" i="10"/>
  <c r="E112" i="10" s="1"/>
  <c r="I26" i="10"/>
  <c r="C83" i="10"/>
  <c r="H14" i="7"/>
  <c r="D93" i="10"/>
  <c r="E7" i="10"/>
  <c r="G7" i="10" s="1"/>
  <c r="K35" i="7"/>
  <c r="AS72" i="7"/>
  <c r="G34" i="7"/>
  <c r="AP76" i="7"/>
  <c r="M28" i="7"/>
  <c r="AL69" i="7"/>
  <c r="P31" i="6"/>
  <c r="AI70" i="7"/>
  <c r="AD72" i="7"/>
  <c r="H23" i="7"/>
  <c r="M42" i="7"/>
  <c r="AK66" i="7"/>
  <c r="K10" i="6"/>
  <c r="K54" i="7"/>
  <c r="C82" i="10"/>
  <c r="I25" i="10"/>
  <c r="F25" i="10"/>
  <c r="E111" i="10" s="1"/>
  <c r="K25" i="10"/>
  <c r="L17" i="7"/>
  <c r="AF67" i="7"/>
  <c r="AJ73" i="7"/>
  <c r="AG64" i="7"/>
  <c r="H98" i="10" s="1"/>
  <c r="AF70" i="7"/>
  <c r="H16" i="7"/>
  <c r="AD65" i="7"/>
  <c r="M30" i="7"/>
  <c r="Q36" i="6"/>
  <c r="AP75" i="7"/>
  <c r="L16" i="7"/>
  <c r="F68" i="10"/>
  <c r="AT71" i="7"/>
  <c r="F54" i="10"/>
  <c r="L45" i="7"/>
  <c r="F43" i="7"/>
  <c r="E21" i="7"/>
  <c r="H46" i="7"/>
  <c r="M14" i="6"/>
  <c r="M58" i="7"/>
  <c r="H59" i="7"/>
  <c r="F14" i="7"/>
  <c r="D5" i="3"/>
  <c r="M55" i="7"/>
  <c r="M11" i="6"/>
  <c r="C103" i="10"/>
  <c r="L32" i="7"/>
  <c r="L19" i="7"/>
  <c r="P38" i="6"/>
  <c r="M8" i="7"/>
  <c r="L37" i="7"/>
  <c r="D78" i="10"/>
  <c r="F80" i="10"/>
  <c r="AJ69" i="7"/>
  <c r="AO64" i="7"/>
  <c r="H106" i="10" s="1"/>
  <c r="M37" i="7"/>
  <c r="L41" i="7"/>
  <c r="E9" i="6"/>
  <c r="E53" i="7"/>
  <c r="AE68" i="7"/>
  <c r="E13" i="12"/>
  <c r="D13" i="12" s="1"/>
  <c r="L12" i="7"/>
  <c r="E17" i="12"/>
  <c r="D17" i="12" s="1"/>
  <c r="AK68" i="7"/>
  <c r="D71" i="10"/>
  <c r="G54" i="7"/>
  <c r="G10" i="6"/>
  <c r="AK71" i="7"/>
  <c r="F45" i="10"/>
  <c r="L29" i="7"/>
  <c r="AD70" i="7"/>
  <c r="D104" i="10"/>
  <c r="E18" i="10"/>
  <c r="G18" i="10" s="1"/>
  <c r="AA75" i="7"/>
  <c r="Q21" i="6"/>
  <c r="E37" i="7"/>
  <c r="AS69" i="7"/>
  <c r="E9" i="10"/>
  <c r="G9" i="10" s="1"/>
  <c r="D95" i="10"/>
  <c r="N53" i="7" l="1"/>
  <c r="N51" i="7"/>
  <c r="N56" i="7"/>
  <c r="I56" i="7"/>
  <c r="P9" i="6"/>
  <c r="R9" i="6" s="1"/>
  <c r="N17" i="7"/>
  <c r="N9" i="6"/>
  <c r="N41" i="7"/>
  <c r="I21" i="7"/>
  <c r="N37" i="7"/>
  <c r="N45" i="7"/>
  <c r="P14" i="6"/>
  <c r="R14" i="6" s="1"/>
  <c r="I54" i="7"/>
  <c r="F99" i="10"/>
  <c r="N19" i="7"/>
  <c r="N11" i="7"/>
  <c r="N48" i="7"/>
  <c r="I11" i="6"/>
  <c r="F108" i="10"/>
  <c r="I10" i="6"/>
  <c r="J5" i="3"/>
  <c r="N14" i="6"/>
  <c r="I30" i="7"/>
  <c r="N10" i="7"/>
  <c r="I55" i="18"/>
  <c r="I36" i="7"/>
  <c r="I55" i="1"/>
  <c r="I9" i="7"/>
  <c r="F98" i="10"/>
  <c r="N30" i="7"/>
  <c r="I19" i="7"/>
  <c r="I55" i="7"/>
  <c r="N29" i="7"/>
  <c r="N12" i="6"/>
  <c r="F103" i="10"/>
  <c r="N31" i="7"/>
  <c r="F105" i="10"/>
  <c r="I32" i="7"/>
  <c r="N58" i="7"/>
  <c r="N16" i="7"/>
  <c r="I59" i="7"/>
  <c r="I23" i="7"/>
  <c r="F107" i="10"/>
  <c r="I27" i="7"/>
  <c r="I31" i="7"/>
  <c r="I41" i="7"/>
  <c r="F5" i="3"/>
  <c r="I33" i="7"/>
  <c r="N21" i="7"/>
  <c r="I14" i="7"/>
  <c r="Q19" i="6"/>
  <c r="I49" i="7"/>
  <c r="N12" i="7"/>
  <c r="I22" i="7"/>
  <c r="N32" i="7"/>
  <c r="F106" i="10"/>
  <c r="N22" i="7"/>
  <c r="I34" i="7"/>
  <c r="N27" i="7"/>
  <c r="I29" i="7"/>
  <c r="F109" i="10"/>
  <c r="X73" i="7"/>
  <c r="N23" i="7"/>
  <c r="P13" i="6"/>
  <c r="R13" i="6" s="1"/>
  <c r="N52" i="7"/>
  <c r="I42" i="7"/>
  <c r="K4" i="10"/>
  <c r="U33" i="7"/>
  <c r="W33" i="7" s="1"/>
  <c r="P33" i="7"/>
  <c r="R33" i="7" s="1"/>
  <c r="T33" i="7"/>
  <c r="AS62" i="7"/>
  <c r="AQ5" i="7" s="1"/>
  <c r="G110" i="10"/>
  <c r="N10" i="6"/>
  <c r="D91" i="10"/>
  <c r="T35" i="7"/>
  <c r="U35" i="7"/>
  <c r="W35" i="7" s="1"/>
  <c r="P35" i="7"/>
  <c r="R35" i="7" s="1"/>
  <c r="U45" i="7"/>
  <c r="W45" i="7" s="1"/>
  <c r="P45" i="7"/>
  <c r="R45" i="7" s="1"/>
  <c r="T45" i="7"/>
  <c r="P31" i="7"/>
  <c r="R31" i="7" s="1"/>
  <c r="U31" i="7"/>
  <c r="W31" i="7" s="1"/>
  <c r="T31" i="7"/>
  <c r="U52" i="7"/>
  <c r="W52" i="7" s="1"/>
  <c r="T52" i="7"/>
  <c r="P52" i="7"/>
  <c r="R52" i="7" s="1"/>
  <c r="N13" i="7"/>
  <c r="O31" i="7"/>
  <c r="U13" i="7"/>
  <c r="W13" i="7" s="1"/>
  <c r="T13" i="7"/>
  <c r="P13" i="7"/>
  <c r="R13" i="7" s="1"/>
  <c r="AK62" i="7"/>
  <c r="AI5" i="7" s="1"/>
  <c r="G102" i="10"/>
  <c r="C91" i="10"/>
  <c r="F92" i="10"/>
  <c r="I17" i="7"/>
  <c r="N42" i="7"/>
  <c r="U43" i="7"/>
  <c r="W43" i="7" s="1"/>
  <c r="P43" i="7"/>
  <c r="R43" i="7" s="1"/>
  <c r="T43" i="7"/>
  <c r="P10" i="6"/>
  <c r="R10" i="6" s="1"/>
  <c r="U42" i="7"/>
  <c r="W42" i="7" s="1"/>
  <c r="T42" i="7"/>
  <c r="P42" i="7"/>
  <c r="R42" i="7" s="1"/>
  <c r="I50" i="7"/>
  <c r="P11" i="7"/>
  <c r="R11" i="7" s="1"/>
  <c r="U11" i="7"/>
  <c r="W11" i="7" s="1"/>
  <c r="T11" i="7"/>
  <c r="U28" i="7"/>
  <c r="W28" i="7" s="1"/>
  <c r="P28" i="7"/>
  <c r="R28" i="7" s="1"/>
  <c r="T28" i="7"/>
  <c r="U41" i="7"/>
  <c r="W41" i="7" s="1"/>
  <c r="P41" i="7"/>
  <c r="R41" i="7" s="1"/>
  <c r="T41" i="7"/>
  <c r="P17" i="7"/>
  <c r="R17" i="7" s="1"/>
  <c r="U17" i="7"/>
  <c r="W17" i="7" s="1"/>
  <c r="T17" i="7"/>
  <c r="I48" i="7"/>
  <c r="N54" i="7"/>
  <c r="N43" i="7"/>
  <c r="E4" i="10"/>
  <c r="I12" i="6"/>
  <c r="N35" i="7"/>
  <c r="F95" i="10"/>
  <c r="I18" i="7"/>
  <c r="N55" i="7"/>
  <c r="X68" i="7"/>
  <c r="F100" i="10"/>
  <c r="P54" i="7"/>
  <c r="D14" i="11"/>
  <c r="D14" i="15"/>
  <c r="U54" i="7"/>
  <c r="W54" i="7" s="1"/>
  <c r="P8" i="7"/>
  <c r="R8" i="7" s="1"/>
  <c r="Z3" i="7" s="1"/>
  <c r="X1" i="7"/>
  <c r="E3" i="7"/>
  <c r="U8" i="7"/>
  <c r="W8" i="7" s="1"/>
  <c r="I24" i="7"/>
  <c r="I15" i="7"/>
  <c r="N18" i="7"/>
  <c r="F102" i="10"/>
  <c r="X70" i="7"/>
  <c r="AH62" i="7"/>
  <c r="AF5" i="7" s="1"/>
  <c r="G99" i="10"/>
  <c r="I43" i="7"/>
  <c r="F4" i="10"/>
  <c r="E92" i="10"/>
  <c r="E91" i="10" s="1"/>
  <c r="F96" i="10"/>
  <c r="D27" i="12"/>
  <c r="P36" i="7"/>
  <c r="R36" i="7" s="1"/>
  <c r="U36" i="7"/>
  <c r="W36" i="7" s="1"/>
  <c r="T36" i="7"/>
  <c r="T22" i="7"/>
  <c r="U22" i="7"/>
  <c r="W22" i="7" s="1"/>
  <c r="P22" i="7"/>
  <c r="R22" i="7" s="1"/>
  <c r="N47" i="7"/>
  <c r="X74" i="7"/>
  <c r="Q42" i="6"/>
  <c r="AB62" i="7"/>
  <c r="Z5" i="7" s="1"/>
  <c r="G93" i="10"/>
  <c r="X71" i="7"/>
  <c r="I52" i="7"/>
  <c r="N11" i="6"/>
  <c r="E27" i="12"/>
  <c r="E31" i="12" s="1"/>
  <c r="F111" i="10"/>
  <c r="N34" i="7"/>
  <c r="G111" i="10"/>
  <c r="AT62" i="7"/>
  <c r="AR5" i="7" s="1"/>
  <c r="N36" i="7"/>
  <c r="N24" i="7"/>
  <c r="F101" i="10"/>
  <c r="AG62" i="7"/>
  <c r="AE5" i="7" s="1"/>
  <c r="G98" i="10"/>
  <c r="U10" i="7"/>
  <c r="W10" i="7" s="1"/>
  <c r="D9" i="11"/>
  <c r="P10" i="7"/>
  <c r="D9" i="15"/>
  <c r="P49" i="7"/>
  <c r="R49" i="7" s="1"/>
  <c r="U49" i="7"/>
  <c r="W49" i="7" s="1"/>
  <c r="T49" i="7"/>
  <c r="U55" i="7"/>
  <c r="W55" i="7" s="1"/>
  <c r="P55" i="7"/>
  <c r="R55" i="7" s="1"/>
  <c r="U25" i="7"/>
  <c r="W25" i="7" s="1"/>
  <c r="P25" i="7"/>
  <c r="R25" i="7" s="1"/>
  <c r="T25" i="7"/>
  <c r="P21" i="7"/>
  <c r="R21" i="7" s="1"/>
  <c r="T21" i="7"/>
  <c r="U21" i="7"/>
  <c r="W21" i="7" s="1"/>
  <c r="I39" i="7"/>
  <c r="AD62" i="7"/>
  <c r="AB5" i="7" s="1"/>
  <c r="G95" i="10"/>
  <c r="P26" i="7"/>
  <c r="R26" i="7" s="1"/>
  <c r="U26" i="7"/>
  <c r="W26" i="7" s="1"/>
  <c r="T26" i="7"/>
  <c r="I35" i="7"/>
  <c r="I26" i="7"/>
  <c r="U47" i="7"/>
  <c r="W47" i="7" s="1"/>
  <c r="T47" i="7"/>
  <c r="P47" i="7"/>
  <c r="R47" i="7" s="1"/>
  <c r="H18" i="1"/>
  <c r="H10" i="1" s="1"/>
  <c r="H9" i="1" s="1"/>
  <c r="H8" i="1" s="1"/>
  <c r="F10" i="1"/>
  <c r="I45" i="7"/>
  <c r="I51" i="7"/>
  <c r="X63" i="7"/>
  <c r="AA62" i="7"/>
  <c r="G92" i="10"/>
  <c r="F112" i="10"/>
  <c r="T16" i="7"/>
  <c r="P16" i="7"/>
  <c r="R16" i="7" s="1"/>
  <c r="U16" i="7"/>
  <c r="W16" i="7" s="1"/>
  <c r="P59" i="7"/>
  <c r="R59" i="7" s="1"/>
  <c r="U59" i="7"/>
  <c r="W59" i="7" s="1"/>
  <c r="D16" i="11"/>
  <c r="D16" i="15"/>
  <c r="F93" i="10"/>
  <c r="X65" i="7"/>
  <c r="I20" i="7"/>
  <c r="P34" i="7"/>
  <c r="R34" i="7" s="1"/>
  <c r="U34" i="7"/>
  <c r="W34" i="7" s="1"/>
  <c r="T34" i="7"/>
  <c r="G105" i="10"/>
  <c r="AN62" i="7"/>
  <c r="AL5" i="7" s="1"/>
  <c r="P11" i="6"/>
  <c r="R11" i="6" s="1"/>
  <c r="I14" i="6"/>
  <c r="G109" i="10"/>
  <c r="AR62" i="7"/>
  <c r="AP5" i="7" s="1"/>
  <c r="U53" i="7"/>
  <c r="W53" i="7" s="1"/>
  <c r="P53" i="7"/>
  <c r="R53" i="7" s="1"/>
  <c r="P37" i="7"/>
  <c r="R37" i="7" s="1"/>
  <c r="T37" i="7"/>
  <c r="U37" i="7"/>
  <c r="W37" i="7" s="1"/>
  <c r="T29" i="7"/>
  <c r="U29" i="7"/>
  <c r="W29" i="7" s="1"/>
  <c r="P29" i="7"/>
  <c r="R29" i="7" s="1"/>
  <c r="X76" i="7"/>
  <c r="G4" i="10"/>
  <c r="T44" i="7"/>
  <c r="U44" i="7"/>
  <c r="W44" i="7" s="1"/>
  <c r="P44" i="7"/>
  <c r="R44" i="7" s="1"/>
  <c r="N46" i="7"/>
  <c r="G108" i="10"/>
  <c r="AQ62" i="7"/>
  <c r="AO5" i="7" s="1"/>
  <c r="N59" i="7"/>
  <c r="F10" i="18"/>
  <c r="H18" i="18"/>
  <c r="H10" i="18" s="1"/>
  <c r="H9" i="18" s="1"/>
  <c r="H8" i="18" s="1"/>
  <c r="X69" i="7"/>
  <c r="H92" i="10"/>
  <c r="H91" i="10" s="1"/>
  <c r="X64" i="7"/>
  <c r="N44" i="7"/>
  <c r="N8" i="7"/>
  <c r="J13" i="7"/>
  <c r="U50" i="7"/>
  <c r="W50" i="7" s="1"/>
  <c r="P50" i="7"/>
  <c r="R50" i="7" s="1"/>
  <c r="T50" i="7"/>
  <c r="F110" i="10"/>
  <c r="D15" i="15"/>
  <c r="U57" i="7"/>
  <c r="W57" i="7" s="1"/>
  <c r="D15" i="11"/>
  <c r="P57" i="7"/>
  <c r="R57" i="7" s="1"/>
  <c r="P24" i="7"/>
  <c r="R24" i="7" s="1"/>
  <c r="T24" i="7"/>
  <c r="U24" i="7"/>
  <c r="W24" i="7" s="1"/>
  <c r="N50" i="7"/>
  <c r="AO62" i="7"/>
  <c r="AM5" i="7" s="1"/>
  <c r="G106" i="10"/>
  <c r="N49" i="7"/>
  <c r="I47" i="7"/>
  <c r="X66" i="7"/>
  <c r="P18" i="7"/>
  <c r="R18" i="7" s="1"/>
  <c r="U18" i="7"/>
  <c r="W18" i="7" s="1"/>
  <c r="T18" i="7"/>
  <c r="I44" i="7"/>
  <c r="U20" i="7"/>
  <c r="W20" i="7" s="1"/>
  <c r="P20" i="7"/>
  <c r="R20" i="7" s="1"/>
  <c r="T20" i="7"/>
  <c r="N15" i="7"/>
  <c r="G103" i="10"/>
  <c r="AL62" i="7"/>
  <c r="AJ5" i="7" s="1"/>
  <c r="I58" i="7"/>
  <c r="AF62" i="7"/>
  <c r="AD5" i="7" s="1"/>
  <c r="G97" i="10"/>
  <c r="P12" i="7"/>
  <c r="R12" i="7" s="1"/>
  <c r="T12" i="7"/>
  <c r="U12" i="7"/>
  <c r="W12" i="7" s="1"/>
  <c r="AA2" i="7"/>
  <c r="I8" i="7"/>
  <c r="U32" i="7"/>
  <c r="W32" i="7" s="1"/>
  <c r="P32" i="7"/>
  <c r="R32" i="7" s="1"/>
  <c r="T32" i="7"/>
  <c r="F61" i="10"/>
  <c r="D10" i="15"/>
  <c r="D10" i="11"/>
  <c r="U19" i="7"/>
  <c r="W19" i="7" s="1"/>
  <c r="P19" i="7"/>
  <c r="G94" i="10"/>
  <c r="AC62" i="7"/>
  <c r="AA5" i="7" s="1"/>
  <c r="X72" i="7"/>
  <c r="I10" i="7"/>
  <c r="N26" i="7"/>
  <c r="I37" i="7"/>
  <c r="O11" i="7"/>
  <c r="E23" i="1"/>
  <c r="E9" i="1" s="1"/>
  <c r="E8" i="1" s="1"/>
  <c r="L28" i="18"/>
  <c r="L23" i="18" s="1"/>
  <c r="L9" i="18" s="1"/>
  <c r="L8" i="18" s="1"/>
  <c r="K23" i="18"/>
  <c r="I46" i="7"/>
  <c r="T38" i="7"/>
  <c r="P38" i="7"/>
  <c r="R38" i="7" s="1"/>
  <c r="U38" i="7"/>
  <c r="W38" i="7" s="1"/>
  <c r="I38" i="7"/>
  <c r="G101" i="10"/>
  <c r="AJ62" i="7"/>
  <c r="AH5" i="7" s="1"/>
  <c r="AM62" i="7"/>
  <c r="AK5" i="7" s="1"/>
  <c r="G104" i="10"/>
  <c r="AE62" i="7"/>
  <c r="AC5" i="7" s="1"/>
  <c r="G96" i="10"/>
  <c r="U39" i="7"/>
  <c r="W39" i="7" s="1"/>
  <c r="T39" i="7"/>
  <c r="P39" i="7"/>
  <c r="R39" i="7" s="1"/>
  <c r="I12" i="7"/>
  <c r="I25" i="7"/>
  <c r="T48" i="7"/>
  <c r="P48" i="7"/>
  <c r="R48" i="7" s="1"/>
  <c r="U48" i="7"/>
  <c r="W48" i="7" s="1"/>
  <c r="N13" i="6"/>
  <c r="P30" i="7"/>
  <c r="D12" i="11"/>
  <c r="U30" i="7"/>
  <c r="W30" i="7" s="1"/>
  <c r="D12" i="15"/>
  <c r="N39" i="7"/>
  <c r="F104" i="10"/>
  <c r="I28" i="7"/>
  <c r="I16" i="7"/>
  <c r="N38" i="7"/>
  <c r="P15" i="7"/>
  <c r="R15" i="7" s="1"/>
  <c r="T15" i="7"/>
  <c r="U15" i="7"/>
  <c r="W15" i="7" s="1"/>
  <c r="I13" i="6"/>
  <c r="F94" i="10"/>
  <c r="P12" i="6"/>
  <c r="R12" i="6" s="1"/>
  <c r="N20" i="7"/>
  <c r="P9" i="7"/>
  <c r="R9" i="7" s="1"/>
  <c r="U9" i="7"/>
  <c r="W9" i="7" s="1"/>
  <c r="T27" i="7"/>
  <c r="P27" i="7"/>
  <c r="R27" i="7" s="1"/>
  <c r="U27" i="7"/>
  <c r="W27" i="7" s="1"/>
  <c r="N28" i="7"/>
  <c r="P46" i="7"/>
  <c r="R46" i="7" s="1"/>
  <c r="T46" i="7"/>
  <c r="U46" i="7"/>
  <c r="W46" i="7" s="1"/>
  <c r="X75" i="7"/>
  <c r="AU62" i="7"/>
  <c r="AS5" i="7" s="1"/>
  <c r="G112" i="10"/>
  <c r="N25" i="7"/>
  <c r="U51" i="7"/>
  <c r="W51" i="7" s="1"/>
  <c r="P51" i="7"/>
  <c r="R51" i="7" s="1"/>
  <c r="T51" i="7"/>
  <c r="AP62" i="7"/>
  <c r="AN5" i="7" s="1"/>
  <c r="G107" i="10"/>
  <c r="P58" i="7"/>
  <c r="R58" i="7" s="1"/>
  <c r="U58" i="7"/>
  <c r="W58" i="7" s="1"/>
  <c r="U23" i="7"/>
  <c r="W23" i="7" s="1"/>
  <c r="D11" i="11"/>
  <c r="P23" i="7"/>
  <c r="D11" i="15"/>
  <c r="E11" i="15" s="1"/>
  <c r="G100" i="10"/>
  <c r="AI62" i="7"/>
  <c r="AG5" i="7" s="1"/>
  <c r="N57" i="7"/>
  <c r="X67" i="7"/>
  <c r="U14" i="7"/>
  <c r="W14" i="7" s="1"/>
  <c r="T14" i="7"/>
  <c r="P14" i="7"/>
  <c r="R14" i="7" s="1"/>
  <c r="N14" i="7"/>
  <c r="I57" i="7"/>
  <c r="N33" i="7"/>
  <c r="U56" i="7"/>
  <c r="W56" i="7" s="1"/>
  <c r="P56" i="7"/>
  <c r="R56" i="7" s="1"/>
  <c r="E23" i="18"/>
  <c r="E9" i="18" s="1"/>
  <c r="E8" i="18" s="1"/>
  <c r="K23" i="1"/>
  <c r="L23" i="1"/>
  <c r="L9" i="1" s="1"/>
  <c r="L8" i="1" s="1"/>
  <c r="G11" i="15" l="1"/>
  <c r="E8" i="15"/>
  <c r="F11" i="15"/>
  <c r="G10" i="11"/>
  <c r="F10" i="11"/>
  <c r="F9" i="18"/>
  <c r="I10" i="18"/>
  <c r="E14" i="15"/>
  <c r="D13" i="15"/>
  <c r="R23" i="7"/>
  <c r="AU23" i="7"/>
  <c r="G10" i="15"/>
  <c r="F10" i="15"/>
  <c r="D13" i="11"/>
  <c r="E14" i="11"/>
  <c r="E15" i="11"/>
  <c r="D26" i="11"/>
  <c r="R54" i="7"/>
  <c r="AU54" i="7"/>
  <c r="F9" i="1"/>
  <c r="I10" i="1"/>
  <c r="G9" i="15"/>
  <c r="F9" i="15"/>
  <c r="D8" i="15"/>
  <c r="K9" i="1"/>
  <c r="J11" i="11"/>
  <c r="G11" i="11"/>
  <c r="F11" i="11"/>
  <c r="G12" i="15"/>
  <c r="F12" i="15"/>
  <c r="K9" i="18"/>
  <c r="F15" i="15"/>
  <c r="G15" i="15"/>
  <c r="AU10" i="7"/>
  <c r="R10" i="7"/>
  <c r="F91" i="10"/>
  <c r="F9" i="11"/>
  <c r="G9" i="11"/>
  <c r="D8" i="11"/>
  <c r="F12" i="11"/>
  <c r="G12" i="11"/>
  <c r="AU19" i="7"/>
  <c r="R19" i="7"/>
  <c r="F16" i="15"/>
  <c r="G16" i="15"/>
  <c r="G91" i="10"/>
  <c r="R30" i="7"/>
  <c r="AU30" i="7"/>
  <c r="G16" i="11"/>
  <c r="F16" i="11"/>
  <c r="X62" i="7"/>
  <c r="X88" i="7" s="1"/>
  <c r="Y5" i="7"/>
  <c r="D7" i="15" l="1"/>
  <c r="E13" i="15"/>
  <c r="F13" i="15" s="1"/>
  <c r="G14" i="15"/>
  <c r="G13" i="15" s="1"/>
  <c r="F14" i="15"/>
  <c r="G14" i="11"/>
  <c r="E13" i="11"/>
  <c r="F14" i="11"/>
  <c r="G15" i="11"/>
  <c r="F15" i="11"/>
  <c r="I9" i="18"/>
  <c r="F8" i="18"/>
  <c r="I8" i="18" s="1"/>
  <c r="M9" i="18"/>
  <c r="K8" i="18"/>
  <c r="M8" i="18" s="1"/>
  <c r="F8" i="1"/>
  <c r="I8" i="1" s="1"/>
  <c r="I9" i="1"/>
  <c r="F8" i="15"/>
  <c r="G8" i="15"/>
  <c r="F8" i="11"/>
  <c r="D7" i="11"/>
  <c r="G8" i="11"/>
  <c r="K8" i="1"/>
  <c r="M8" i="1" s="1"/>
  <c r="M9" i="1"/>
  <c r="E7" i="15" l="1"/>
  <c r="F7" i="15" s="1"/>
  <c r="G7" i="15"/>
  <c r="G13" i="11"/>
  <c r="G7" i="11" s="1"/>
  <c r="E7" i="11"/>
  <c r="F7" i="11" s="1"/>
  <c r="F13" i="11"/>
</calcChain>
</file>

<file path=xl/sharedStrings.xml><?xml version="1.0" encoding="utf-8"?>
<sst xmlns="http://schemas.openxmlformats.org/spreadsheetml/2006/main" count="1515" uniqueCount="650">
  <si>
    <t>Информация по исполнению бюджетных средств ЦА и по территориальным подразделениям Комитета санитарно-эпидемиологического контроля МЗ РК</t>
  </si>
  <si>
    <t>Программа</t>
  </si>
  <si>
    <t>П/программа</t>
  </si>
  <si>
    <t>Специфика</t>
  </si>
  <si>
    <t>Наименование</t>
  </si>
  <si>
    <t>Сводный план финансирования на 2023 год</t>
  </si>
  <si>
    <t>По обязательствам</t>
  </si>
  <si>
    <t>По платежам</t>
  </si>
  <si>
    <t>План сначала года</t>
  </si>
  <si>
    <t>Принятые обязательства</t>
  </si>
  <si>
    <t>Отклонение</t>
  </si>
  <si>
    <t>% исполнения</t>
  </si>
  <si>
    <t>Примечание (обоснование причин неисполнения плана)</t>
  </si>
  <si>
    <t>Оплаченные обязательства</t>
  </si>
  <si>
    <t>ВСЕГО по КСЭК МЗ РК:</t>
  </si>
  <si>
    <t>Формирование государственной политики в области здравоохранения</t>
  </si>
  <si>
    <t>Обеспечение деятельности уполномоченного органа в области здравоохранения</t>
  </si>
  <si>
    <t>Оплата труда технического персонала:</t>
  </si>
  <si>
    <t>Взносы работодателей по техническому персоналу</t>
  </si>
  <si>
    <t>Командировки и служебные разъезды внутри страны технического персонала</t>
  </si>
  <si>
    <t>Исполнение исполнительных документов,судебных актов</t>
  </si>
  <si>
    <t>Прочие услуги и работы</t>
  </si>
  <si>
    <t>Прочие текущие затраты</t>
  </si>
  <si>
    <t>Трансферты физическим лицам</t>
  </si>
  <si>
    <t>Приобретение машин, оборудования, инструментов, производственного и хозяйственного инвентаря</t>
  </si>
  <si>
    <t>Обеспечение функционирования информационных систем и информационно-техническое обеспечение государственного органа</t>
  </si>
  <si>
    <t>Приобретение прочих запасов</t>
  </si>
  <si>
    <t>экономия</t>
  </si>
  <si>
    <t>Оплата услуг связи</t>
  </si>
  <si>
    <t>Оплата прочих услуг и работ</t>
  </si>
  <si>
    <t>Капитальные расходы Министерства здравоохранения Республики Казахстан</t>
  </si>
  <si>
    <t>Приобретение помещений, зданий, сооружений, передаточных устройств</t>
  </si>
  <si>
    <t>Приобретение транспортных средств</t>
  </si>
  <si>
    <t>Приобретение нематериальных активов</t>
  </si>
  <si>
    <t>Приобретение прочих основных средств</t>
  </si>
  <si>
    <t>Капитальный ремонт помещений, зданий, сооружений, передаточных устройств</t>
  </si>
  <si>
    <t>Текущие административные расходы</t>
  </si>
  <si>
    <t>Оплата труда</t>
  </si>
  <si>
    <t>Дополнительные денежные выплаты</t>
  </si>
  <si>
    <t>Компенсационные выплаты</t>
  </si>
  <si>
    <t>Обязательные пенсионные взносы работодателя</t>
  </si>
  <si>
    <t>Социальный налог</t>
  </si>
  <si>
    <t>Социальные отчисления в ГФСС</t>
  </si>
  <si>
    <t>Взносы на обязательное страхование</t>
  </si>
  <si>
    <t>Отчисления на обязательное социальное медицинское страхование</t>
  </si>
  <si>
    <t>Приобретение лекарственных средств и прочих изделий медицинского назначения</t>
  </si>
  <si>
    <t>Приобретение топлива, горюче-смазочных материалов</t>
  </si>
  <si>
    <t>Оплата коммунальных услуг</t>
  </si>
  <si>
    <t>Оплата транспортных услуг</t>
  </si>
  <si>
    <t>Оплата аренды за помещение</t>
  </si>
  <si>
    <t>Командировки и служебные разъезды внутри страны</t>
  </si>
  <si>
    <t>Охрана общественного здоровья</t>
  </si>
  <si>
    <t>Обеспечение санитарно-эпидемиологического благополучия населения</t>
  </si>
  <si>
    <t>Капитальные расходы государственных организаций здравоохранения, осуществляющих деятельность в области санитарно-эпидемиологического благополучия населения</t>
  </si>
  <si>
    <t>Материально-техническое оснащение государственных предприятий</t>
  </si>
  <si>
    <t>Обеспечение повышения квалификации государственных служащих</t>
  </si>
  <si>
    <t xml:space="preserve">экономия </t>
  </si>
  <si>
    <t>Подлежит освоению, в том числе:</t>
  </si>
  <si>
    <t>по ФОТ</t>
  </si>
  <si>
    <t>Командировочные расходы</t>
  </si>
  <si>
    <t>Коммунальные платежи</t>
  </si>
  <si>
    <t>Капитальные расходы (автотранспорт)</t>
  </si>
  <si>
    <t>Капитальные расходы (ОС)</t>
  </si>
  <si>
    <t>Капитальные расходы (капремонт)</t>
  </si>
  <si>
    <t>ГСМ</t>
  </si>
  <si>
    <t>Запасы</t>
  </si>
  <si>
    <t>Услуги аренды автотранспорта</t>
  </si>
  <si>
    <t>Услуги и работы прочие</t>
  </si>
  <si>
    <t>Услуги связи</t>
  </si>
  <si>
    <t>Услуги госзаказ</t>
  </si>
  <si>
    <t>Прочие платежи</t>
  </si>
  <si>
    <t>Повышение квалификации</t>
  </si>
  <si>
    <t>Маттехоснащение НЦЭ</t>
  </si>
  <si>
    <t>Ожидаемый процент освоения:</t>
  </si>
  <si>
    <t>по состоянию на  30 апреля   2023 года</t>
  </si>
  <si>
    <t>Оплата услуг на проведение форумов, семинаров</t>
  </si>
  <si>
    <t>по видам расходов</t>
  </si>
  <si>
    <t>Остаток по платежам</t>
  </si>
  <si>
    <t>ФОТ</t>
  </si>
  <si>
    <t>Командировочные</t>
  </si>
  <si>
    <t>Коммуналка</t>
  </si>
  <si>
    <t>Кап расходы (авто)</t>
  </si>
  <si>
    <t>Кап расходы (ОС)</t>
  </si>
  <si>
    <t>Кап расходы (Капремонт)</t>
  </si>
  <si>
    <t>Сизы</t>
  </si>
  <si>
    <t>Аренда автотранспорта</t>
  </si>
  <si>
    <t>маттехоснащение</t>
  </si>
  <si>
    <t>ВСЕГО по КСЭК МЗ РК</t>
  </si>
  <si>
    <t>ЦА КСЭК МЗ РК</t>
  </si>
  <si>
    <t>ДСЭК Акмолинской области КСЭК МЗ РК</t>
  </si>
  <si>
    <t>ДСЭК Актюбинской области КСЭК МЗ РК</t>
  </si>
  <si>
    <t>ДСЭК Алматинской области КСЭК МЗ РК</t>
  </si>
  <si>
    <t>ДСЭК Атырауской области КСЭК МЗ РК</t>
  </si>
  <si>
    <t>ДСЭК ВКО КСЭК МЗ РК</t>
  </si>
  <si>
    <t>ДСЭК Жамбылской области КСЭК МЗ РК</t>
  </si>
  <si>
    <t>ДСЭК ЗКО КСЭК МЗ РК</t>
  </si>
  <si>
    <t>ДСЭК Карагандинской области КСЭК МЗ РК</t>
  </si>
  <si>
    <t>ДСЭК Костанайской области КСЭК МЗ РК</t>
  </si>
  <si>
    <t>ДСЭК Кызылординской области КСЭК МЗ РК</t>
  </si>
  <si>
    <t>ДСЭК Мангистауской области КСЭК МЗ РК</t>
  </si>
  <si>
    <t>ДСЭК Павлодарской области КСЭК МЗ РК</t>
  </si>
  <si>
    <t>ДСЭК СКО КСЭК МЗ РК</t>
  </si>
  <si>
    <t>ДСЭК Туркестанской области КСЭК МЗ РК</t>
  </si>
  <si>
    <t>ДСЭК города Шымкент КСЭК МЗ РК</t>
  </si>
  <si>
    <t>ДСЭК города Алматы КСЭК МЗ РК</t>
  </si>
  <si>
    <t>ДСЭК города Нур-Султан КСЭК МЗ РК</t>
  </si>
  <si>
    <t>ДСЭК на транспорте КСЭК МЗ РК</t>
  </si>
  <si>
    <t>Улытау</t>
  </si>
  <si>
    <t>Жетису</t>
  </si>
  <si>
    <t>Абай</t>
  </si>
  <si>
    <t>караганда 136</t>
  </si>
  <si>
    <t>зко 136</t>
  </si>
  <si>
    <t>вко 144</t>
  </si>
  <si>
    <t>алм обл фот соцотч</t>
  </si>
  <si>
    <t>Акмола 142 поставка товара</t>
  </si>
  <si>
    <t>в тенге</t>
  </si>
  <si>
    <t>транспорт</t>
  </si>
  <si>
    <t>ПЛАН за 11 мес</t>
  </si>
  <si>
    <t>оплачено за 10 мес</t>
  </si>
  <si>
    <t>с 1-7 ноября</t>
  </si>
  <si>
    <t>Остатки</t>
  </si>
  <si>
    <t>Потребность на октябрь</t>
  </si>
  <si>
    <t>Остатки на передвиж</t>
  </si>
  <si>
    <t>внутр</t>
  </si>
  <si>
    <t>внешняя на декабрь</t>
  </si>
  <si>
    <t>100/131</t>
  </si>
  <si>
    <t>-</t>
  </si>
  <si>
    <t>100/135</t>
  </si>
  <si>
    <t>100/169</t>
  </si>
  <si>
    <t>нет акта поставки вода</t>
  </si>
  <si>
    <t>104/149</t>
  </si>
  <si>
    <t xml:space="preserve">
11 000 000,0  тенге - процедуры ГЗ не состоялись  (Картриджы)
1 324 223,2 тенге - экономия по итогам ГЗ
</t>
  </si>
  <si>
    <t>104/152</t>
  </si>
  <si>
    <t>3 190 300,0 тыс. тенге - акт за октябрь картел
46 626 100 тыс тенге - спутниковая связь 
21 230 300 тыс тенге - сеть интернет</t>
  </si>
  <si>
    <t>зплата по усл инт в ноябре за окт</t>
  </si>
  <si>
    <t>3190,3 сумма сентябрь</t>
  </si>
  <si>
    <t>104/159</t>
  </si>
  <si>
    <r>
      <rPr>
        <sz val="11"/>
        <color rgb="FF000000"/>
        <rFont val="Calibri, sans-serif"/>
      </rPr>
      <t xml:space="preserve">146 100 - Банк крови
125 416,66 - сопровождение РНП
1 717 500 - 1С бухгалтерия
13 024 064,95 - системное обслуживание (май-октябрь - </t>
    </r>
    <r>
      <rPr>
        <b/>
        <sz val="11"/>
        <color rgb="FF000000"/>
        <rFont val="Calibri, sans-serif"/>
      </rPr>
      <t>5 202 451,0</t>
    </r>
    <r>
      <rPr>
        <sz val="11"/>
        <color rgb="FF000000"/>
        <rFont val="Calibri, sans-serif"/>
      </rPr>
      <t xml:space="preserve"> тенге)
</t>
    </r>
    <r>
      <rPr>
        <sz val="11"/>
        <color rgb="FFFF0000"/>
        <rFont val="Calibri, sans-serif"/>
      </rPr>
      <t>34 878 700 - техническое обслуживание (июль-октябрь)</t>
    </r>
  </si>
  <si>
    <t xml:space="preserve">с апреля мес </t>
  </si>
  <si>
    <t>сымбат болатовна</t>
  </si>
  <si>
    <t>1 с, сист, тех, банк крови</t>
  </si>
  <si>
    <t>111/413</t>
  </si>
  <si>
    <t>111/414</t>
  </si>
  <si>
    <r>
      <rPr>
        <sz val="11"/>
        <color rgb="FF000000"/>
        <rFont val="Calibri, sans-serif"/>
      </rPr>
      <t xml:space="preserve">22 800 000 - МФУ нет итогов ГЗ
3 967 203,9 - Сервер нет итогов ГЗ не состоялся
</t>
    </r>
    <r>
      <rPr>
        <sz val="11"/>
        <color rgb="FF000000"/>
        <rFont val="Calibri, sans-serif"/>
      </rPr>
      <t>7 599 900,0 - Ноутбук (несостоявшиеся ГЗ, в доход бюджета)
34 733 000  - Сервер (несостоявшиеся ГЗ, в доход бюджета)
1600 000  - Цветной принтер (несостоявшиеся ГЗ, в доход бюджета)
211 367,1 - экономия по итогам ГЗ</t>
    </r>
  </si>
  <si>
    <t>123/111</t>
  </si>
  <si>
    <t>сымбат</t>
  </si>
  <si>
    <t>123/112</t>
  </si>
  <si>
    <t>123/113</t>
  </si>
  <si>
    <t>внешняя</t>
  </si>
  <si>
    <t>123/121</t>
  </si>
  <si>
    <t>123/122</t>
  </si>
  <si>
    <t>123/124</t>
  </si>
  <si>
    <t>123/149</t>
  </si>
  <si>
    <t>бумага а4</t>
  </si>
  <si>
    <t>123/152</t>
  </si>
  <si>
    <t>услуги связи алибек уменьшение суммы по договору</t>
  </si>
  <si>
    <t>123/153</t>
  </si>
  <si>
    <t>аренда авто алибек уменьшение суммы по договору</t>
  </si>
  <si>
    <t>123/159</t>
  </si>
  <si>
    <t>ИТЦ по факту алибек</t>
  </si>
  <si>
    <t>123/161</t>
  </si>
  <si>
    <t>070/159</t>
  </si>
  <si>
    <t>070/161</t>
  </si>
  <si>
    <t>112/418</t>
  </si>
  <si>
    <t>Маттехоснащение НЦЭ
287 457,0 тыс.тенге -  Лизинговые платежи по передвижным мобильным лабораторным комплексам (на основе договора о лизинге). 
Вопрос  механизма оплаты проработан.
Данная сумма будет перераспределена внутри БП 070 на  бюджетную подпрограмму 112 «Капитальные расходы государственных организаций здравоохранения, осуществляющих деятельность в области санитарно-эпидемиологического благополучия населения», специфика 418 «Материально-техническое оснащение государственных предприятий» путем внесения изменений в ИПФ в ноябре т.г.</t>
  </si>
  <si>
    <t>138/159</t>
  </si>
  <si>
    <t>ИТОГО</t>
  </si>
  <si>
    <t>Принятые обязательства за 10 мес</t>
  </si>
  <si>
    <t>Потребность на ноябрь</t>
  </si>
  <si>
    <t>нет акта поставки вод</t>
  </si>
  <si>
    <r>
      <rPr>
        <sz val="11"/>
        <color rgb="FF000000"/>
        <rFont val="Calibri, sans-serif"/>
      </rPr>
      <t xml:space="preserve">
11 000 000,0  тенге - процедуры ГЗ не состоялись  (Картриджы)
1 324 223,2 тенге - экономия по итогам ГЗ
</t>
    </r>
    <r>
      <rPr>
        <sz val="11"/>
        <color rgb="FFFF0000"/>
        <rFont val="Calibri, sans-serif"/>
      </rPr>
      <t>Принимается решение о закупе казтокен на 11 200 млн</t>
    </r>
  </si>
  <si>
    <t xml:space="preserve">
46 626 100 тыс тенге - спутниковая связь 
</t>
  </si>
  <si>
    <r>
      <rPr>
        <sz val="11"/>
        <color rgb="FF000000"/>
        <rFont val="Calibri, sans-serif"/>
      </rPr>
      <t xml:space="preserve">146 100 - Банк крови
125 416,66 - сопровождение РНП
1 717 500 - 1С бухгалтерия
13 024 064,95 - системное обслуживание (май-октябрь - </t>
    </r>
    <r>
      <rPr>
        <b/>
        <sz val="11"/>
        <color rgb="FF000000"/>
        <rFont val="Calibri, sans-serif"/>
      </rPr>
      <t>5 202 451,0</t>
    </r>
    <r>
      <rPr>
        <sz val="11"/>
        <color rgb="FF000000"/>
        <rFont val="Calibri, sans-serif"/>
      </rPr>
      <t xml:space="preserve"> тенге)
34 878 700 - техническое обслуживание (июль-октябрь)</t>
    </r>
  </si>
  <si>
    <t>тех ослужив
сист обсл</t>
  </si>
  <si>
    <t>на ноябрь по факту</t>
  </si>
  <si>
    <t>ИТЦ по факту</t>
  </si>
  <si>
    <t>Маттехоснащение, обучение опрабация</t>
  </si>
  <si>
    <t>томирис</t>
  </si>
  <si>
    <t>повышение квалификации по факту</t>
  </si>
  <si>
    <t>динара</t>
  </si>
  <si>
    <t>По исполнению БП 070 Охрана общественного здоровья</t>
  </si>
  <si>
    <t>Сводный план финансирования на 2022 год</t>
  </si>
  <si>
    <t>Остаток до конца года</t>
  </si>
  <si>
    <t>ЦА</t>
  </si>
  <si>
    <t>Территориальные департаменты</t>
  </si>
  <si>
    <r>
      <rPr>
        <sz val="10"/>
        <color theme="1"/>
        <rFont val="Arial"/>
        <family val="2"/>
        <charset val="204"/>
      </rPr>
      <t xml:space="preserve">В ЦА числится сумма </t>
    </r>
    <r>
      <rPr>
        <b/>
        <sz val="10"/>
        <color theme="1"/>
        <rFont val="Arial"/>
        <family val="2"/>
        <charset val="204"/>
      </rPr>
      <t>1 072 889,4 тыс тенге</t>
    </r>
    <r>
      <rPr>
        <sz val="10"/>
        <color theme="1"/>
        <rFont val="Arial"/>
        <family val="2"/>
        <charset val="204"/>
      </rPr>
      <t xml:space="preserve">,в том числе:
</t>
    </r>
    <r>
      <rPr>
        <b/>
        <sz val="10"/>
        <color theme="1"/>
        <rFont val="Arial"/>
        <family val="2"/>
        <charset val="204"/>
      </rPr>
      <t>287 457,0 тыс.тенге</t>
    </r>
    <r>
      <rPr>
        <sz val="10"/>
        <color theme="1"/>
        <rFont val="Arial"/>
        <family val="2"/>
        <charset val="204"/>
      </rPr>
      <t xml:space="preserve">  - лизинговые платежи НЦЭ (на основе договора о лизинге) (необходим механизм корректного финансирования)
</t>
    </r>
    <r>
      <rPr>
        <b/>
        <sz val="10"/>
        <color theme="1"/>
        <rFont val="Arial"/>
        <family val="2"/>
        <charset val="204"/>
      </rPr>
      <t>679 253,4 тыс тенге</t>
    </r>
    <r>
      <rPr>
        <sz val="10"/>
        <color theme="1"/>
        <rFont val="Arial"/>
        <family val="2"/>
        <charset val="204"/>
      </rPr>
      <t xml:space="preserve"> - сумма планируемая на снятие, при уточнении РБ, в связи с вводом в действие Закона Республики Казахстан от 21 мая 2022 года № 122-VII ЗРК "О биологической безопасности Республики Казахстан" в декабре 2022 года, ожидаемая сумма неосвоения по расходам ФОТ (ЗП+Пособие специалистам в области Биобезопасности) предусмотренных на 11 месяцев текущего года составляет 679 253,4 тыс.тенге.
</t>
    </r>
    <r>
      <rPr>
        <b/>
        <sz val="10"/>
        <color theme="1"/>
        <rFont val="Arial"/>
        <family val="2"/>
        <charset val="204"/>
      </rPr>
      <t>106 189,0 тыс. тенг</t>
    </r>
    <r>
      <rPr>
        <sz val="10"/>
        <color theme="1"/>
        <rFont val="Arial"/>
        <family val="2"/>
        <charset val="204"/>
      </rPr>
      <t xml:space="preserve">е, сумма планируемая на снятие, при уточнении РБ - повышение квалификации в рамках закона Био безопасности, в связи с вводом в действие Закона Республики Казахстан от 21 мая 2022 года № 122-VII ЗРК "О биологической безопасности Республики Казахстан" в декабре 2022 года
Территориальным департаментам Комитета в рамках повышения ЗП немедицинским работникам, были посажены дополнительные средства в ощей сумме 1 081 000,0 тыс. тенге, из которых до конца года остаток по принятыми обязательствами 
</t>
    </r>
    <r>
      <rPr>
        <b/>
        <sz val="10"/>
        <color theme="1"/>
        <rFont val="Arial"/>
        <family val="2"/>
        <charset val="204"/>
      </rPr>
      <t xml:space="preserve">1 202 609,9 тыс тенге, в том числе:
</t>
    </r>
    <r>
      <rPr>
        <sz val="10"/>
        <color theme="1"/>
        <rFont val="Arial"/>
        <family val="2"/>
        <charset val="204"/>
      </rPr>
      <t xml:space="preserve">301 658,9 тыс тенге - Акмола
174 292,7 тыс тенге - Атырау
180 633,3 тыс тенге - ВКО
73 407,8 тыс тенге - Караганда
237 851,0 тыс тенге - Кызылорда
29 852,9 тыс. тенге - Мангистау (на снятие)
111 360,5 тыс тенге - Алматы
64 774,09 тыс тенге - Астана
28 778,3 тыс тенге - Транспорт
</t>
    </r>
    <r>
      <rPr>
        <b/>
        <sz val="10"/>
        <color theme="1"/>
        <rFont val="Arial"/>
        <family val="2"/>
        <charset val="204"/>
      </rPr>
      <t xml:space="preserve">1 050,1 млн. тенге  </t>
    </r>
    <r>
      <rPr>
        <sz val="10"/>
        <color theme="1"/>
        <rFont val="Arial"/>
        <family val="2"/>
        <charset val="204"/>
      </rPr>
      <t xml:space="preserve">-  выделены средства на повышение ЗП не медицинским работникам
</t>
    </r>
    <r>
      <rPr>
        <b/>
        <sz val="10"/>
        <color theme="1"/>
        <rFont val="Arial"/>
        <family val="2"/>
        <charset val="204"/>
      </rPr>
      <t>751 млн.тенге</t>
    </r>
    <r>
      <rPr>
        <sz val="10"/>
        <color theme="1"/>
        <rFont val="Arial"/>
        <family val="2"/>
        <charset val="204"/>
      </rPr>
      <t xml:space="preserve"> -  выделены средства на выплату надбавок (Ковид)</t>
    </r>
  </si>
  <si>
    <r>
      <rPr>
        <b/>
        <sz val="11"/>
        <color rgb="FF000000"/>
        <rFont val="&quot;Times New Roman&quot;, serif"/>
      </rPr>
      <t>910 512,0</t>
    </r>
    <r>
      <rPr>
        <sz val="11"/>
        <color rgb="FF000000"/>
        <rFont val="&quot;Times New Roman&quot;, serif"/>
      </rPr>
      <t xml:space="preserve"> тыс.тенге, из них:
  </t>
    </r>
    <r>
      <rPr>
        <b/>
        <sz val="11"/>
        <color rgb="FF000000"/>
        <rFont val="&quot;Times New Roman&quot;, serif"/>
      </rPr>
      <t>- 367 920,0</t>
    </r>
    <r>
      <rPr>
        <sz val="11"/>
        <color rgb="FF000000"/>
        <rFont val="&quot;Times New Roman&quot;, serif"/>
      </rPr>
      <t xml:space="preserve"> тыс тенге - заключены договора на приобретение лабораторного оборудования (5 хромотографов и 1 атомно-эмиссионный спектрометр) в рамках проекта Здоровая Нация. Поставка товара осуществлена в сентябре.
</t>
    </r>
    <r>
      <rPr>
        <i/>
        <sz val="11"/>
        <color rgb="FF000000"/>
        <rFont val="&quot;Times New Roman&quot;, serif"/>
      </rPr>
      <t>Проходят обучающие и пусконаладочные работы, срок до 15 октября</t>
    </r>
    <r>
      <rPr>
        <sz val="11"/>
        <color rgb="FF000000"/>
        <rFont val="&quot;Times New Roman&quot;, serif"/>
      </rPr>
      <t xml:space="preserve">
</t>
    </r>
    <r>
      <rPr>
        <b/>
        <sz val="11"/>
        <color rgb="FF000000"/>
        <rFont val="&quot;Times New Roman&quot;, serif"/>
      </rPr>
      <t xml:space="preserve">В комитет акты поставки не представлены.
</t>
    </r>
    <r>
      <rPr>
        <sz val="11"/>
        <color rgb="FF000000"/>
        <rFont val="&quot;Times New Roman&quot;, serif"/>
      </rPr>
      <t xml:space="preserve">
 </t>
    </r>
    <r>
      <rPr>
        <b/>
        <sz val="11"/>
        <color rgb="FF000000"/>
        <rFont val="&quot;Times New Roman&quot;, serif"/>
      </rPr>
      <t xml:space="preserve">- 10 990,9 </t>
    </r>
    <r>
      <rPr>
        <sz val="11"/>
        <color rgb="FF000000"/>
        <rFont val="&quot;Times New Roman&quot;, serif"/>
      </rPr>
      <t xml:space="preserve">тыс тенге - договора на приобретение оборудования для особо-опасных лабораторий для 1-2 группы патогенности на подписании;
 </t>
    </r>
    <r>
      <rPr>
        <b/>
        <sz val="11"/>
        <color rgb="FF000000"/>
        <rFont val="&quot;Times New Roman&quot;, serif"/>
      </rPr>
      <t>- 116 333,0</t>
    </r>
    <r>
      <rPr>
        <sz val="11"/>
        <color rgb="FF000000"/>
        <rFont val="&quot;Times New Roman&quot;, serif"/>
      </rPr>
      <t xml:space="preserve"> тыс тенге  - договора на приобретение оборудования для особо-опасных лабораторий для 1-2 группы патогенности на согласовании у поставщика;
 </t>
    </r>
    <r>
      <rPr>
        <b/>
        <sz val="11"/>
        <color rgb="FF000000"/>
        <rFont val="&quot;Times New Roman&quot;, serif"/>
      </rPr>
      <t>- 387 535,0</t>
    </r>
    <r>
      <rPr>
        <sz val="11"/>
        <color rgb="FF000000"/>
        <rFont val="&quot;Times New Roman&quot;, serif"/>
      </rPr>
      <t xml:space="preserve"> тыс тенге - процедуры ГЗ;
 </t>
    </r>
    <r>
      <rPr>
        <b/>
        <sz val="11"/>
        <color rgb="FF000000"/>
        <rFont val="&quot;Times New Roman&quot;, serif"/>
      </rPr>
      <t xml:space="preserve">- 4 654,1 </t>
    </r>
    <r>
      <rPr>
        <sz val="11"/>
        <color rgb="FF000000"/>
        <rFont val="&quot;Times New Roman&quot;, serif"/>
      </rPr>
      <t>тыс.тенге - экономия ГЗ по закупу автоклавав 
 -</t>
    </r>
    <r>
      <rPr>
        <b/>
        <sz val="11"/>
        <color rgb="FF000000"/>
        <rFont val="&quot;Times New Roman&quot;, serif"/>
      </rPr>
      <t xml:space="preserve"> 23 080,0 т</t>
    </r>
    <r>
      <rPr>
        <sz val="11"/>
        <color rgb="FF000000"/>
        <rFont val="&quot;Times New Roman&quot;, serif"/>
      </rPr>
      <t xml:space="preserve">ыс. тенге - экономия по итогам ГЗ по закупу в рамках проекта Здоровая Нация. Сумма планируемая на снятие, при уточнении РБ.оборудования в рамках проекта Здоровая Нация. Сумма планируемая на снятие, при уточнении РБ.
</t>
    </r>
  </si>
  <si>
    <t>226-070-100-159</t>
  </si>
  <si>
    <t>платежи март</t>
  </si>
  <si>
    <t>Непринятые обязательства</t>
  </si>
  <si>
    <t>Примечание</t>
  </si>
  <si>
    <t>возможно освим по платежам</t>
  </si>
  <si>
    <t>29 млн</t>
  </si>
  <si>
    <t>24,4 млн</t>
  </si>
  <si>
    <t>32 млн риск неосвоения</t>
  </si>
  <si>
    <t>3,7 млн</t>
  </si>
  <si>
    <t>план по платежам</t>
  </si>
  <si>
    <t>Оплаченные обязательствам</t>
  </si>
  <si>
    <t>Остаток по платежам до конца года на 25 апреля</t>
  </si>
  <si>
    <t>подано на передвижку</t>
  </si>
  <si>
    <t>примечание</t>
  </si>
  <si>
    <t>по состоянию на 14 ноября 2022 года</t>
  </si>
  <si>
    <t>Остаток до конца года по обязательствам</t>
  </si>
  <si>
    <t>в том числе:</t>
  </si>
  <si>
    <t>Остаток до конца года по платежам</t>
  </si>
  <si>
    <t>Ожидаемое освоение</t>
  </si>
  <si>
    <t>Акмол</t>
  </si>
  <si>
    <t>Актюб</t>
  </si>
  <si>
    <t>Алмат</t>
  </si>
  <si>
    <t>Атырауской</t>
  </si>
  <si>
    <t>ВКО</t>
  </si>
  <si>
    <t>Жамбылской</t>
  </si>
  <si>
    <t>ЗКО</t>
  </si>
  <si>
    <t>Караганд</t>
  </si>
  <si>
    <t>Костанайской</t>
  </si>
  <si>
    <t>Кызылорд</t>
  </si>
  <si>
    <t>Мангистауской</t>
  </si>
  <si>
    <t>Павлодарской</t>
  </si>
  <si>
    <t>СКО</t>
  </si>
  <si>
    <t>Туркестанской</t>
  </si>
  <si>
    <t>города Шымкент</t>
  </si>
  <si>
    <t>города Алматы</t>
  </si>
  <si>
    <t>города Нур-Султан</t>
  </si>
  <si>
    <t>на транспорте</t>
  </si>
  <si>
    <t>Ноябрь</t>
  </si>
  <si>
    <t>Декабрь</t>
  </si>
  <si>
    <t>ФОТ освоение до конца года</t>
  </si>
  <si>
    <t xml:space="preserve">Командировки освоение до конца года
Акмола
Атырау
</t>
  </si>
  <si>
    <t>56,6 тыс тенге - ЦА Вода
782.81 тыс тенге - терр.Департаменты</t>
  </si>
  <si>
    <t xml:space="preserve">Жамбыл
</t>
  </si>
  <si>
    <t>8 574.7 тыс тенге - приобретение казтокен
4 225,3 тыс тенге - экономия</t>
  </si>
  <si>
    <t xml:space="preserve">4 882,01 тыс тенге - Экономия по итогам ГЗ
23 121,4 тыс тенге </t>
  </si>
  <si>
    <r>
      <rPr>
        <b/>
        <sz val="10"/>
        <color rgb="FF000000"/>
        <rFont val="Arial"/>
        <family val="2"/>
        <charset val="204"/>
      </rPr>
      <t>платежи</t>
    </r>
    <r>
      <rPr>
        <sz val="10"/>
        <color rgb="FF000000"/>
        <rFont val="Arial"/>
        <family val="2"/>
        <charset val="204"/>
      </rPr>
      <t xml:space="preserve"> по закупу атотранспортных средств отправлены 20-22 декабря г.. </t>
    </r>
    <r>
      <rPr>
        <b/>
        <sz val="10"/>
        <color rgb="FF000000"/>
        <rFont val="Arial"/>
        <family val="2"/>
        <charset val="204"/>
      </rPr>
      <t xml:space="preserve">
</t>
    </r>
  </si>
  <si>
    <t>22 962, -  поставка МФУ до 26 декабря
6 146,0  тыс тенге - расторжение договора по закупу Ноутбуков (не соответствует ТС)</t>
  </si>
  <si>
    <r>
      <rPr>
        <b/>
        <sz val="10"/>
        <color rgb="FF000000"/>
        <rFont val="Arial"/>
        <family val="2"/>
        <charset val="204"/>
      </rPr>
      <t>279 139,1 тыс.тенге -</t>
    </r>
    <r>
      <rPr>
        <sz val="10"/>
        <color rgb="FF000000"/>
        <rFont val="Arial"/>
        <family val="2"/>
        <charset val="204"/>
      </rPr>
      <t xml:space="preserve"> средства на разработку ПСД (75 объектов) зданий территориальных органов СЭС,
 в том числе: </t>
    </r>
    <r>
      <rPr>
        <b/>
        <sz val="10"/>
        <color rgb="FF000000"/>
        <rFont val="Arial"/>
        <family val="2"/>
        <charset val="204"/>
      </rPr>
      <t xml:space="preserve">
</t>
    </r>
    <r>
      <rPr>
        <sz val="10"/>
        <color rgb="FF000000"/>
        <rFont val="Arial"/>
        <family val="2"/>
        <charset val="204"/>
      </rPr>
      <t>258,4 тыс тенге - итоги ГЗ не подведены; 
17 412,0  тыс тенге - экономия по итогам ГЗ;
17 412,6 тыс тенге - средства на госэкспертизу, после завершения ПСД; 
247 154,6 тыс тенге -  не состоявщиеся конкурса (отсутствуют потенциальные поставщики);</t>
    </r>
  </si>
  <si>
    <t>СИЗЫ</t>
  </si>
  <si>
    <r>
      <rPr>
        <b/>
        <sz val="10"/>
        <color rgb="FF000000"/>
        <rFont val="Arial"/>
        <family val="2"/>
        <charset val="204"/>
      </rPr>
      <t>8156,24 тыс тенге ЦА (бумага А4) экономия</t>
    </r>
    <r>
      <rPr>
        <sz val="10"/>
        <color rgb="FF000000"/>
        <rFont val="Arial"/>
        <family val="2"/>
        <charset val="204"/>
      </rPr>
      <t xml:space="preserve">
17 988,1 тыс тенге Запасы </t>
    </r>
  </si>
  <si>
    <t>Коммунальные услуги ноябрь, декабрь до 25 декабря</t>
  </si>
  <si>
    <t>Услуги связи ноябрь, декабрь до 25 декабря</t>
  </si>
  <si>
    <t xml:space="preserve">аренда автотранспорта экономия
</t>
  </si>
  <si>
    <t>2 102,2 тыс тенге - экономия ЦА
70 107,9 тыс тенге, тер департаменты в том числе:
20 684,2 тыс тенге -  текущий ремонт г Алматы, (медеуский, бостандыкский , город), срок окончания работ 
21 773,7 тыс тенге - услуги изготовления мебели Абай (итоги ГЗ 21.11.2022 г.)
5 042,31 тыс тенге - экономия по итогам ГЗ Алм обл 196 тыс на подписании у поставщика договора до 15 декабря
2569 тыс тенге - Акмола экономия по итогам ГЗ
270,4 тыс тенге -ЗКО услуги до 
546,1 тыс тенге -  экономия ЗКО</t>
  </si>
  <si>
    <r>
      <rPr>
        <sz val="10"/>
        <color rgb="FF000000"/>
        <rFont val="Arial"/>
        <family val="2"/>
        <charset val="204"/>
      </rPr>
      <t xml:space="preserve">7 697,6 тыс тенге - ЦА командировки по факту
190 818 ,58 тыс тенге - командировки тер департаменты, в том числе
</t>
    </r>
    <r>
      <rPr>
        <b/>
        <sz val="10"/>
        <color rgb="FF000000"/>
        <rFont val="Arial"/>
        <family val="2"/>
        <charset val="204"/>
      </rPr>
      <t>Айнур посчитает Комадировки на СКП для снятия</t>
    </r>
    <r>
      <rPr>
        <sz val="10"/>
        <color rgb="FF000000"/>
        <rFont val="Arial"/>
        <family val="2"/>
        <charset val="204"/>
      </rPr>
      <t xml:space="preserve">
</t>
    </r>
  </si>
  <si>
    <t>6174 Астана</t>
  </si>
  <si>
    <t>287 457,0 тыс.тенге -  Лизинговые платежи по передвижным мобильным лабораторным комплексам (на основе договора о лизинге). 
Вопрос  механизма оплаты проработан.
Данная сумма будет перераспределена внутри БП 070 на  бюджетную подпрограмму 112 «Капитальные расходы государственных организаций здравоохранения, осуществляющих деятельность в области санитарно-эпидемиологического благополучия населения», специфика 418 «Материально-техническое оснащение государственных предприятий» путем внесения изменений в ИПФ
679 253,4 тыс тенге - сумма планируемая на снятие, при уточнении РБ, в связи с вводом в действие Закона Республики Казахстан от 21 мая 2022 года № 122-VII ЗРК "О биологической безопасности Республики Казахстан" в декабре 2022 года, ожидаемая сумма неосвоения по расходам ФОТ (ЗП+Пособие специалистам в области Биобезопасности) предусмотренных на 11 месяцев текущего года составляет 679 253,4 тыс.тенге.
106 189,0 тыс. тенге, сумма планируемая на снятие, при уточнении РБ - повышение квалификации в рамках закона Био безопасности, в связи с вводом в действие Закона Республики Казахстан от 21 мая 2022 года № 122-VII ЗРК "О биологической безопасности Республики Казахстан" в декабре 2022 года</t>
  </si>
  <si>
    <t>Выделено в целом 910 511,2 тыс тенге, в том числе:
519 511,3 тыс тенге в рамках закона О Биобезопасности, из которых:
- 10 990,9 тыс тенге - исполнено 30.11.2022 г. (9 ед. Морозильных камер);
- 246 205,9 тыс тенге - заключены договора на сумму  (срок поставки по условиям договоров до 25 декабря т г.), из них, на сумму 208 917,9 тыс. тенге ввоз оборудования на территорию РК планируется до 14 декабря ;
- 81 832,9 тыс тенге - рассторжены договора по приобретению 22 ед бокс био безопасности с недобросовестным поставщиком, сумма подана на корректировку;
- 180 481,6 тыс тенге - экономия по итогам ГЗ, из которых 150 142,2 было ранее подано Комитетом на корректировку.
391 000,0 тыс тенге в рамках прокта Здоровая нация, из которых:
- заключены договора на сумму  367 920,0 тыс тенге 
Оборудование и "плата" находятся  в филиале. 
С 28.11.2022 года до 5.12.2022 г. проводится инсталяция, обучение, тестовый запуск (для сдачи документов на получения свидетельства о внесении в качестве СИ). 
После 15.12.2022 г. планируется получение свидетельства и методики поверки.   
- экономия по итогам ГЗ 23 080,0 тыс тенге, сумма ранее была подана на корректировку</t>
  </si>
  <si>
    <t>Непринятые обязательства до конца года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</si>
  <si>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</si>
  <si>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экономия гз</t>
  </si>
  <si>
    <t>Обязательные персионные взносы работодателя</t>
  </si>
  <si>
    <t>по Центральному Аппарату</t>
  </si>
  <si>
    <t>Индивидуальный план финансирования государственного учреждения по обязательствам</t>
  </si>
  <si>
    <t>Регион</t>
  </si>
  <si>
    <t>г.Астана</t>
  </si>
  <si>
    <t>Вид бюджета</t>
  </si>
  <si>
    <t>Республиканский</t>
  </si>
  <si>
    <t>Период</t>
  </si>
  <si>
    <t>2023 год</t>
  </si>
  <si>
    <t>Ед. измерения</t>
  </si>
  <si>
    <t>тыс. тенге</t>
  </si>
  <si>
    <t>Администратор бюджетных программ</t>
  </si>
  <si>
    <t>Комитет санитарно- эпидемиологического контроля МЗ РК</t>
  </si>
  <si>
    <t>Государственное учреждение</t>
  </si>
  <si>
    <t>Код администратора</t>
  </si>
  <si>
    <t>Код государственного учреждения</t>
  </si>
  <si>
    <t>Подпрограмма</t>
  </si>
  <si>
    <t>Наименование программ, подпрограмм, специфик</t>
  </si>
  <si>
    <t>Финансовый план на год</t>
  </si>
  <si>
    <t>План по месяцам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</si>
  <si>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</si>
  <si>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</si>
  <si>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</si>
  <si>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</si>
  <si>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</si>
  <si>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</si>
  <si>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</si>
  <si>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</si>
  <si>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</si>
  <si>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</si>
  <si>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</si>
  <si>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</si>
  <si>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Комитет санитарно- эпидемиологического контроля Министерства здравоохранения Республики Казахстан</t>
  </si>
  <si>
    <t>143 334,0</t>
  </si>
  <si>
    <t>142 158,0</t>
  </si>
  <si>
    <t>566 000,0</t>
  </si>
  <si>
    <t>588 162,0</t>
  </si>
  <si>
    <t>57 699,0</t>
  </si>
  <si>
    <t>53 191,0</t>
  </si>
  <si>
    <t>1 384 278,0</t>
  </si>
  <si>
    <t>50 792,0</t>
  </si>
  <si>
    <t>47 543,0</t>
  </si>
  <si>
    <t>52 004,0</t>
  </si>
  <si>
    <t>332 233,0</t>
  </si>
  <si>
    <t>78 474,0</t>
  </si>
  <si>
    <t>1 276,0</t>
  </si>
  <si>
    <t>Оплата труда технического персонала</t>
  </si>
  <si>
    <t>-1 276,0</t>
  </si>
  <si>
    <t>изготовление бланочной продукции</t>
  </si>
  <si>
    <t>Услуги на техническую обработку архивных данных (подшивка)</t>
  </si>
  <si>
    <t>Курсы по изучению государственного языка (25 чел.)</t>
  </si>
  <si>
    <t>Услуги кабельного телевидения</t>
  </si>
  <si>
    <t>Услуги по обслуживанию одной электронной карточки СКУД (на 103 сотрудника)</t>
  </si>
  <si>
    <t>Распечатка наклейки на электронный пропуск</t>
  </si>
  <si>
    <t>Услуги по обслуживанию модуля "Трудовая дисциплина"</t>
  </si>
  <si>
    <t>Пеня по налогу</t>
  </si>
  <si>
    <t>Приобретение прочих товаров</t>
  </si>
  <si>
    <t>Картридж черный</t>
  </si>
  <si>
    <t>Картридж цветной</t>
  </si>
  <si>
    <t>Картридж</t>
  </si>
  <si>
    <t>флеш накопитель е токен</t>
  </si>
  <si>
    <t>флеш накопитель 16 гб</t>
  </si>
  <si>
    <t>Мобильное интернет</t>
  </si>
  <si>
    <t>Услуги доступа к сети интернет</t>
  </si>
  <si>
    <t>безлимитный интернет</t>
  </si>
  <si>
    <t>Системно-техническое обслуживание рабочих мест</t>
  </si>
  <si>
    <t>1С бухгалтерия</t>
  </si>
  <si>
    <t>225 620,0</t>
  </si>
  <si>
    <t>Info Tech (Банк крови)</t>
  </si>
  <si>
    <t>Разработка информационно-коммуникационной технологии «Санитарно-эпидемиологический надзор» и Техническон Обслуживание</t>
  </si>
  <si>
    <t>Компьютер</t>
  </si>
  <si>
    <t>Ноутбук</t>
  </si>
  <si>
    <t>Многофункциональное устройство (МФУ)</t>
  </si>
  <si>
    <t>Принтер</t>
  </si>
  <si>
    <t>737 264,0</t>
  </si>
  <si>
    <t>Социальные отчисления в Государственный фонд социального страхования</t>
  </si>
  <si>
    <t>Формат А4</t>
  </si>
  <si>
    <t>ФАЙЛ В НАБОРЕ - А4</t>
  </si>
  <si>
    <t>РУЧКА ШАРИКОВАЯ - СИНИЙ</t>
  </si>
  <si>
    <t>КАРАНДАШ С ЛАСТИКОМ</t>
  </si>
  <si>
    <t>КАЛЬКУЛЯТОР</t>
  </si>
  <si>
    <t>Бумага офисная - А3 500л. 80гр. "SVETOCOPY"</t>
  </si>
  <si>
    <t>Маркеры разные</t>
  </si>
  <si>
    <t>Ножницы</t>
  </si>
  <si>
    <t>Степлер</t>
  </si>
  <si>
    <t>Общая тетрадь А4</t>
  </si>
  <si>
    <t>Общая тетрадь 48 листов</t>
  </si>
  <si>
    <t>ЖУРНАЛ РЕГИСТРАЦИИ ПРИКАЗОВ</t>
  </si>
  <si>
    <t>ЖУРНАЛ РЕГИСТРАЦИИ ДОГОВОРОВ</t>
  </si>
  <si>
    <t>Городские телефонные номера (</t>
  </si>
  <si>
    <t>Междугородние переговоры</t>
  </si>
  <si>
    <t>Почтово-телеграфные расходы</t>
  </si>
  <si>
    <t>аренда помещений</t>
  </si>
  <si>
    <t>1 000,0</t>
  </si>
  <si>
    <t>968 568,0</t>
  </si>
  <si>
    <t>5 000,0</t>
  </si>
  <si>
    <t>281 736,0</t>
  </si>
  <si>
    <t>14 662,0</t>
  </si>
  <si>
    <t>10 000,0</t>
  </si>
  <si>
    <t>Лизинг на передвижные лабораторные коплексы</t>
  </si>
  <si>
    <t>Командировки и служебные разъезды внутри страны (эпидфонд)</t>
  </si>
  <si>
    <t>967 868,0</t>
  </si>
  <si>
    <t>271 736,0</t>
  </si>
  <si>
    <t>в рамках проекта ЗРК "О биологической безопасности РК"</t>
  </si>
  <si>
    <t>«Качественное и доступное здравоохранение для каждого гражданина «Здоровая нация».</t>
  </si>
  <si>
    <t>Передвижные мобильные лабораторные комплексы</t>
  </si>
  <si>
    <t>Капитальный ремонт помещений, зданий, сооружений государственных предприятий</t>
  </si>
  <si>
    <t>Итого</t>
  </si>
  <si>
    <t>3 495 868,0</t>
  </si>
  <si>
    <t>53 654,0</t>
  </si>
  <si>
    <t>173 045,0</t>
  </si>
  <si>
    <t>82 279,0</t>
  </si>
  <si>
    <t>80 102,0</t>
  </si>
  <si>
    <t>100 853,0</t>
  </si>
  <si>
    <t>88 999,0</t>
  </si>
  <si>
    <t>383 929,0</t>
  </si>
  <si>
    <t>1 007 945,0</t>
  </si>
  <si>
    <t>83 350,0</t>
  </si>
  <si>
    <t>908 248,0</t>
  </si>
  <si>
    <t>408 203,0</t>
  </si>
  <si>
    <t>125 261,0</t>
  </si>
  <si>
    <t>2 222 552,0</t>
  </si>
  <si>
    <t>172 495,0</t>
  </si>
  <si>
    <t>82 179,0</t>
  </si>
  <si>
    <t>79 102,0</t>
  </si>
  <si>
    <t>100 353,0</t>
  </si>
  <si>
    <t>88 899,0</t>
  </si>
  <si>
    <t>383 229,0</t>
  </si>
  <si>
    <t>504 794,0</t>
  </si>
  <si>
    <t>82 950,0</t>
  </si>
  <si>
    <t>437 831,0</t>
  </si>
  <si>
    <t>126 467,0</t>
  </si>
  <si>
    <t>110 599,0</t>
  </si>
  <si>
    <t>30 617,0</t>
  </si>
  <si>
    <t>1 800,0</t>
  </si>
  <si>
    <t>1 922,0</t>
  </si>
  <si>
    <t>1 902,0</t>
  </si>
  <si>
    <t>3 506,0</t>
  </si>
  <si>
    <t>1 901,0</t>
  </si>
  <si>
    <t>1 900,0</t>
  </si>
  <si>
    <t>1 920,0</t>
  </si>
  <si>
    <t>1 919,0</t>
  </si>
  <si>
    <t>1 898,0</t>
  </si>
  <si>
    <t>1 918,0</t>
  </si>
  <si>
    <t>3 023,0</t>
  </si>
  <si>
    <t>7 008,0</t>
  </si>
  <si>
    <t>изготовление бланочной продукции (по плану сумма 1584, факт 1200)</t>
  </si>
  <si>
    <t>Услуги на техническую обработку архивных данных (подшивка) (План 4964)</t>
  </si>
  <si>
    <t>Услуги кабельного телевидения (План 67,75</t>
  </si>
  <si>
    <t>Услуги по обслуживанию одной электронной карточки СКУД (на 103 сотрудника) план - 822
факт - 465,6</t>
  </si>
  <si>
    <t>Услуги утилизации</t>
  </si>
  <si>
    <t>Экономия (в июне снимаем 350 на 131 спец)</t>
  </si>
  <si>
    <t>679 671,0</t>
  </si>
  <si>
    <t>35 676,0</t>
  </si>
  <si>
    <t>23 422,0</t>
  </si>
  <si>
    <t>22 962,0</t>
  </si>
  <si>
    <t>32 697,0</t>
  </si>
  <si>
    <t>319 088,0</t>
  </si>
  <si>
    <t>71 637,0</t>
  </si>
  <si>
    <t>43 401,0</t>
  </si>
  <si>
    <t>286 391,0</t>
  </si>
  <si>
    <t>144 917,6</t>
  </si>
  <si>
    <t>97 721,4</t>
  </si>
  <si>
    <t>17 352,0</t>
  </si>
  <si>
    <t>флеш накопитель 128 гб</t>
  </si>
  <si>
    <t>21 385,0</t>
  </si>
  <si>
    <t>5 015,0</t>
  </si>
  <si>
    <t>147 050,0</t>
  </si>
  <si>
    <t>Мобильное интернет 67200</t>
  </si>
  <si>
    <t>71 786,0</t>
  </si>
  <si>
    <t>Услуги доступа к сети интернет 42 619</t>
  </si>
  <si>
    <t>75 264,0</t>
  </si>
  <si>
    <t>безлимитный интернет 7,2 млн</t>
  </si>
  <si>
    <t>симкарты</t>
  </si>
  <si>
    <t>246 230,0</t>
  </si>
  <si>
    <t>107 000,0</t>
  </si>
  <si>
    <t>20 610,0</t>
  </si>
  <si>
    <t>116 820,0</t>
  </si>
  <si>
    <t>775 000,0</t>
  </si>
  <si>
    <t>420 000,0</t>
  </si>
  <si>
    <t>355 000,0</t>
  </si>
  <si>
    <t>247 000,0</t>
  </si>
  <si>
    <t>28 500,0</t>
  </si>
  <si>
    <t>75 000,0</t>
  </si>
  <si>
    <t>4 500,0</t>
  </si>
  <si>
    <t>51 854,0</t>
  </si>
  <si>
    <t>134 897,0</t>
  </si>
  <si>
    <t>56 855,0</t>
  </si>
  <si>
    <t>52 634,0</t>
  </si>
  <si>
    <t>65 755,0</t>
  </si>
  <si>
    <t>54 302,0</t>
  </si>
  <si>
    <t>62 221,0</t>
  </si>
  <si>
    <t>50 178,0</t>
  </si>
  <si>
    <t>48 355,0</t>
  </si>
  <si>
    <t>48 216,0</t>
  </si>
  <si>
    <t>51 807,0</t>
  </si>
  <si>
    <t>60 190,0</t>
  </si>
  <si>
    <t>445 236,0</t>
  </si>
  <si>
    <t>37 103</t>
  </si>
  <si>
    <t>74 207,0</t>
  </si>
  <si>
    <t>74 207</t>
  </si>
  <si>
    <t>9 703</t>
  </si>
  <si>
    <t>8 242</t>
  </si>
  <si>
    <t>11 046</t>
  </si>
  <si>
    <t>4 843</t>
  </si>
  <si>
    <t>8 700</t>
  </si>
  <si>
    <t>6 091</t>
  </si>
  <si>
    <t>13 211</t>
  </si>
  <si>
    <t>3 469</t>
  </si>
  <si>
    <t>7 749</t>
  </si>
  <si>
    <t>7 783,0</t>
  </si>
  <si>
    <t>1 296</t>
  </si>
  <si>
    <t>27 427,0</t>
  </si>
  <si>
    <t>2 285</t>
  </si>
  <si>
    <t>2 286</t>
  </si>
  <si>
    <t>16 362,0</t>
  </si>
  <si>
    <t>1 364</t>
  </si>
  <si>
    <t>1 363</t>
  </si>
  <si>
    <t>15 583,0</t>
  </si>
  <si>
    <t>1 299</t>
  </si>
  <si>
    <t>1 298</t>
  </si>
  <si>
    <t>8 428,0</t>
  </si>
  <si>
    <t>1 082,0</t>
  </si>
  <si>
    <t>7 346,0</t>
  </si>
  <si>
    <t>9 202,0</t>
  </si>
  <si>
    <t>1 039,0</t>
  </si>
  <si>
    <t>1 887,0</t>
  </si>
  <si>
    <t>2 023,0</t>
  </si>
  <si>
    <t>5 931,0</t>
  </si>
  <si>
    <t>1 248,0</t>
  </si>
  <si>
    <t>7 553,0</t>
  </si>
  <si>
    <t>1 253,0</t>
  </si>
  <si>
    <t>18 974,0</t>
  </si>
  <si>
    <t>3 432,0</t>
  </si>
  <si>
    <t>1 716,0</t>
  </si>
  <si>
    <t>1 814,0</t>
  </si>
  <si>
    <t>32 302,0</t>
  </si>
  <si>
    <t>4 000,0</t>
  </si>
  <si>
    <t>2 500,0</t>
  </si>
  <si>
    <t>3 000,0</t>
  </si>
  <si>
    <t>2 000,0</t>
  </si>
  <si>
    <t>6 000,0</t>
  </si>
  <si>
    <t>6 602,0</t>
  </si>
  <si>
    <t>1 273 316,0</t>
  </si>
  <si>
    <t>503 151,0</t>
  </si>
  <si>
    <t>470 417,0</t>
  </si>
  <si>
    <t>33 712,0</t>
  </si>
  <si>
    <t>1 239 604,0</t>
  </si>
  <si>
    <t>502 451,0</t>
  </si>
  <si>
    <t>465 417,0</t>
  </si>
  <si>
    <t>176 704,0</t>
  </si>
  <si>
    <t>288 713,0</t>
  </si>
  <si>
    <t>Годовой план</t>
  </si>
  <si>
    <t>Остаток непринятых обязательств, до конца года</t>
  </si>
  <si>
    <t>Остаток по платежам, до конца года</t>
  </si>
  <si>
    <t>Всего:</t>
  </si>
  <si>
    <t>повыш квал</t>
  </si>
  <si>
    <t>перераспределено Кызылорда Павлодар</t>
  </si>
  <si>
    <t>Остаток непринятых обязательств</t>
  </si>
  <si>
    <t>Комитет</t>
  </si>
  <si>
    <t>ДСЭК города Астана КСЭК МЗ РК</t>
  </si>
  <si>
    <t>ДСЭК области Улытау КСЭК МЗ РК</t>
  </si>
  <si>
    <t>ДСЭК области Жетису КСЭК МЗ РК</t>
  </si>
  <si>
    <t>ДСЭК области Абай КСЭК МЗ РК</t>
  </si>
  <si>
    <t>Экономия</t>
  </si>
  <si>
    <t>Остаток по платежам до конца года</t>
  </si>
  <si>
    <t>Команд расх</t>
  </si>
  <si>
    <t>Итого:</t>
  </si>
  <si>
    <t>Информация об ожидаемом неисполнении бюджетных программ (подпрограмм) за 2022 год</t>
  </si>
  <si>
    <t>Наименование расходов</t>
  </si>
  <si>
    <t>Утвержденный план на 2022 год</t>
  </si>
  <si>
    <t>Ожидаемое исполнение за год</t>
  </si>
  <si>
    <t>Сумма ожидаемого неисполнения за год (гр.4-гр.3)</t>
  </si>
  <si>
    <r>
      <rPr>
        <b/>
        <sz val="10"/>
        <color rgb="FF000000"/>
        <rFont val="Arial, sans-serif"/>
      </rPr>
      <t>362 356,1 тыс.тенге</t>
    </r>
    <r>
      <rPr>
        <sz val="10"/>
        <color rgb="FF000000"/>
        <rFont val="Arial, sans-serif"/>
      </rPr>
      <t xml:space="preserve"> - средства на разработку ПСД (75 объектов) зданий территориальных органов СЭС,
 в том числе: 
10756,4  тыс тенге - договора на стадии заключения; 
</t>
    </r>
    <r>
      <rPr>
        <sz val="10"/>
        <color rgb="FFFF0000"/>
        <rFont val="Arial, sans-serif"/>
      </rPr>
      <t xml:space="preserve">89 735,7 тыс тенге -  договора со сроком выплнения работ до 25 декабря
</t>
    </r>
    <r>
      <rPr>
        <i/>
        <sz val="10"/>
        <color rgb="FFFF0000"/>
        <rFont val="Arial, sans-serif"/>
      </rPr>
      <t xml:space="preserve">261 864,0 тыс тенге - сумма подана на корректировку (экономия, несостоявшиеся конкурса)
</t>
    </r>
    <r>
      <rPr>
        <b/>
        <i/>
        <sz val="10"/>
        <color rgb="FF000000"/>
        <rFont val="Arial, sans-serif"/>
      </rPr>
      <t>40 193,2 тыс тенге</t>
    </r>
    <r>
      <rPr>
        <i/>
        <sz val="10"/>
        <color rgb="FF000000"/>
        <rFont val="Arial, sans-serif"/>
      </rPr>
      <t xml:space="preserve"> -  ЦА несостоявшиеся конкурса по приобретению 2 Серверов и 20 Принтеров
</t>
    </r>
    <r>
      <rPr>
        <b/>
        <sz val="10"/>
        <color rgb="FF000000"/>
        <rFont val="Arial, sans-serif"/>
      </rPr>
      <t xml:space="preserve">780 350,0 тыс тенге - </t>
    </r>
    <r>
      <rPr>
        <sz val="10"/>
        <color rgb="FF000000"/>
        <rFont val="Arial, sans-serif"/>
      </rPr>
      <t>ожидается поставка атотранспортных средств.</t>
    </r>
    <r>
      <rPr>
        <b/>
        <sz val="10"/>
        <color rgb="FF000000"/>
        <rFont val="Arial, sans-serif"/>
      </rPr>
      <t xml:space="preserve"> 
</t>
    </r>
    <r>
      <rPr>
        <sz val="10"/>
        <color rgb="FF000000"/>
        <rFont val="Arial, sans-serif"/>
      </rPr>
      <t xml:space="preserve">Ориентировочный срок поставки 15.12.2022 г. </t>
    </r>
  </si>
  <si>
    <r>
      <rPr>
        <sz val="11"/>
        <color rgb="FF000000"/>
        <rFont val="&quot;Times New Roman&quot;, serif"/>
      </rPr>
      <t xml:space="preserve">
619 265,3 тыс тенге - общий риск неосвоения, за исключением суммы поданной на корректировку 255 055,0 тыс тенге
- 208 917,9 тыс тенге - по заключеным договорам ввоз оборудования на территорию РК планируется до 14 декабря с зарубежных заводов производителей;
-  31 500,0 тыс тенге - не завершены процедуры ГЗ на сумму  (автоклав 9 ед);
-  161 069,6 тыс тенге - экономия по итогам ГЗ, и</t>
    </r>
    <r>
      <rPr>
        <b/>
        <sz val="11"/>
        <color rgb="FF000000"/>
        <rFont val="&quot;Times New Roman&quot;, serif"/>
      </rPr>
      <t>з которых 150 142,2 было ранее подано Комитетом на корректировку.</t>
    </r>
    <r>
      <rPr>
        <sz val="11"/>
        <color rgb="FF000000"/>
        <rFont val="&quot;Times New Roman&quot;, serif"/>
      </rPr>
      <t xml:space="preserve">
 - </t>
    </r>
    <r>
      <rPr>
        <b/>
        <sz val="11"/>
        <color rgb="FF000000"/>
        <rFont val="&quot;Times New Roman&quot;, serif"/>
      </rPr>
      <t>81 832,9 тыс тенге - рассторжены договора по приобретению 22 ед бокс био безопасности с недобросовестным поставщиком, сумма подана на корректировку;</t>
    </r>
    <r>
      <rPr>
        <sz val="11"/>
        <color rgb="FF000000"/>
        <rFont val="&quot;Times New Roman&quot;, serif"/>
      </rPr>
      <t xml:space="preserve">
391 000,0 тыс тенге в рамках прокта Здоровая нация, из которых:
- заключены договора на сумму  367 920,0 тыс тенге 
Оборудование и "плата" находятся  в филиале. 
С 28.11.2022 года до 5.12.2022 г. проводится инсталяция, обучение, тестовый запуск (для сдачи документов на получения свидетельства о внесении в качестве СИ). 
После 15.12.2022 г. планируется получение свидетельства и методики поверки.   
-</t>
    </r>
    <r>
      <rPr>
        <b/>
        <sz val="11"/>
        <color rgb="FF000000"/>
        <rFont val="&quot;Times New Roman&quot;, serif"/>
      </rPr>
      <t xml:space="preserve"> экономия по итогам ГЗ 23 080,0 тыс тенге, сумма ранее была подана на корректировку</t>
    </r>
  </si>
  <si>
    <t>План</t>
  </si>
  <si>
    <t>№п/п</t>
  </si>
  <si>
    <t>Вид работ</t>
  </si>
  <si>
    <t>план</t>
  </si>
  <si>
    <t>Государственная экспертиза</t>
  </si>
  <si>
    <t>Здание Департамента Акмола</t>
  </si>
  <si>
    <t>Договор на стадии заключения</t>
  </si>
  <si>
    <t>Сандыктауский РУСЭК</t>
  </si>
  <si>
    <t>Конкурсные процедуры</t>
  </si>
  <si>
    <t>Буландынский РУСЭК</t>
  </si>
  <si>
    <t>Жаксынский РУСЭК</t>
  </si>
  <si>
    <t>Разработка ПСД</t>
  </si>
  <si>
    <t>Шемонайхинское районное управление</t>
  </si>
  <si>
    <t>Договор заключен 31.05.2023 г., срок оканчания работ 28.09.23 г.</t>
  </si>
  <si>
    <t>Государственная экспертиза, капитальный ремонт админ здания</t>
  </si>
  <si>
    <t>Здание Управления г. Павлодар ул. Нурмагамбетова, 3</t>
  </si>
  <si>
    <t>Договор заключен 26.05.2023 г. срок оканчания работ по условиям договора 45 дней с момента заключения договора</t>
  </si>
  <si>
    <t xml:space="preserve">Государственная экспертиза, капитальный ремонт кровли </t>
  </si>
  <si>
    <t xml:space="preserve">Управление по Павлодарскому району, ул. Луначарского, 13/4 </t>
  </si>
  <si>
    <t>объявление опубликовано идет прием заявок с 08.06-23.06 на сумму 112660 тенге), 23.06.2023 г. – итоги</t>
  </si>
  <si>
    <t>проведение госэкспертизы здания департамента по ул. Кунаева, 27.</t>
  </si>
  <si>
    <t>в связи с истекшим сроком действия госакта на землю, проведение госэкспертизы планируется в июле</t>
  </si>
  <si>
    <t>План сначала года по состоянию на 14.04.2023 г.</t>
  </si>
  <si>
    <t>Остаток непринятых обязательств до конца года</t>
  </si>
  <si>
    <t>Остаток неоплаченных обязательств до конца года</t>
  </si>
  <si>
    <t>Примечание по свободным обязательствам</t>
  </si>
  <si>
    <t>экономия июнь</t>
  </si>
  <si>
    <t>перераспределение</t>
  </si>
  <si>
    <t>1359 на аапрель, ежемесячно 1554, нехватка средств на надбавки</t>
  </si>
  <si>
    <t>по 244 до конца года, ежемесячная потребность на надбавки</t>
  </si>
  <si>
    <t>871,6 тыс тенге  экономия по итогам ГЗ
4 964,0 подшивка (декабрь)
1125,0 госязык (август)</t>
  </si>
  <si>
    <t>приобретение картриджей , флэш накопителей
обязательства - март
платежи - июль</t>
  </si>
  <si>
    <r>
      <rPr>
        <sz val="9"/>
        <color rgb="FF000000"/>
        <rFont val="Arial"/>
        <family val="2"/>
        <charset val="204"/>
      </rPr>
      <t xml:space="preserve">
</t>
    </r>
    <r>
      <rPr>
        <b/>
        <i/>
        <sz val="9"/>
        <color rgb="FFFF0000"/>
        <rFont val="Arial"/>
        <family val="2"/>
        <charset val="204"/>
      </rPr>
      <t xml:space="preserve">24 379,8  тыс тенге - экономия по итогам ГЗ  Мобильный интернет и интернет)
</t>
    </r>
    <r>
      <rPr>
        <b/>
        <sz val="9"/>
        <color rgb="FFFF0000"/>
        <rFont val="Arial"/>
        <family val="2"/>
        <charset val="204"/>
      </rPr>
      <t xml:space="preserve">6 272,0 тыс тенге - Услуги доступа к сети интернет (план 12 544)
7 539,2 тыс тенге - услуги мобильного интернета (план 11 964)
67200,0 тыс тенге - Услуги доступа к сети интернет (62720)
42619,0 тыс тенге - мобильный интернет (план 59822)
</t>
    </r>
    <r>
      <rPr>
        <sz val="9"/>
        <color rgb="FF000000"/>
        <rFont val="Arial"/>
        <family val="2"/>
        <charset val="204"/>
      </rPr>
      <t>48 000,0 тыс тенге средства для приобретения СИМ карт (заявка подана управлением цифровизации)</t>
    </r>
  </si>
  <si>
    <r>
      <rPr>
        <sz val="9"/>
        <color rgb="FF000000"/>
        <rFont val="Arial"/>
        <family val="2"/>
        <charset val="204"/>
      </rPr>
      <t xml:space="preserve">
107 000,0</t>
    </r>
    <r>
      <rPr>
        <b/>
        <sz val="9"/>
        <color rgb="FF000000"/>
        <rFont val="Arial"/>
        <family val="2"/>
        <charset val="204"/>
      </rPr>
      <t xml:space="preserve"> тыс тенге -  системн обсл
</t>
    </r>
    <r>
      <rPr>
        <sz val="9"/>
        <color rgb="FF000000"/>
        <rFont val="Arial"/>
        <family val="2"/>
        <charset val="204"/>
      </rPr>
      <t>12268,8 - экономия по итогам ГЗ (техобслуж, банк крови)</t>
    </r>
  </si>
  <si>
    <t>приобретение транспортных средств 
обязательства - апрель
платежи - август</t>
  </si>
  <si>
    <t>Обязательства июль
компьютер 247000,0
Ноутбук - 28500
МФУ - 75000
Принтер - 4500</t>
  </si>
  <si>
    <t>ОСМС</t>
  </si>
  <si>
    <t>Бумага А4 - 7346,0 (факт 5249) экономия 2097
264,8 - экономия по итогам ГЗ (калькулятор, бумага)
817,2 - сумма предусмотренная на закуп канц. товаров</t>
  </si>
  <si>
    <t>связь городская/межгород
почтовые услуги</t>
  </si>
  <si>
    <r>
      <rPr>
        <sz val="9"/>
        <color theme="1"/>
        <rFont val="Arial"/>
        <family val="2"/>
        <charset val="204"/>
      </rPr>
      <t xml:space="preserve">ежемесячная аренда 1715,2
годовая потребность - 20582,4
</t>
    </r>
    <r>
      <rPr>
        <sz val="9"/>
        <color rgb="FFFF0000"/>
        <rFont val="Arial"/>
        <family val="2"/>
        <charset val="204"/>
      </rPr>
      <t xml:space="preserve">потребность 1608,4 </t>
    </r>
  </si>
  <si>
    <t>Командировочные расходы по плану</t>
  </si>
  <si>
    <t>271 736,0 тыс тенге - лизинговые платежи на приобретение передвижных лаборатрных комплексов (Ноябрь)
600 923,0 тыс тенге госзаказ</t>
  </si>
  <si>
    <t>Командировки Эпидфонд</t>
  </si>
  <si>
    <t>679 155,0 тыс тенге - маттех осн в рамках  ЗРК "О биобезопасности"
288 713,0 тыс тенге - маттех оснащение НЦЭ в рамках прокта !Здоровая нация!
Обязательства в июле</t>
  </si>
  <si>
    <t>повышение квалификации</t>
  </si>
  <si>
    <t>Мониторинг закупа ОС 001/111/414</t>
  </si>
  <si>
    <t>№ п/п</t>
  </si>
  <si>
    <t>Наименование ОС,
001/111/414</t>
  </si>
  <si>
    <t>факт</t>
  </si>
  <si>
    <t>отклонение</t>
  </si>
  <si>
    <t>Кол-во</t>
  </si>
  <si>
    <t>Цена за ед, с ндс, тыс тенге</t>
  </si>
  <si>
    <t>всего</t>
  </si>
  <si>
    <t xml:space="preserve">МФУ </t>
  </si>
  <si>
    <t>Ожидание проведения контроля качества 12-13 декабря, поставка по всем регионам</t>
  </si>
  <si>
    <t>Сервер</t>
  </si>
  <si>
    <t>3ды несостоявшийся</t>
  </si>
  <si>
    <t>изменение плана гз, путем уменьш кол-ва</t>
  </si>
  <si>
    <t>4-ды несостоявшийся</t>
  </si>
  <si>
    <t>Цв принтер</t>
  </si>
  <si>
    <t>трижды не состоявшийся</t>
  </si>
  <si>
    <t>Рабочие станции</t>
  </si>
  <si>
    <t>экономия ГЗ</t>
  </si>
  <si>
    <t>итоги ГЗ 28 ноября</t>
  </si>
  <si>
    <t>Веб-Камера</t>
  </si>
  <si>
    <t>итоги ГЗ 29 ноября</t>
  </si>
  <si>
    <t>Диспенсер</t>
  </si>
  <si>
    <t>сумма на снятие, при уточнении</t>
  </si>
  <si>
    <r>
      <rPr>
        <b/>
        <sz val="10"/>
        <color rgb="FF000000"/>
        <rFont val="Arial, sans-serif"/>
      </rPr>
      <t>278 794,1 тыс.тенге</t>
    </r>
    <r>
      <rPr>
        <sz val="10"/>
        <color rgb="FF000000"/>
        <rFont val="Arial, sans-serif"/>
      </rPr>
      <t xml:space="preserve"> - конкурс на разработку ПСД (75 объектов) зданий территориальных органов СЭС, в том числе: 7 080,0 тыс тенге - итоги ГЗ не подведены; 20 441,2 тыс тенге - средства на госэкспертизу, после завершения ПСД; 237 112,2 тыс тенге -  отсутствуют потенциальные поставщики;
</t>
    </r>
    <r>
      <rPr>
        <b/>
        <sz val="10"/>
        <color rgb="FF000000"/>
        <rFont val="Arial, sans-serif"/>
      </rPr>
      <t>924 000,0 тыс тенге</t>
    </r>
    <r>
      <rPr>
        <sz val="10"/>
        <color rgb="FF000000"/>
        <rFont val="Arial, sans-serif"/>
      </rPr>
      <t xml:space="preserve"> - Конкурс не состоялся. 7 ноября т.г. планируется направить приглашение потенциальным поставщикам, по несостоявшимся конкурсам.
</t>
    </r>
    <r>
      <rPr>
        <b/>
        <sz val="10"/>
        <color rgb="FF000000"/>
        <rFont val="Arial, sans-serif"/>
      </rPr>
      <t>64 154,4 тыс тенге</t>
    </r>
    <r>
      <rPr>
        <sz val="10"/>
        <color rgb="FF000000"/>
        <rFont val="Arial, sans-serif"/>
      </rPr>
      <t xml:space="preserve"> - не состоялись конкурса по итогам ГЗ по централизованному закупу компьютерного, серверного оборудования и оргтехники</t>
    </r>
  </si>
  <si>
    <r>
      <rPr>
        <b/>
        <sz val="10"/>
        <color rgb="FF000000"/>
        <rFont val="Arial, sans-serif"/>
      </rPr>
      <t xml:space="preserve"> 679 253,4 тыс тенге </t>
    </r>
    <r>
      <rPr>
        <sz val="10"/>
        <color rgb="FF000000"/>
        <rFont val="Arial, sans-serif"/>
      </rPr>
      <t xml:space="preserve">- сумма поданная на уменьшение, при уточнении РБ, в связи с вводом в действие Закона Республики Казахстан от 21 мая 2022 года № 122-VII ЗРК "О биологической безопасности Республики Казахстан" в декабре 2022 года, ожидаемая сумма неосвоения по расходам ФОТ (ЗП+Пособие специалистам в области Биобезопасности) предусмотренных на 11 месяцев текущего года составляет 679 253,4 тыс.тенге.
</t>
    </r>
    <r>
      <rPr>
        <b/>
        <sz val="10"/>
        <color rgb="FF000000"/>
        <rFont val="Arial, sans-serif"/>
      </rPr>
      <t xml:space="preserve"> 106 189,0 тыс. тенге -</t>
    </r>
    <r>
      <rPr>
        <sz val="10"/>
        <color rgb="FF000000"/>
        <rFont val="Arial, sans-serif"/>
      </rPr>
      <t xml:space="preserve"> сумма поданная на уменьшение, при уточнении РБ - повышение квалификации в рамках закона Био безопасности, в связи с вводом в действие Закона Республики Казахстан от 21 мая 2022 года № 122-VII ЗРК "О биологической безопасности Республики Казахстан" в декабре 2022 года
</t>
    </r>
    <r>
      <rPr>
        <b/>
        <sz val="10"/>
        <color rgb="FF000000"/>
        <rFont val="Arial, sans-serif"/>
      </rPr>
      <t xml:space="preserve">20 000 тыс тенге - </t>
    </r>
    <r>
      <rPr>
        <sz val="10"/>
        <color rgb="FF000000"/>
        <rFont val="Arial, sans-serif"/>
      </rPr>
      <t>сумма командировочных расходов, поданная на уменьшение, при уточнении РБ, в связи с улучшением эпидемиологической ситуации в стране.</t>
    </r>
  </si>
  <si>
    <r>
      <rPr>
        <b/>
        <sz val="11"/>
        <color rgb="FF000000"/>
        <rFont val="&quot;Times New Roman&quot;, serif"/>
      </rPr>
      <t>910 512,0</t>
    </r>
    <r>
      <rPr>
        <sz val="11"/>
        <color rgb="FF000000"/>
        <rFont val="&quot;Times New Roman&quot;, serif"/>
      </rPr>
      <t xml:space="preserve"> тыс.тенге, из них:
</t>
    </r>
    <r>
      <rPr>
        <b/>
        <sz val="11"/>
        <color rgb="FF000000"/>
        <rFont val="&quot;Times New Roman&quot;, serif"/>
      </rPr>
      <t>- 391 000,0</t>
    </r>
    <r>
      <rPr>
        <sz val="11"/>
        <color rgb="FF000000"/>
        <rFont val="&quot;Times New Roman&quot;, serif"/>
      </rPr>
      <t xml:space="preserve"> тыс. тенге на оснащение лабораторным оборудованием в рамках проекта Здоровая Нация.
По итогам ГЗ на сумму 367 920,0 тыс. тенге заключены договора на приобретение лабораторного оборудования (5 хромотографов и 1 атомно-эмиссионный спектрометр) в рамках проекта Здоровая Нация. 
</t>
    </r>
    <r>
      <rPr>
        <b/>
        <i/>
        <sz val="11"/>
        <color rgb="FF000000"/>
        <rFont val="&quot;Times New Roman&quot;, serif"/>
      </rPr>
      <t xml:space="preserve">Поставка осуществлена без детали необходимой для запуска оборудования (отгрузка деталис завода поставщика планируется 5 декабря т.г.) </t>
    </r>
    <r>
      <rPr>
        <sz val="11"/>
        <color rgb="FF000000"/>
        <rFont val="&quot;Times New Roman&quot;, serif"/>
      </rPr>
      <t xml:space="preserve">
- 519 512,0 тыс. тенге на оснащение лабораторным оборудованием в рамках реализации закона «О биологической безопасности Республики Казахстан», из них:
- 10 990,9 тыс тенге - договора на приобретение оборудования для особо-опасных лабораторий для 1-2 группы патогенности  (15 ед морозильная камера) срок поставки 28 ноября; 
- 25 200,0 тыс тенге заключен договор (75 ед. Инсенератор для бактериологических петель)  срок поставки 25 ноября;
- 47 040.0  тыс тенге заключены договора на приобретение 15 Микроскопов с выводом изображения на компьютер (срок поставки по договору - 22 ноября 2022 г.);
- 369 108,1 тыс тенге - процедуры ГЗ обжалования до 18 октября (Комплект ИФА-оборудования, Бокс биологической безопасности 2 класса , Автоклав (паровой стерилизатор)); 
</t>
    </r>
    <r>
      <rPr>
        <b/>
        <sz val="11"/>
        <color rgb="FF000000"/>
        <rFont val="&quot;Times New Roman&quot;, serif"/>
      </rPr>
      <t>- 4 654,1 тыс.тенге - экономия ГЗ по закупу автоклав.
- 23 080,0 тыс. тенге - экономия по итогам ГЗ .
- 44 093,0 тыс тенге - экономия по итогам ГЗ по закупу оборудования для особо-опасных лабораторий для 1-2 группы патогенности.</t>
    </r>
  </si>
  <si>
    <t>Денсаулық сақтау саласындағы мемлекеттік саясатты қалыптастыру</t>
  </si>
  <si>
    <t>Денсаулық сақтау саласындағы уәкілетті органның қызметін қамтамасыз ету</t>
  </si>
  <si>
    <t>Техникалық персоналдың еңбегіне ақы төлеу</t>
  </si>
  <si>
    <t>Техникалық персонал бойынша жұмыс берушілердің жарналары</t>
  </si>
  <si>
    <t>Техникалық персонал ішіндегі іссапарлар мен қызметтік сапарлар</t>
  </si>
  <si>
    <t>Қазақстан Республикасы денсаулық сақтау Министрлігінің күрделі шығыстары</t>
  </si>
  <si>
    <t>Машиналарды, жабдықтарды, құралдарды, өндірістік және шаруашылық мүкәммалдарды сатып алу</t>
  </si>
  <si>
    <t>Үй-жайларды, ғимараттарды, құрылыстарды күрделі жөндеу</t>
  </si>
  <si>
    <t>Ағымдағы әкімшілік шығыстар</t>
  </si>
  <si>
    <t>Еңбек төлемі</t>
  </si>
  <si>
    <t>Қосымша ақшалай төлемдер</t>
  </si>
  <si>
    <t>Өтемақы төлемдері</t>
  </si>
  <si>
    <t>Әлеуметтік салық</t>
  </si>
  <si>
    <t>Мемлекеттік әлеуметтік сақтандыру қорына әлеуметтік аударымдар</t>
  </si>
  <si>
    <t>Міндетті сақтандыру жарналары</t>
  </si>
  <si>
    <t>Міндетті әлеуметтік медициналық сақтандыруға аударымдар</t>
  </si>
  <si>
    <t>Дәрілік заттарды және медициналық мақсаттағы өзге де бұйымдарды сатып алу</t>
  </si>
  <si>
    <t>Отын, жанар-жағармай материалдарын сатып алу</t>
  </si>
  <si>
    <t>Басқа қорларды сатып алу</t>
  </si>
  <si>
    <t>Коммуналдық қызметтерге ақы төлеу</t>
  </si>
  <si>
    <t>Байланыс қызметтеріне ақы төлеу</t>
  </si>
  <si>
    <t>Басқа қызметтер мен жұмыстарға ақы төлеу</t>
  </si>
  <si>
    <t>Ел ішіндегі іссапарлар мен қызметтік сапарлар</t>
  </si>
  <si>
    <t>Атқарушылық құжаттарды, сот актілерін орындау</t>
  </si>
  <si>
    <t>Басқа да ағымдағы шығындар</t>
  </si>
  <si>
    <t>Бағдарлама</t>
  </si>
  <si>
    <t>Кіші бағдарлама</t>
  </si>
  <si>
    <t>Ерекшелігі</t>
  </si>
  <si>
    <t>Шығындар атауы</t>
  </si>
  <si>
    <t xml:space="preserve">ҚР Денсаулық сақтау Министрлігі санитариялық-эпидемиологиялық бақылау Комитеті Павлодар облысының санитариялық-эпидемиологиялық бақылау Департаменті РММ Бюджет қаражатының атқарылуы туралы ақпарат  </t>
  </si>
  <si>
    <t xml:space="preserve">Міндеттемелер бойынша </t>
  </si>
  <si>
    <t>Жылдық жоспары</t>
  </si>
  <si>
    <t>Қабылданған міндеттемелер</t>
  </si>
  <si>
    <t>Павлодар облысының санитариялық-эпидемиологиялық бақылау Департаменті бойынша БАРЛЫҒЫ:</t>
  </si>
  <si>
    <t>Аирмашылығы</t>
  </si>
  <si>
    <t>% орындау</t>
  </si>
  <si>
    <t>Төлемдемелер бойынша</t>
  </si>
  <si>
    <t>Төленген төлемдер</t>
  </si>
  <si>
    <t>Халық денсаулығын қорғау</t>
  </si>
  <si>
    <t>Мемлекеттік қызметшілердің біліктілігін арттыруды қамтамасыз ету</t>
  </si>
  <si>
    <t>Информация по исполнению бюджетных средств РГУ Департамента  санитарно-эпидемиологического контроля  Павлодарской области  Комитета санитарно-эпидемиологического контроля МЗ РК</t>
  </si>
  <si>
    <t>ВСЕГО по Департаменту СЭК Павлодарской области КСЭК МЗ РК:</t>
  </si>
  <si>
    <t xml:space="preserve">по обязательствам </t>
  </si>
  <si>
    <t>по платежам</t>
  </si>
  <si>
    <t>оплаченные  обязательства</t>
  </si>
  <si>
    <t>Капитальные расходы Министерства здраоохранения Республики Казахстан</t>
  </si>
  <si>
    <t>Командировки и служебные разъездв внутри страны</t>
  </si>
  <si>
    <t>Жұмыс берушінің міндетті зейнетақы жарналары</t>
  </si>
  <si>
    <t>по состоянию на 30 июня  2026 года</t>
  </si>
  <si>
    <t>Сводный план финансирования на 2026 год</t>
  </si>
  <si>
    <t>Исполнение исполнительных документов, судебных актов</t>
  </si>
  <si>
    <t>Штрафы, неустойка и другие платежи</t>
  </si>
  <si>
    <t xml:space="preserve">  2026 жылдың 30 маусым айының жағдайы бойынша</t>
  </si>
  <si>
    <t>2026 жылға арналған жиынтық қаржыландыру жоспары</t>
  </si>
  <si>
    <t>Айыппұлдар, өсімпұлдар және басқа төлемдер</t>
  </si>
  <si>
    <t>Приобретение лекарственных средств и прочих медицинского назначения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</si>
</sst>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1">
    <font>
      <sz val="10"/>
      <color rgb="FF000000"/>
      <name val="Arial"/>
      <scheme val="minor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  <scheme val="minor"/>
    </font>
    <font>
      <sz val="10"/>
      <color rgb="FF000000"/>
      <name val="Roboto"/>
    </font>
    <font>
      <sz val="10"/>
      <color rgb="FF000000"/>
      <name val="Arial"/>
      <family val="2"/>
      <charset val="204"/>
      <scheme val="minor"/>
    </font>
    <font>
      <sz val="10"/>
      <color theme="1"/>
      <name val="&quot;Times New Roman&quot;"/>
    </font>
    <font>
      <b/>
      <sz val="14"/>
      <color theme="1"/>
      <name val="&quot;Times New Roman&quot;"/>
    </font>
    <font>
      <sz val="10"/>
      <color theme="1"/>
      <name val="Arial"/>
      <family val="2"/>
      <charset val="204"/>
    </font>
    <font>
      <b/>
      <i/>
      <sz val="14"/>
      <color theme="1"/>
      <name val="&quot;Times New Roman&quot;"/>
    </font>
    <font>
      <b/>
      <sz val="11"/>
      <color theme="1"/>
      <name val="&quot;Times New Roman&quot;"/>
    </font>
    <font>
      <sz val="11"/>
      <color theme="1"/>
      <name val="&quot;Times New Roman&quot;"/>
    </font>
    <font>
      <b/>
      <i/>
      <sz val="11"/>
      <color theme="1"/>
      <name val="&quot;Times New Roman&quot;"/>
    </font>
    <font>
      <sz val="10"/>
      <color theme="1"/>
      <name val="Roboto"/>
    </font>
    <font>
      <b/>
      <sz val="10"/>
      <color theme="1"/>
      <name val="Arial"/>
      <family val="2"/>
      <charset val="204"/>
    </font>
    <font>
      <b/>
      <sz val="14"/>
      <color rgb="FFFF0000"/>
      <name val="Arial"/>
      <family val="2"/>
      <charset val="204"/>
    </font>
    <font>
      <u/>
      <sz val="10"/>
      <color rgb="FF1155CC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1"/>
      <color rgb="FF000000"/>
      <name val="&quot;Times New Roman&quot;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&quot;Times New Roman&quot;"/>
    </font>
    <font>
      <sz val="11"/>
      <color rgb="FF000000"/>
      <name val="Inconsolata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  <scheme val="minor"/>
    </font>
    <font>
      <sz val="10"/>
      <color rgb="FF000000"/>
      <name val="&quot;Times New Roman&quot;"/>
    </font>
    <font>
      <sz val="11"/>
      <color rgb="FFFF0000"/>
      <name val="Calibri"/>
      <family val="2"/>
      <charset val="204"/>
    </font>
    <font>
      <sz val="11"/>
      <color rgb="FFCC0000"/>
      <name val="Calibri"/>
      <family val="2"/>
      <charset val="204"/>
    </font>
    <font>
      <sz val="11"/>
      <color rgb="FF38761D"/>
      <name val="Calibri"/>
      <family val="2"/>
      <charset val="204"/>
    </font>
    <font>
      <sz val="11"/>
      <color rgb="FF38761D"/>
      <name val="&quot;Times New Roman&quot;"/>
    </font>
    <font>
      <sz val="10"/>
      <color rgb="FF38761D"/>
      <name val="Arial"/>
      <family val="2"/>
      <charset val="204"/>
      <scheme val="minor"/>
    </font>
    <font>
      <sz val="11"/>
      <color rgb="FFCC0000"/>
      <name val="&quot;Times New Roman&quot;"/>
    </font>
    <font>
      <b/>
      <i/>
      <sz val="11"/>
      <color rgb="FF38761D"/>
      <name val="&quot;\&quot;Times New Roman\&quot;&quot;"/>
    </font>
    <font>
      <b/>
      <i/>
      <sz val="11"/>
      <color rgb="FF000000"/>
      <name val="&quot;\&quot;Times New Roman\&quot;&quot;"/>
    </font>
    <font>
      <sz val="10"/>
      <color rgb="FFFF0000"/>
      <name val="Arial"/>
      <family val="2"/>
      <charset val="204"/>
      <scheme val="minor"/>
    </font>
    <font>
      <i/>
      <sz val="10"/>
      <color theme="1"/>
      <name val="Arial"/>
      <family val="2"/>
      <charset val="204"/>
      <scheme val="minor"/>
    </font>
    <font>
      <b/>
      <sz val="10"/>
      <color rgb="FFFF0000"/>
      <name val="Arial"/>
      <family val="2"/>
      <charset val="204"/>
      <scheme val="minor"/>
    </font>
    <font>
      <b/>
      <sz val="10"/>
      <color rgb="FF434343"/>
      <name val="Arial"/>
      <family val="2"/>
      <charset val="204"/>
      <scheme val="minor"/>
    </font>
    <font>
      <b/>
      <sz val="11"/>
      <color rgb="FF000000"/>
      <name val="Inconsolata"/>
    </font>
    <font>
      <sz val="10"/>
      <color rgb="FFCC0000"/>
      <name val="Arial"/>
      <family val="2"/>
      <charset val="204"/>
      <scheme val="minor"/>
    </font>
    <font>
      <b/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&quot;Times New Roman&quot;"/>
    </font>
    <font>
      <b/>
      <sz val="12"/>
      <color rgb="FF000000"/>
      <name val="Arial"/>
      <family val="2"/>
      <charset val="204"/>
      <scheme val="minor"/>
    </font>
    <font>
      <sz val="9"/>
      <color rgb="FF000000"/>
      <name val="Arial"/>
      <family val="2"/>
      <charset val="204"/>
      <scheme val="minor"/>
    </font>
    <font>
      <sz val="12"/>
      <color rgb="FF000000"/>
      <name val="Arial"/>
      <family val="2"/>
      <charset val="204"/>
      <scheme val="minor"/>
    </font>
    <font>
      <b/>
      <sz val="8"/>
      <color theme="1"/>
      <name val="&quot;Times New Roman&quot;"/>
    </font>
    <font>
      <sz val="8"/>
      <color theme="1"/>
      <name val="&quot;Times New Roman&quot;"/>
    </font>
    <font>
      <i/>
      <sz val="10"/>
      <color rgb="FF000000"/>
      <name val="&quot;Times New Roman&quot;"/>
    </font>
    <font>
      <b/>
      <sz val="10"/>
      <color theme="1"/>
      <name val="&quot;Times New Roman&quot;"/>
    </font>
    <font>
      <b/>
      <sz val="10"/>
      <color rgb="FF000000"/>
      <name val="&quot;Times New Roman&quot;"/>
    </font>
    <font>
      <i/>
      <sz val="10"/>
      <color theme="1"/>
      <name val="&quot;Times New Roman&quot;"/>
    </font>
    <font>
      <sz val="9"/>
      <color theme="1"/>
      <name val="&quot;Times New Roman&quot;"/>
    </font>
    <font>
      <i/>
      <sz val="12"/>
      <color rgb="FF000000"/>
      <name val="&quot;Times New Roman&quot;"/>
    </font>
    <font>
      <i/>
      <sz val="8"/>
      <color rgb="FF000000"/>
      <name val="&quot;Times New Roman&quot;"/>
    </font>
    <font>
      <b/>
      <i/>
      <sz val="10"/>
      <color theme="1"/>
      <name val="&quot;Times New Roman&quot;"/>
    </font>
    <font>
      <b/>
      <sz val="14"/>
      <color rgb="FF000000"/>
      <name val="&quot;Times New Roman&quot;"/>
    </font>
    <font>
      <b/>
      <i/>
      <sz val="11"/>
      <color rgb="FF000000"/>
      <name val="&quot;Times New Roman&quot;"/>
    </font>
    <font>
      <sz val="14"/>
      <color theme="1"/>
      <name val="&quot;Times New Roman&quot;"/>
    </font>
    <font>
      <b/>
      <sz val="11"/>
      <color rgb="FF38761D"/>
      <name val="&quot;Times New Roman&quot;"/>
    </font>
    <font>
      <sz val="10"/>
      <color rgb="FFFF0000"/>
      <name val="Arial"/>
      <family val="2"/>
      <charset val="204"/>
    </font>
    <font>
      <b/>
      <sz val="9"/>
      <color theme="1"/>
      <name val="Arial"/>
      <family val="2"/>
      <charset val="204"/>
      <scheme val="minor"/>
    </font>
    <font>
      <sz val="9"/>
      <color theme="1"/>
      <name val="Arial"/>
      <family val="2"/>
      <charset val="204"/>
      <scheme val="minor"/>
    </font>
    <font>
      <sz val="10"/>
      <color theme="1"/>
      <name val="Calibri"/>
      <family val="2"/>
      <charset val="204"/>
    </font>
    <font>
      <sz val="10"/>
      <color theme="1"/>
      <name val="Arial"/>
      <family val="2"/>
      <charset val="204"/>
      <scheme val="minor"/>
    </font>
    <font>
      <sz val="11"/>
      <color rgb="FF000000"/>
      <name val="Calibri, sans-serif"/>
    </font>
    <font>
      <b/>
      <sz val="11"/>
      <color rgb="FF000000"/>
      <name val="Calibri, sans-serif"/>
    </font>
    <font>
      <sz val="11"/>
      <color rgb="FFFF0000"/>
      <name val="Calibri, sans-serif"/>
    </font>
    <font>
      <b/>
      <sz val="11"/>
      <color rgb="FF000000"/>
      <name val="&quot;Times New Roman&quot;, serif"/>
    </font>
    <font>
      <sz val="11"/>
      <color rgb="FF000000"/>
      <name val="&quot;Times New Roman&quot;, serif"/>
    </font>
    <font>
      <i/>
      <sz val="11"/>
      <color rgb="FF000000"/>
      <name val="&quot;Times New Roman&quot;, serif"/>
    </font>
    <font>
      <b/>
      <sz val="10"/>
      <color rgb="FF000000"/>
      <name val="Arial, sans-serif"/>
    </font>
    <font>
      <sz val="10"/>
      <color rgb="FF000000"/>
      <name val="Arial, sans-serif"/>
    </font>
    <font>
      <sz val="10"/>
      <color rgb="FFFF0000"/>
      <name val="Arial, sans-serif"/>
    </font>
    <font>
      <i/>
      <sz val="10"/>
      <color rgb="FFFF0000"/>
      <name val="Arial, sans-serif"/>
    </font>
    <font>
      <b/>
      <i/>
      <sz val="10"/>
      <color rgb="FF000000"/>
      <name val="Arial, sans-serif"/>
    </font>
    <font>
      <i/>
      <sz val="10"/>
      <color rgb="FF000000"/>
      <name val="Arial, sans-serif"/>
    </font>
    <font>
      <sz val="9"/>
      <color rgb="FF000000"/>
      <name val="Arial"/>
      <family val="2"/>
      <charset val="204"/>
    </font>
    <font>
      <b/>
      <i/>
      <sz val="9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sz val="9"/>
      <color rgb="FFFF0000"/>
      <name val="Arial"/>
      <family val="2"/>
      <charset val="204"/>
    </font>
    <font>
      <b/>
      <i/>
      <sz val="11"/>
      <color rgb="FF000000"/>
      <name val="&quot;Times New Roman&quot;, serif"/>
    </font>
    <font>
      <sz val="11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FF"/>
        <bgColor rgb="FFCCCCFF"/>
      </patternFill>
    </fill>
    <fill>
      <patternFill patternType="solid">
        <fgColor rgb="FF99CCFF"/>
        <bgColor rgb="FF99CCFF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E6B8B7"/>
        <bgColor rgb="FFE6B8B7"/>
      </patternFill>
    </fill>
    <fill>
      <patternFill patternType="solid">
        <fgColor rgb="FFF2DCDB"/>
        <bgColor rgb="FFF2DCDB"/>
      </patternFill>
    </fill>
    <fill>
      <patternFill patternType="solid">
        <fgColor rgb="FFFCD5B4"/>
        <bgColor rgb="FFFCD5B4"/>
      </patternFill>
    </fill>
    <fill>
      <patternFill patternType="solid">
        <fgColor rgb="FFFFFF00"/>
        <bgColor rgb="FFFFFF00"/>
      </patternFill>
    </fill>
    <fill>
      <patternFill patternType="solid">
        <fgColor rgb="FFE6CECE"/>
        <bgColor rgb="FFE6CECE"/>
      </patternFill>
    </fill>
    <fill>
      <patternFill patternType="solid">
        <fgColor rgb="FFBDBDBD"/>
        <bgColor rgb="FFBDBDBD"/>
      </patternFill>
    </fill>
    <fill>
      <patternFill patternType="solid">
        <fgColor rgb="FFFF0000"/>
        <bgColor rgb="FFFF0000"/>
      </patternFill>
    </fill>
    <fill>
      <patternFill patternType="solid">
        <fgColor rgb="FFE06666"/>
        <bgColor rgb="FFE06666"/>
      </patternFill>
    </fill>
    <fill>
      <patternFill patternType="solid">
        <fgColor rgb="FF00FF00"/>
        <bgColor rgb="FF00FF00"/>
      </patternFill>
    </fill>
    <fill>
      <patternFill patternType="solid">
        <fgColor rgb="FFD0E0E3"/>
        <bgColor rgb="FFD0E0E3"/>
      </patternFill>
    </fill>
    <fill>
      <patternFill patternType="solid">
        <fgColor rgb="FFB6D7A8"/>
        <bgColor rgb="FFB6D7A8"/>
      </patternFill>
    </fill>
    <fill>
      <patternFill patternType="solid">
        <fgColor rgb="FF93C47D"/>
        <bgColor rgb="FF93C47D"/>
      </patternFill>
    </fill>
    <fill>
      <patternFill patternType="solid">
        <fgColor rgb="FFDD7E6B"/>
        <bgColor rgb="FFDD7E6B"/>
      </patternFill>
    </fill>
    <fill>
      <patternFill patternType="solid">
        <fgColor rgb="FFEA9999"/>
        <bgColor rgb="FFEA9999"/>
      </patternFill>
    </fill>
    <fill>
      <patternFill patternType="solid">
        <fgColor rgb="FF92CDDC"/>
        <bgColor rgb="FF92CDDC"/>
      </patternFill>
    </fill>
    <fill>
      <patternFill patternType="solid">
        <fgColor rgb="FFB7DEE8"/>
        <bgColor rgb="FFB7DEE8"/>
      </patternFill>
    </fill>
    <fill>
      <patternFill patternType="solid">
        <fgColor rgb="FFFDE9D9"/>
        <bgColor rgb="FFFDE9D9"/>
      </patternFill>
    </fill>
    <fill>
      <patternFill patternType="solid">
        <fgColor rgb="FFC5D9F1"/>
        <bgColor rgb="FFC5D9F1"/>
      </patternFill>
    </fill>
    <fill>
      <patternFill patternType="solid">
        <fgColor rgb="FFA4C2F4"/>
        <bgColor rgb="FFA4C2F4"/>
      </patternFill>
    </fill>
    <fill>
      <patternFill patternType="solid">
        <fgColor rgb="FFD9EAD3"/>
        <bgColor rgb="FFD9EAD3"/>
      </patternFill>
    </fill>
    <fill>
      <patternFill patternType="solid">
        <fgColor theme="8" tint="0.79998168889431442"/>
        <bgColor rgb="FFFCD5B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8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/>
    <xf numFmtId="0" fontId="2" fillId="0" borderId="1" xfId="0" applyFont="1" applyBorder="1" applyAlignment="1"/>
    <xf numFmtId="0" fontId="2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1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3" fillId="0" borderId="0" xfId="0" applyFont="1" applyAlignment="1"/>
    <xf numFmtId="4" fontId="3" fillId="0" borderId="0" xfId="0" applyNumberFormat="1" applyFont="1"/>
    <xf numFmtId="0" fontId="3" fillId="0" borderId="0" xfId="0" applyFont="1"/>
    <xf numFmtId="0" fontId="4" fillId="4" borderId="1" xfId="0" applyFont="1" applyFill="1" applyBorder="1" applyAlignment="1">
      <alignment horizontal="center"/>
    </xf>
    <xf numFmtId="0" fontId="2" fillId="4" borderId="1" xfId="0" applyFont="1" applyFill="1" applyBorder="1" applyAlignment="1"/>
    <xf numFmtId="0" fontId="1" fillId="4" borderId="1" xfId="0" applyFont="1" applyFill="1" applyBorder="1" applyAlignment="1">
      <alignment vertical="top" wrapText="1"/>
    </xf>
    <xf numFmtId="4" fontId="4" fillId="4" borderId="1" xfId="0" applyNumberFormat="1" applyFont="1" applyFill="1" applyBorder="1" applyAlignment="1">
      <alignment horizontal="center"/>
    </xf>
    <xf numFmtId="0" fontId="3" fillId="4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top" wrapText="1"/>
    </xf>
    <xf numFmtId="4" fontId="4" fillId="3" borderId="1" xfId="0" applyNumberFormat="1" applyFont="1" applyFill="1" applyBorder="1" applyAlignment="1">
      <alignment horizontal="center"/>
    </xf>
    <xf numFmtId="0" fontId="3" fillId="3" borderId="0" xfId="0" applyFont="1" applyFill="1"/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wrapText="1"/>
    </xf>
    <xf numFmtId="0" fontId="2" fillId="5" borderId="1" xfId="0" applyFont="1" applyFill="1" applyBorder="1" applyAlignment="1"/>
    <xf numFmtId="0" fontId="1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wrapText="1"/>
    </xf>
    <xf numFmtId="4" fontId="4" fillId="5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vertical="top"/>
    </xf>
    <xf numFmtId="0" fontId="7" fillId="2" borderId="0" xfId="0" applyFont="1" applyFill="1" applyAlignment="1"/>
    <xf numFmtId="0" fontId="2" fillId="2" borderId="1" xfId="0" applyFont="1" applyFill="1" applyBorder="1" applyAlignment="1"/>
    <xf numFmtId="0" fontId="4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4" fillId="7" borderId="1" xfId="0" applyFont="1" applyFill="1" applyBorder="1" applyAlignment="1"/>
    <xf numFmtId="4" fontId="4" fillId="7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wrapText="1"/>
    </xf>
    <xf numFmtId="4" fontId="4" fillId="8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3" fillId="2" borderId="0" xfId="0" applyFont="1" applyFill="1"/>
    <xf numFmtId="0" fontId="1" fillId="9" borderId="1" xfId="0" applyFont="1" applyFill="1" applyBorder="1" applyAlignment="1">
      <alignment horizontal="center"/>
    </xf>
    <xf numFmtId="0" fontId="2" fillId="9" borderId="1" xfId="0" applyFont="1" applyFill="1" applyBorder="1" applyAlignment="1"/>
    <xf numFmtId="0" fontId="4" fillId="9" borderId="1" xfId="0" applyFont="1" applyFill="1" applyBorder="1" applyAlignment="1">
      <alignment wrapText="1"/>
    </xf>
    <xf numFmtId="4" fontId="4" fillId="9" borderId="1" xfId="0" applyNumberFormat="1" applyFont="1" applyFill="1" applyBorder="1" applyAlignment="1">
      <alignment horizontal="center"/>
    </xf>
    <xf numFmtId="0" fontId="3" fillId="9" borderId="0" xfId="0" applyFont="1" applyFill="1"/>
    <xf numFmtId="0" fontId="3" fillId="0" borderId="1" xfId="0" applyFont="1" applyBorder="1"/>
    <xf numFmtId="4" fontId="8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vertical="center"/>
    </xf>
    <xf numFmtId="0" fontId="6" fillId="0" borderId="0" xfId="0" applyFont="1" applyAlignment="1"/>
    <xf numFmtId="0" fontId="6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1" fillId="0" borderId="0" xfId="0" applyFont="1" applyAlignment="1"/>
    <xf numFmtId="0" fontId="11" fillId="0" borderId="8" xfId="0" applyFont="1" applyBorder="1" applyAlignment="1"/>
    <xf numFmtId="0" fontId="11" fillId="0" borderId="7" xfId="0" applyFont="1" applyBorder="1" applyAlignment="1"/>
    <xf numFmtId="0" fontId="11" fillId="0" borderId="9" xfId="0" applyFont="1" applyBorder="1" applyAlignment="1"/>
    <xf numFmtId="0" fontId="11" fillId="3" borderId="9" xfId="0" applyFont="1" applyFill="1" applyBorder="1" applyAlignment="1"/>
    <xf numFmtId="0" fontId="13" fillId="3" borderId="9" xfId="0" applyFont="1" applyFill="1" applyBorder="1" applyAlignment="1">
      <alignment horizontal="center" wrapText="1"/>
    </xf>
    <xf numFmtId="0" fontId="13" fillId="3" borderId="9" xfId="0" applyFont="1" applyFill="1" applyBorder="1" applyAlignment="1">
      <alignment horizontal="center"/>
    </xf>
    <xf numFmtId="0" fontId="14" fillId="3" borderId="7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15" fillId="0" borderId="9" xfId="0" applyFont="1" applyBorder="1" applyAlignment="1">
      <alignment horizontal="center"/>
    </xf>
    <xf numFmtId="4" fontId="13" fillId="0" borderId="9" xfId="0" applyNumberFormat="1" applyFont="1" applyBorder="1" applyAlignment="1">
      <alignment horizontal="right"/>
    </xf>
    <xf numFmtId="4" fontId="11" fillId="0" borderId="9" xfId="0" applyNumberFormat="1" applyFont="1" applyBorder="1" applyAlignment="1"/>
    <xf numFmtId="4" fontId="11" fillId="0" borderId="0" xfId="0" applyNumberFormat="1" applyFont="1" applyAlignment="1">
      <alignment horizontal="right"/>
    </xf>
    <xf numFmtId="0" fontId="13" fillId="4" borderId="7" xfId="0" applyFont="1" applyFill="1" applyBorder="1" applyAlignment="1">
      <alignment horizontal="center"/>
    </xf>
    <xf numFmtId="0" fontId="11" fillId="4" borderId="9" xfId="0" applyFont="1" applyFill="1" applyBorder="1" applyAlignment="1"/>
    <xf numFmtId="0" fontId="15" fillId="4" borderId="9" xfId="0" applyFont="1" applyFill="1" applyBorder="1" applyAlignment="1">
      <alignment vertical="top" wrapText="1"/>
    </xf>
    <xf numFmtId="4" fontId="13" fillId="4" borderId="9" xfId="0" applyNumberFormat="1" applyFont="1" applyFill="1" applyBorder="1" applyAlignment="1">
      <alignment horizontal="right"/>
    </xf>
    <xf numFmtId="4" fontId="11" fillId="4" borderId="9" xfId="0" applyNumberFormat="1" applyFont="1" applyFill="1" applyBorder="1" applyAlignment="1"/>
    <xf numFmtId="0" fontId="11" fillId="3" borderId="7" xfId="0" applyFont="1" applyFill="1" applyBorder="1" applyAlignment="1"/>
    <xf numFmtId="0" fontId="15" fillId="3" borderId="9" xfId="0" applyFont="1" applyFill="1" applyBorder="1" applyAlignment="1">
      <alignment horizontal="center"/>
    </xf>
    <xf numFmtId="0" fontId="15" fillId="3" borderId="9" xfId="0" applyFont="1" applyFill="1" applyBorder="1" applyAlignment="1">
      <alignment vertical="top" wrapText="1"/>
    </xf>
    <xf numFmtId="4" fontId="13" fillId="3" borderId="9" xfId="0" applyNumberFormat="1" applyFont="1" applyFill="1" applyBorder="1" applyAlignment="1">
      <alignment horizontal="right"/>
    </xf>
    <xf numFmtId="0" fontId="11" fillId="0" borderId="9" xfId="0" applyFont="1" applyBorder="1" applyAlignment="1">
      <alignment horizontal="right"/>
    </xf>
    <xf numFmtId="0" fontId="14" fillId="0" borderId="9" xfId="0" applyFont="1" applyBorder="1" applyAlignment="1"/>
    <xf numFmtId="4" fontId="14" fillId="2" borderId="9" xfId="0" applyNumberFormat="1" applyFont="1" applyFill="1" applyBorder="1" applyAlignment="1">
      <alignment horizontal="right" vertical="top"/>
    </xf>
    <xf numFmtId="4" fontId="11" fillId="2" borderId="9" xfId="0" applyNumberFormat="1" applyFont="1" applyFill="1" applyBorder="1" applyAlignment="1">
      <alignment vertical="top"/>
    </xf>
    <xf numFmtId="0" fontId="14" fillId="0" borderId="9" xfId="0" applyFont="1" applyBorder="1" applyAlignment="1">
      <alignment wrapText="1"/>
    </xf>
    <xf numFmtId="0" fontId="14" fillId="0" borderId="9" xfId="0" applyFont="1" applyBorder="1" applyAlignment="1">
      <alignment horizontal="right"/>
    </xf>
    <xf numFmtId="0" fontId="14" fillId="0" borderId="9" xfId="0" applyFont="1" applyBorder="1" applyAlignment="1">
      <alignment vertical="top" wrapText="1"/>
    </xf>
    <xf numFmtId="4" fontId="14" fillId="2" borderId="9" xfId="0" applyNumberFormat="1" applyFont="1" applyFill="1" applyBorder="1" applyAlignment="1">
      <alignment horizontal="center"/>
    </xf>
    <xf numFmtId="4" fontId="13" fillId="0" borderId="9" xfId="0" applyNumberFormat="1" applyFont="1" applyBorder="1" applyAlignment="1">
      <alignment horizontal="center"/>
    </xf>
    <xf numFmtId="0" fontId="13" fillId="3" borderId="9" xfId="0" applyFont="1" applyFill="1" applyBorder="1" applyAlignment="1">
      <alignment wrapText="1"/>
    </xf>
    <xf numFmtId="4" fontId="14" fillId="3" borderId="9" xfId="0" applyNumberFormat="1" applyFont="1" applyFill="1" applyBorder="1" applyAlignment="1">
      <alignment horizontal="center"/>
    </xf>
    <xf numFmtId="4" fontId="13" fillId="3" borderId="9" xfId="0" applyNumberFormat="1" applyFont="1" applyFill="1" applyBorder="1" applyAlignment="1">
      <alignment horizontal="center"/>
    </xf>
    <xf numFmtId="4" fontId="11" fillId="3" borderId="9" xfId="0" applyNumberFormat="1" applyFont="1" applyFill="1" applyBorder="1" applyAlignment="1">
      <alignment vertical="top"/>
    </xf>
    <xf numFmtId="0" fontId="11" fillId="5" borderId="7" xfId="0" applyFont="1" applyFill="1" applyBorder="1" applyAlignment="1"/>
    <xf numFmtId="0" fontId="15" fillId="5" borderId="9" xfId="0" applyFont="1" applyFill="1" applyBorder="1" applyAlignment="1">
      <alignment horizontal="center"/>
    </xf>
    <xf numFmtId="0" fontId="11" fillId="5" borderId="9" xfId="0" applyFont="1" applyFill="1" applyBorder="1" applyAlignment="1"/>
    <xf numFmtId="0" fontId="13" fillId="5" borderId="9" xfId="0" applyFont="1" applyFill="1" applyBorder="1" applyAlignment="1">
      <alignment wrapText="1"/>
    </xf>
    <xf numFmtId="4" fontId="13" fillId="4" borderId="9" xfId="0" applyNumberFormat="1" applyFont="1" applyFill="1" applyBorder="1" applyAlignment="1">
      <alignment horizontal="right"/>
    </xf>
    <xf numFmtId="4" fontId="11" fillId="4" borderId="9" xfId="0" applyNumberFormat="1" applyFont="1" applyFill="1" applyBorder="1"/>
    <xf numFmtId="4" fontId="11" fillId="4" borderId="9" xfId="0" applyNumberFormat="1" applyFont="1" applyFill="1" applyBorder="1" applyAlignment="1">
      <alignment vertical="top"/>
    </xf>
    <xf numFmtId="4" fontId="14" fillId="2" borderId="9" xfId="0" applyNumberFormat="1" applyFont="1" applyFill="1" applyBorder="1" applyAlignment="1">
      <alignment horizontal="right"/>
    </xf>
    <xf numFmtId="4" fontId="13" fillId="0" borderId="9" xfId="0" applyNumberFormat="1" applyFont="1" applyBorder="1" applyAlignment="1">
      <alignment horizontal="right"/>
    </xf>
    <xf numFmtId="0" fontId="15" fillId="3" borderId="9" xfId="0" applyFont="1" applyFill="1" applyBorder="1" applyAlignment="1">
      <alignment vertical="top"/>
    </xf>
    <xf numFmtId="4" fontId="13" fillId="3" borderId="9" xfId="0" applyNumberFormat="1" applyFont="1" applyFill="1" applyBorder="1" applyAlignment="1">
      <alignment horizontal="right" vertical="top"/>
    </xf>
    <xf numFmtId="0" fontId="11" fillId="0" borderId="9" xfId="0" applyFont="1" applyBorder="1" applyAlignment="1">
      <alignment horizontal="right"/>
    </xf>
    <xf numFmtId="0" fontId="16" fillId="2" borderId="9" xfId="0" applyFont="1" applyFill="1" applyBorder="1" applyAlignment="1"/>
    <xf numFmtId="0" fontId="3" fillId="10" borderId="0" xfId="0" applyFont="1" applyFill="1"/>
    <xf numFmtId="0" fontId="11" fillId="2" borderId="7" xfId="0" applyFont="1" applyFill="1" applyBorder="1" applyAlignment="1"/>
    <xf numFmtId="0" fontId="13" fillId="7" borderId="7" xfId="0" applyFont="1" applyFill="1" applyBorder="1" applyAlignment="1">
      <alignment horizontal="center"/>
    </xf>
    <xf numFmtId="0" fontId="11" fillId="7" borderId="9" xfId="0" applyFont="1" applyFill="1" applyBorder="1" applyAlignment="1"/>
    <xf numFmtId="0" fontId="13" fillId="7" borderId="9" xfId="0" applyFont="1" applyFill="1" applyBorder="1" applyAlignment="1"/>
    <xf numFmtId="4" fontId="13" fillId="7" borderId="9" xfId="0" applyNumberFormat="1" applyFont="1" applyFill="1" applyBorder="1" applyAlignment="1">
      <alignment horizontal="right" vertical="top"/>
    </xf>
    <xf numFmtId="4" fontId="13" fillId="7" borderId="9" xfId="0" applyNumberFormat="1" applyFont="1" applyFill="1" applyBorder="1" applyAlignment="1">
      <alignment horizontal="right"/>
    </xf>
    <xf numFmtId="4" fontId="11" fillId="7" borderId="9" xfId="0" applyNumberFormat="1" applyFont="1" applyFill="1" applyBorder="1" applyAlignment="1">
      <alignment vertical="top"/>
    </xf>
    <xf numFmtId="4" fontId="13" fillId="11" borderId="9" xfId="0" applyNumberFormat="1" applyFont="1" applyFill="1" applyBorder="1" applyAlignment="1">
      <alignment horizontal="right"/>
    </xf>
    <xf numFmtId="0" fontId="11" fillId="8" borderId="7" xfId="0" applyFont="1" applyFill="1" applyBorder="1" applyAlignment="1"/>
    <xf numFmtId="0" fontId="14" fillId="8" borderId="9" xfId="0" applyFont="1" applyFill="1" applyBorder="1" applyAlignment="1">
      <alignment horizontal="center"/>
    </xf>
    <xf numFmtId="0" fontId="11" fillId="8" borderId="9" xfId="0" applyFont="1" applyFill="1" applyBorder="1" applyAlignment="1"/>
    <xf numFmtId="0" fontId="14" fillId="8" borderId="9" xfId="0" applyFont="1" applyFill="1" applyBorder="1" applyAlignment="1">
      <alignment wrapText="1"/>
    </xf>
    <xf numFmtId="4" fontId="11" fillId="11" borderId="9" xfId="0" applyNumberFormat="1" applyFont="1" applyFill="1" applyBorder="1" applyAlignment="1">
      <alignment vertical="top"/>
    </xf>
    <xf numFmtId="4" fontId="13" fillId="8" borderId="9" xfId="0" applyNumberFormat="1" applyFont="1" applyFill="1" applyBorder="1" applyAlignment="1">
      <alignment horizontal="center"/>
    </xf>
    <xf numFmtId="4" fontId="11" fillId="8" borderId="9" xfId="0" applyNumberFormat="1" applyFont="1" applyFill="1" applyBorder="1"/>
    <xf numFmtId="4" fontId="11" fillId="8" borderId="9" xfId="0" applyNumberFormat="1" applyFont="1" applyFill="1" applyBorder="1" applyAlignment="1">
      <alignment vertical="top"/>
    </xf>
    <xf numFmtId="0" fontId="15" fillId="9" borderId="7" xfId="0" applyFont="1" applyFill="1" applyBorder="1" applyAlignment="1">
      <alignment horizontal="center"/>
    </xf>
    <xf numFmtId="0" fontId="15" fillId="9" borderId="9" xfId="0" applyFont="1" applyFill="1" applyBorder="1" applyAlignment="1">
      <alignment horizontal="center"/>
    </xf>
    <xf numFmtId="0" fontId="11" fillId="9" borderId="9" xfId="0" applyFont="1" applyFill="1" applyBorder="1" applyAlignment="1"/>
    <xf numFmtId="0" fontId="13" fillId="9" borderId="9" xfId="0" applyFont="1" applyFill="1" applyBorder="1" applyAlignment="1">
      <alignment wrapText="1"/>
    </xf>
    <xf numFmtId="4" fontId="13" fillId="9" borderId="9" xfId="0" applyNumberFormat="1" applyFont="1" applyFill="1" applyBorder="1" applyAlignment="1">
      <alignment horizontal="center"/>
    </xf>
    <xf numFmtId="4" fontId="11" fillId="9" borderId="9" xfId="0" applyNumberFormat="1" applyFont="1" applyFill="1" applyBorder="1" applyAlignment="1">
      <alignment vertical="top"/>
    </xf>
    <xf numFmtId="4" fontId="11" fillId="0" borderId="8" xfId="0" applyNumberFormat="1" applyFont="1" applyBorder="1" applyAlignment="1">
      <alignment horizontal="right"/>
    </xf>
    <xf numFmtId="4" fontId="11" fillId="0" borderId="0" xfId="0" applyNumberFormat="1" applyFont="1" applyAlignment="1"/>
    <xf numFmtId="4" fontId="11" fillId="0" borderId="10" xfId="0" applyNumberFormat="1" applyFont="1" applyBorder="1" applyAlignment="1"/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/>
    <xf numFmtId="4" fontId="17" fillId="0" borderId="9" xfId="0" applyNumberFormat="1" applyFont="1" applyBorder="1" applyAlignment="1">
      <alignment horizontal="right"/>
    </xf>
    <xf numFmtId="165" fontId="17" fillId="0" borderId="9" xfId="0" applyNumberFormat="1" applyFont="1" applyBorder="1" applyAlignment="1">
      <alignment horizontal="right"/>
    </xf>
    <xf numFmtId="0" fontId="11" fillId="0" borderId="8" xfId="0" applyFont="1" applyBorder="1" applyAlignment="1"/>
    <xf numFmtId="4" fontId="11" fillId="0" borderId="9" xfId="0" applyNumberFormat="1" applyFont="1" applyBorder="1" applyAlignment="1">
      <alignment horizontal="right"/>
    </xf>
    <xf numFmtId="4" fontId="11" fillId="0" borderId="9" xfId="0" applyNumberFormat="1" applyFont="1" applyBorder="1" applyAlignment="1">
      <alignment horizontal="right" wrapText="1"/>
    </xf>
    <xf numFmtId="0" fontId="18" fillId="0" borderId="0" xfId="0" applyFont="1" applyAlignment="1"/>
    <xf numFmtId="0" fontId="19" fillId="0" borderId="0" xfId="0" applyFont="1" applyAlignment="1"/>
    <xf numFmtId="4" fontId="17" fillId="0" borderId="0" xfId="0" applyNumberFormat="1" applyFont="1" applyAlignment="1"/>
    <xf numFmtId="0" fontId="11" fillId="0" borderId="0" xfId="0" applyFont="1" applyAlignment="1"/>
    <xf numFmtId="165" fontId="11" fillId="0" borderId="0" xfId="0" applyNumberFormat="1" applyFont="1" applyAlignment="1"/>
    <xf numFmtId="0" fontId="11" fillId="0" borderId="1" xfId="0" applyFont="1" applyBorder="1" applyAlignment="1"/>
    <xf numFmtId="0" fontId="11" fillId="0" borderId="6" xfId="0" applyFont="1" applyBorder="1" applyAlignment="1"/>
    <xf numFmtId="4" fontId="11" fillId="0" borderId="6" xfId="0" applyNumberFormat="1" applyFont="1" applyBorder="1" applyAlignment="1">
      <alignment horizontal="right"/>
    </xf>
    <xf numFmtId="0" fontId="11" fillId="10" borderId="0" xfId="0" applyFont="1" applyFill="1" applyAlignment="1"/>
    <xf numFmtId="0" fontId="11" fillId="10" borderId="8" xfId="0" applyFont="1" applyFill="1" applyBorder="1" applyAlignment="1"/>
    <xf numFmtId="0" fontId="13" fillId="3" borderId="9" xfId="0" applyFont="1" applyFill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0" fontId="17" fillId="10" borderId="9" xfId="0" applyFont="1" applyFill="1" applyBorder="1" applyAlignment="1">
      <alignment horizontal="center" wrapText="1"/>
    </xf>
    <xf numFmtId="0" fontId="11" fillId="0" borderId="1" xfId="0" applyFont="1" applyBorder="1" applyAlignment="1"/>
    <xf numFmtId="0" fontId="3" fillId="2" borderId="1" xfId="0" applyFont="1" applyFill="1" applyBorder="1" applyAlignment="1"/>
    <xf numFmtId="0" fontId="3" fillId="2" borderId="1" xfId="0" applyFont="1" applyFill="1" applyBorder="1"/>
    <xf numFmtId="0" fontId="13" fillId="10" borderId="7" xfId="0" applyFont="1" applyFill="1" applyBorder="1" applyAlignment="1">
      <alignment horizontal="left" wrapText="1"/>
    </xf>
    <xf numFmtId="4" fontId="13" fillId="10" borderId="9" xfId="0" applyNumberFormat="1" applyFont="1" applyFill="1" applyBorder="1" applyAlignment="1">
      <alignment horizontal="center"/>
    </xf>
    <xf numFmtId="2" fontId="11" fillId="10" borderId="9" xfId="0" applyNumberFormat="1" applyFont="1" applyFill="1" applyBorder="1" applyAlignment="1"/>
    <xf numFmtId="4" fontId="13" fillId="10" borderId="9" xfId="0" applyNumberFormat="1" applyFont="1" applyFill="1" applyBorder="1" applyAlignment="1">
      <alignment horizontal="right"/>
    </xf>
    <xf numFmtId="0" fontId="21" fillId="12" borderId="7" xfId="0" applyFont="1" applyFill="1" applyBorder="1" applyAlignment="1">
      <alignment horizontal="left" wrapText="1"/>
    </xf>
    <xf numFmtId="4" fontId="11" fillId="12" borderId="9" xfId="0" applyNumberFormat="1" applyFont="1" applyFill="1" applyBorder="1" applyAlignment="1"/>
    <xf numFmtId="2" fontId="11" fillId="12" borderId="9" xfId="0" applyNumberFormat="1" applyFont="1" applyFill="1" applyBorder="1" applyAlignment="1"/>
    <xf numFmtId="0" fontId="11" fillId="12" borderId="9" xfId="0" applyFont="1" applyFill="1" applyBorder="1" applyAlignment="1"/>
    <xf numFmtId="4" fontId="11" fillId="12" borderId="8" xfId="0" applyNumberFormat="1" applyFont="1" applyFill="1" applyBorder="1" applyAlignment="1"/>
    <xf numFmtId="4" fontId="11" fillId="12" borderId="8" xfId="0" applyNumberFormat="1" applyFont="1" applyFill="1" applyBorder="1" applyAlignment="1">
      <alignment horizontal="right"/>
    </xf>
    <xf numFmtId="0" fontId="11" fillId="12" borderId="1" xfId="0" applyFont="1" applyFill="1" applyBorder="1" applyAlignment="1">
      <alignment horizontal="right"/>
    </xf>
    <xf numFmtId="4" fontId="3" fillId="12" borderId="1" xfId="0" applyNumberFormat="1" applyFont="1" applyFill="1" applyBorder="1"/>
    <xf numFmtId="0" fontId="21" fillId="2" borderId="7" xfId="0" applyFont="1" applyFill="1" applyBorder="1" applyAlignment="1">
      <alignment horizontal="left" wrapText="1"/>
    </xf>
    <xf numFmtId="4" fontId="22" fillId="2" borderId="9" xfId="0" applyNumberFormat="1" applyFont="1" applyFill="1" applyBorder="1" applyAlignment="1">
      <alignment horizontal="right"/>
    </xf>
    <xf numFmtId="2" fontId="22" fillId="2" borderId="9" xfId="0" applyNumberFormat="1" applyFont="1" applyFill="1" applyBorder="1" applyAlignment="1">
      <alignment horizontal="right"/>
    </xf>
    <xf numFmtId="4" fontId="22" fillId="10" borderId="9" xfId="0" applyNumberFormat="1" applyFont="1" applyFill="1" applyBorder="1" applyAlignment="1">
      <alignment horizontal="right"/>
    </xf>
    <xf numFmtId="4" fontId="23" fillId="13" borderId="9" xfId="0" applyNumberFormat="1" applyFont="1" applyFill="1" applyBorder="1" applyAlignment="1">
      <alignment horizontal="right"/>
    </xf>
    <xf numFmtId="4" fontId="22" fillId="2" borderId="1" xfId="0" applyNumberFormat="1" applyFont="1" applyFill="1" applyBorder="1" applyAlignment="1">
      <alignment horizontal="right"/>
    </xf>
    <xf numFmtId="0" fontId="8" fillId="2" borderId="1" xfId="0" applyFont="1" applyFill="1" applyBorder="1"/>
    <xf numFmtId="4" fontId="23" fillId="2" borderId="9" xfId="0" applyNumberFormat="1" applyFont="1" applyFill="1" applyBorder="1" applyAlignment="1">
      <alignment horizontal="right"/>
    </xf>
    <xf numFmtId="4" fontId="22" fillId="13" borderId="9" xfId="0" applyNumberFormat="1" applyFont="1" applyFill="1" applyBorder="1" applyAlignment="1">
      <alignment horizontal="right"/>
    </xf>
    <xf numFmtId="4" fontId="22" fillId="14" borderId="9" xfId="0" applyNumberFormat="1" applyFont="1" applyFill="1" applyBorder="1" applyAlignment="1">
      <alignment horizontal="right"/>
    </xf>
    <xf numFmtId="4" fontId="22" fillId="15" borderId="9" xfId="0" applyNumberFormat="1" applyFont="1" applyFill="1" applyBorder="1" applyAlignment="1">
      <alignment horizontal="right"/>
    </xf>
    <xf numFmtId="4" fontId="22" fillId="10" borderId="1" xfId="0" applyNumberFormat="1" applyFont="1" applyFill="1" applyBorder="1" applyAlignment="1">
      <alignment horizontal="right"/>
    </xf>
    <xf numFmtId="4" fontId="8" fillId="10" borderId="1" xfId="0" applyNumberFormat="1" applyFont="1" applyFill="1" applyBorder="1"/>
    <xf numFmtId="0" fontId="21" fillId="2" borderId="7" xfId="0" applyFont="1" applyFill="1" applyBorder="1" applyAlignment="1">
      <alignment horizontal="left" wrapText="1"/>
    </xf>
    <xf numFmtId="0" fontId="23" fillId="2" borderId="7" xfId="0" applyFont="1" applyFill="1" applyBorder="1" applyAlignment="1">
      <alignment horizontal="left"/>
    </xf>
    <xf numFmtId="4" fontId="23" fillId="10" borderId="1" xfId="0" applyNumberFormat="1" applyFont="1" applyFill="1" applyBorder="1" applyAlignment="1">
      <alignment horizontal="right"/>
    </xf>
    <xf numFmtId="0" fontId="22" fillId="2" borderId="0" xfId="0" applyFont="1" applyFill="1" applyAlignment="1"/>
    <xf numFmtId="0" fontId="22" fillId="2" borderId="0" xfId="0" applyFont="1" applyFill="1" applyAlignment="1"/>
    <xf numFmtId="4" fontId="22" fillId="2" borderId="0" xfId="0" applyNumberFormat="1" applyFont="1" applyFill="1" applyAlignment="1"/>
    <xf numFmtId="0" fontId="22" fillId="10" borderId="0" xfId="0" applyFont="1" applyFill="1" applyAlignment="1"/>
    <xf numFmtId="0" fontId="8" fillId="2" borderId="0" xfId="0" applyFont="1" applyFill="1"/>
    <xf numFmtId="0" fontId="11" fillId="0" borderId="0" xfId="0" applyFont="1" applyAlignment="1"/>
    <xf numFmtId="4" fontId="11" fillId="2" borderId="0" xfId="0" applyNumberFormat="1" applyFont="1" applyFill="1" applyAlignment="1"/>
    <xf numFmtId="4" fontId="11" fillId="2" borderId="0" xfId="0" applyNumberFormat="1" applyFont="1" applyFill="1" applyAlignment="1">
      <alignment wrapText="1"/>
    </xf>
    <xf numFmtId="0" fontId="24" fillId="0" borderId="0" xfId="0" applyFont="1" applyAlignment="1"/>
    <xf numFmtId="0" fontId="24" fillId="0" borderId="0" xfId="0" applyFont="1" applyAlignment="1"/>
    <xf numFmtId="0" fontId="25" fillId="16" borderId="0" xfId="0" applyFont="1" applyFill="1" applyAlignment="1"/>
    <xf numFmtId="0" fontId="8" fillId="0" borderId="0" xfId="0" applyFont="1"/>
    <xf numFmtId="0" fontId="25" fillId="0" borderId="0" xfId="0" applyFont="1" applyAlignment="1">
      <alignment horizontal="center" wrapText="1"/>
    </xf>
    <xf numFmtId="0" fontId="25" fillId="16" borderId="0" xfId="0" applyFont="1" applyFill="1" applyAlignment="1">
      <alignment horizontal="center" wrapText="1"/>
    </xf>
    <xf numFmtId="0" fontId="24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 applyAlignment="1">
      <alignment horizontal="center"/>
    </xf>
    <xf numFmtId="4" fontId="24" fillId="0" borderId="0" xfId="0" applyNumberFormat="1" applyFont="1" applyAlignment="1"/>
    <xf numFmtId="4" fontId="25" fillId="0" borderId="0" xfId="0" applyNumberFormat="1" applyFont="1" applyAlignment="1"/>
    <xf numFmtId="0" fontId="24" fillId="17" borderId="1" xfId="0" applyFont="1" applyFill="1" applyBorder="1" applyAlignment="1">
      <alignment horizontal="center"/>
    </xf>
    <xf numFmtId="4" fontId="24" fillId="17" borderId="1" xfId="0" applyNumberFormat="1" applyFont="1" applyFill="1" applyBorder="1" applyAlignment="1"/>
    <xf numFmtId="4" fontId="25" fillId="17" borderId="1" xfId="0" applyNumberFormat="1" applyFont="1" applyFill="1" applyBorder="1" applyAlignment="1"/>
    <xf numFmtId="4" fontId="26" fillId="17" borderId="1" xfId="0" applyNumberFormat="1" applyFont="1" applyFill="1" applyBorder="1" applyAlignment="1"/>
    <xf numFmtId="4" fontId="24" fillId="0" borderId="0" xfId="0" applyNumberFormat="1" applyFont="1" applyAlignment="1"/>
    <xf numFmtId="0" fontId="24" fillId="6" borderId="1" xfId="0" applyFont="1" applyFill="1" applyBorder="1" applyAlignment="1">
      <alignment horizontal="center"/>
    </xf>
    <xf numFmtId="4" fontId="24" fillId="6" borderId="1" xfId="0" applyNumberFormat="1" applyFont="1" applyFill="1" applyBorder="1" applyAlignment="1"/>
    <xf numFmtId="4" fontId="25" fillId="6" borderId="1" xfId="0" applyNumberFormat="1" applyFont="1" applyFill="1" applyBorder="1" applyAlignment="1"/>
    <xf numFmtId="4" fontId="26" fillId="6" borderId="1" xfId="0" applyNumberFormat="1" applyFont="1" applyFill="1" applyBorder="1" applyAlignment="1"/>
    <xf numFmtId="4" fontId="24" fillId="6" borderId="0" xfId="0" applyNumberFormat="1" applyFont="1" applyFill="1" applyAlignment="1"/>
    <xf numFmtId="0" fontId="24" fillId="6" borderId="0" xfId="0" applyFont="1" applyFill="1" applyAlignment="1"/>
    <xf numFmtId="0" fontId="8" fillId="6" borderId="0" xfId="0" applyFont="1" applyFill="1"/>
    <xf numFmtId="4" fontId="24" fillId="6" borderId="1" xfId="0" applyNumberFormat="1" applyFont="1" applyFill="1" applyBorder="1" applyAlignment="1">
      <alignment wrapText="1"/>
    </xf>
    <xf numFmtId="4" fontId="26" fillId="6" borderId="1" xfId="0" applyNumberFormat="1" applyFont="1" applyFill="1" applyBorder="1" applyAlignment="1"/>
    <xf numFmtId="0" fontId="24" fillId="6" borderId="0" xfId="0" applyFont="1" applyFill="1" applyAlignment="1"/>
    <xf numFmtId="4" fontId="25" fillId="13" borderId="1" xfId="0" applyNumberFormat="1" applyFont="1" applyFill="1" applyBorder="1" applyAlignment="1"/>
    <xf numFmtId="0" fontId="8" fillId="6" borderId="0" xfId="0" applyFont="1" applyFill="1" applyAlignment="1"/>
    <xf numFmtId="4" fontId="24" fillId="6" borderId="1" xfId="0" applyNumberFormat="1" applyFont="1" applyFill="1" applyBorder="1" applyAlignment="1"/>
    <xf numFmtId="4" fontId="25" fillId="6" borderId="1" xfId="0" applyNumberFormat="1" applyFont="1" applyFill="1" applyBorder="1" applyAlignment="1"/>
    <xf numFmtId="0" fontId="27" fillId="6" borderId="0" xfId="0" applyFont="1" applyFill="1"/>
    <xf numFmtId="4" fontId="24" fillId="17" borderId="1" xfId="0" applyNumberFormat="1" applyFont="1" applyFill="1" applyBorder="1" applyAlignment="1"/>
    <xf numFmtId="4" fontId="28" fillId="17" borderId="1" xfId="0" applyNumberFormat="1" applyFont="1" applyFill="1" applyBorder="1" applyAlignment="1"/>
    <xf numFmtId="0" fontId="24" fillId="0" borderId="1" xfId="0" applyFont="1" applyBorder="1" applyAlignment="1">
      <alignment horizontal="center"/>
    </xf>
    <xf numFmtId="4" fontId="24" fillId="0" borderId="1" xfId="0" applyNumberFormat="1" applyFont="1" applyBorder="1" applyAlignment="1"/>
    <xf numFmtId="4" fontId="25" fillId="0" borderId="1" xfId="0" applyNumberFormat="1" applyFont="1" applyBorder="1" applyAlignment="1"/>
    <xf numFmtId="4" fontId="24" fillId="0" borderId="1" xfId="0" applyNumberFormat="1" applyFont="1" applyBorder="1" applyAlignment="1"/>
    <xf numFmtId="0" fontId="24" fillId="18" borderId="1" xfId="0" applyFont="1" applyFill="1" applyBorder="1" applyAlignment="1">
      <alignment horizontal="center"/>
    </xf>
    <xf numFmtId="4" fontId="24" fillId="18" borderId="1" xfId="0" applyNumberFormat="1" applyFont="1" applyFill="1" applyBorder="1" applyAlignment="1"/>
    <xf numFmtId="4" fontId="25" fillId="18" borderId="1" xfId="0" applyNumberFormat="1" applyFont="1" applyFill="1" applyBorder="1" applyAlignment="1"/>
    <xf numFmtId="4" fontId="26" fillId="18" borderId="1" xfId="0" applyNumberFormat="1" applyFont="1" applyFill="1" applyBorder="1" applyAlignment="1"/>
    <xf numFmtId="0" fontId="24" fillId="6" borderId="1" xfId="0" applyFont="1" applyFill="1" applyBorder="1" applyAlignment="1">
      <alignment horizontal="center"/>
    </xf>
    <xf numFmtId="0" fontId="25" fillId="0" borderId="1" xfId="0" applyFont="1" applyBorder="1" applyAlignment="1"/>
    <xf numFmtId="4" fontId="25" fillId="0" borderId="1" xfId="0" applyNumberFormat="1" applyFont="1" applyBorder="1" applyAlignment="1"/>
    <xf numFmtId="4" fontId="25" fillId="0" borderId="0" xfId="0" applyNumberFormat="1" applyFont="1" applyAlignment="1"/>
    <xf numFmtId="0" fontId="25" fillId="0" borderId="0" xfId="0" applyFont="1" applyAlignment="1"/>
    <xf numFmtId="0" fontId="29" fillId="0" borderId="0" xfId="0" applyFont="1"/>
    <xf numFmtId="0" fontId="30" fillId="0" borderId="1" xfId="0" applyFont="1" applyBorder="1" applyAlignment="1">
      <alignment horizontal="right"/>
    </xf>
    <xf numFmtId="0" fontId="29" fillId="16" borderId="0" xfId="0" applyFont="1" applyFill="1"/>
    <xf numFmtId="0" fontId="24" fillId="0" borderId="0" xfId="0" applyFont="1" applyAlignment="1"/>
    <xf numFmtId="0" fontId="24" fillId="0" borderId="0" xfId="0" applyFont="1" applyAlignment="1"/>
    <xf numFmtId="0" fontId="24" fillId="16" borderId="0" xfId="0" applyFont="1" applyFill="1" applyAlignment="1"/>
    <xf numFmtId="0" fontId="25" fillId="0" borderId="0" xfId="0" applyFont="1" applyAlignment="1">
      <alignment horizontal="center" wrapText="1"/>
    </xf>
    <xf numFmtId="0" fontId="25" fillId="16" borderId="0" xfId="0" applyFont="1" applyFill="1" applyAlignment="1">
      <alignment horizontal="center" wrapText="1"/>
    </xf>
    <xf numFmtId="0" fontId="24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horizontal="center"/>
    </xf>
    <xf numFmtId="4" fontId="25" fillId="0" borderId="0" xfId="0" applyNumberFormat="1" applyFont="1" applyAlignment="1"/>
    <xf numFmtId="0" fontId="25" fillId="0" borderId="0" xfId="0" applyFont="1" applyAlignment="1"/>
    <xf numFmtId="0" fontId="6" fillId="0" borderId="0" xfId="0" applyFont="1"/>
    <xf numFmtId="0" fontId="24" fillId="0" borderId="1" xfId="0" applyFont="1" applyBorder="1" applyAlignment="1">
      <alignment horizontal="center"/>
    </xf>
    <xf numFmtId="4" fontId="24" fillId="0" borderId="1" xfId="0" applyNumberFormat="1" applyFont="1" applyBorder="1" applyAlignment="1"/>
    <xf numFmtId="4" fontId="24" fillId="16" borderId="1" xfId="0" applyNumberFormat="1" applyFont="1" applyFill="1" applyBorder="1" applyAlignment="1"/>
    <xf numFmtId="4" fontId="26" fillId="0" borderId="1" xfId="0" applyNumberFormat="1" applyFont="1" applyBorder="1" applyAlignment="1"/>
    <xf numFmtId="4" fontId="24" fillId="0" borderId="1" xfId="0" applyNumberFormat="1" applyFont="1" applyBorder="1" applyAlignment="1"/>
    <xf numFmtId="4" fontId="26" fillId="0" borderId="1" xfId="0" applyNumberFormat="1" applyFont="1" applyBorder="1" applyAlignment="1"/>
    <xf numFmtId="0" fontId="25" fillId="0" borderId="1" xfId="0" applyFont="1" applyBorder="1" applyAlignment="1">
      <alignment horizontal="center"/>
    </xf>
    <xf numFmtId="4" fontId="25" fillId="0" borderId="1" xfId="0" applyNumberFormat="1" applyFont="1" applyBorder="1" applyAlignment="1"/>
    <xf numFmtId="4" fontId="24" fillId="0" borderId="1" xfId="0" applyNumberFormat="1" applyFont="1" applyBorder="1" applyAlignment="1">
      <alignment wrapText="1"/>
    </xf>
    <xf numFmtId="4" fontId="24" fillId="0" borderId="0" xfId="0" applyNumberFormat="1" applyFont="1" applyAlignment="1"/>
    <xf numFmtId="0" fontId="24" fillId="0" borderId="1" xfId="0" applyFont="1" applyBorder="1" applyAlignment="1">
      <alignment horizontal="center" vertical="center"/>
    </xf>
    <xf numFmtId="4" fontId="24" fillId="0" borderId="1" xfId="0" applyNumberFormat="1" applyFont="1" applyBorder="1" applyAlignment="1">
      <alignment vertical="center"/>
    </xf>
    <xf numFmtId="4" fontId="24" fillId="16" borderId="1" xfId="0" applyNumberFormat="1" applyFont="1" applyFill="1" applyBorder="1" applyAlignment="1">
      <alignment vertical="center"/>
    </xf>
    <xf numFmtId="4" fontId="26" fillId="0" borderId="1" xfId="0" applyNumberFormat="1" applyFont="1" applyBorder="1" applyAlignment="1">
      <alignment vertical="center"/>
    </xf>
    <xf numFmtId="4" fontId="24" fillId="0" borderId="1" xfId="0" applyNumberFormat="1" applyFont="1" applyBorder="1" applyAlignment="1">
      <alignment vertical="center" wrapText="1"/>
    </xf>
    <xf numFmtId="0" fontId="2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" fontId="31" fillId="16" borderId="1" xfId="0" applyNumberFormat="1" applyFont="1" applyFill="1" applyBorder="1" applyAlignment="1"/>
    <xf numFmtId="0" fontId="31" fillId="0" borderId="0" xfId="0" applyFont="1" applyAlignment="1"/>
    <xf numFmtId="4" fontId="31" fillId="0" borderId="1" xfId="0" applyNumberFormat="1" applyFont="1" applyBorder="1" applyAlignment="1"/>
    <xf numFmtId="4" fontId="32" fillId="16" borderId="1" xfId="0" applyNumberFormat="1" applyFont="1" applyFill="1" applyBorder="1" applyAlignment="1"/>
    <xf numFmtId="0" fontId="33" fillId="0" borderId="1" xfId="0" applyFont="1" applyBorder="1" applyAlignment="1">
      <alignment horizontal="center"/>
    </xf>
    <xf numFmtId="4" fontId="33" fillId="0" borderId="1" xfId="0" applyNumberFormat="1" applyFont="1" applyBorder="1" applyAlignment="1"/>
    <xf numFmtId="4" fontId="33" fillId="16" borderId="1" xfId="0" applyNumberFormat="1" applyFont="1" applyFill="1" applyBorder="1" applyAlignment="1"/>
    <xf numFmtId="4" fontId="34" fillId="0" borderId="1" xfId="0" applyNumberFormat="1" applyFont="1" applyBorder="1" applyAlignment="1"/>
    <xf numFmtId="4" fontId="33" fillId="0" borderId="1" xfId="0" applyNumberFormat="1" applyFont="1" applyBorder="1" applyAlignment="1"/>
    <xf numFmtId="0" fontId="33" fillId="0" borderId="0" xfId="0" applyFont="1" applyAlignment="1"/>
    <xf numFmtId="0" fontId="33" fillId="0" borderId="0" xfId="0" applyFont="1" applyAlignment="1"/>
    <xf numFmtId="0" fontId="35" fillId="0" borderId="0" xfId="0" applyFont="1"/>
    <xf numFmtId="4" fontId="36" fillId="0" borderId="1" xfId="0" applyNumberFormat="1" applyFont="1" applyBorder="1" applyAlignment="1"/>
    <xf numFmtId="4" fontId="24" fillId="16" borderId="1" xfId="0" applyNumberFormat="1" applyFont="1" applyFill="1" applyBorder="1" applyAlignment="1"/>
    <xf numFmtId="0" fontId="24" fillId="0" borderId="1" xfId="0" applyFont="1" applyBorder="1" applyAlignment="1">
      <alignment horizontal="center"/>
    </xf>
    <xf numFmtId="0" fontId="24" fillId="0" borderId="1" xfId="0" applyFont="1" applyBorder="1" applyAlignment="1"/>
    <xf numFmtId="0" fontId="9" fillId="0" borderId="1" xfId="0" applyFont="1" applyBorder="1" applyAlignment="1">
      <alignment horizontal="right"/>
    </xf>
    <xf numFmtId="0" fontId="3" fillId="16" borderId="0" xfId="0" applyFont="1" applyFill="1"/>
    <xf numFmtId="0" fontId="2" fillId="2" borderId="1" xfId="0" applyFont="1" applyFill="1" applyBorder="1" applyAlignment="1">
      <alignment vertical="top"/>
    </xf>
    <xf numFmtId="0" fontId="3" fillId="0" borderId="1" xfId="0" applyFont="1" applyBorder="1" applyAlignment="1">
      <alignment horizontal="center"/>
    </xf>
    <xf numFmtId="4" fontId="2" fillId="0" borderId="1" xfId="0" applyNumberFormat="1" applyFont="1" applyBorder="1" applyAlignment="1"/>
    <xf numFmtId="0" fontId="3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/>
    <xf numFmtId="0" fontId="37" fillId="3" borderId="1" xfId="0" applyFont="1" applyFill="1" applyBorder="1" applyAlignment="1">
      <alignment horizontal="center"/>
    </xf>
    <xf numFmtId="0" fontId="38" fillId="3" borderId="6" xfId="0" applyFont="1" applyFill="1" applyBorder="1" applyAlignment="1">
      <alignment horizontal="center"/>
    </xf>
    <xf numFmtId="0" fontId="37" fillId="3" borderId="6" xfId="0" applyFont="1" applyFill="1" applyBorder="1" applyAlignment="1">
      <alignment horizontal="center"/>
    </xf>
    <xf numFmtId="0" fontId="23" fillId="3" borderId="0" xfId="0" applyFont="1" applyFill="1" applyAlignment="1">
      <alignment horizontal="center"/>
    </xf>
    <xf numFmtId="0" fontId="23" fillId="3" borderId="1" xfId="0" applyFont="1" applyFill="1" applyBorder="1" applyAlignment="1">
      <alignment horizontal="center"/>
    </xf>
    <xf numFmtId="0" fontId="23" fillId="3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19" borderId="1" xfId="0" applyFont="1" applyFill="1" applyBorder="1" applyAlignment="1">
      <alignment horizontal="center"/>
    </xf>
    <xf numFmtId="0" fontId="2" fillId="19" borderId="1" xfId="0" applyFont="1" applyFill="1" applyBorder="1" applyAlignment="1"/>
    <xf numFmtId="0" fontId="4" fillId="19" borderId="1" xfId="0" applyFont="1" applyFill="1" applyBorder="1" applyAlignment="1"/>
    <xf numFmtId="4" fontId="4" fillId="19" borderId="1" xfId="0" applyNumberFormat="1" applyFont="1" applyFill="1" applyBorder="1" applyAlignment="1">
      <alignment horizontal="center"/>
    </xf>
    <xf numFmtId="0" fontId="2" fillId="19" borderId="1" xfId="0" applyFont="1" applyFill="1" applyBorder="1" applyAlignment="1">
      <alignment vertical="top"/>
    </xf>
    <xf numFmtId="4" fontId="3" fillId="19" borderId="1" xfId="0" applyNumberFormat="1" applyFont="1" applyFill="1" applyBorder="1" applyAlignment="1">
      <alignment horizontal="center"/>
    </xf>
    <xf numFmtId="4" fontId="3" fillId="19" borderId="1" xfId="0" applyNumberFormat="1" applyFont="1" applyFill="1" applyBorder="1"/>
    <xf numFmtId="0" fontId="3" fillId="19" borderId="1" xfId="0" applyFont="1" applyFill="1" applyBorder="1"/>
    <xf numFmtId="0" fontId="3" fillId="19" borderId="0" xfId="0" applyFont="1" applyFill="1"/>
    <xf numFmtId="0" fontId="2" fillId="8" borderId="1" xfId="0" applyFont="1" applyFill="1" applyBorder="1" applyAlignment="1">
      <alignment vertical="top"/>
    </xf>
    <xf numFmtId="4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/>
    <xf numFmtId="0" fontId="2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center"/>
    </xf>
    <xf numFmtId="4" fontId="6" fillId="0" borderId="1" xfId="0" applyNumberFormat="1" applyFont="1" applyBorder="1"/>
    <xf numFmtId="0" fontId="26" fillId="0" borderId="1" xfId="0" applyFont="1" applyBorder="1" applyAlignment="1">
      <alignment horizontal="left" wrapText="1"/>
    </xf>
    <xf numFmtId="0" fontId="2" fillId="9" borderId="1" xfId="0" applyFont="1" applyFill="1" applyBorder="1" applyAlignment="1">
      <alignment vertical="top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4" fontId="6" fillId="0" borderId="1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wrapText="1"/>
    </xf>
    <xf numFmtId="4" fontId="3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  <xf numFmtId="4" fontId="3" fillId="2" borderId="1" xfId="0" applyNumberFormat="1" applyFont="1" applyFill="1" applyBorder="1" applyAlignment="1">
      <alignment horizontal="center"/>
    </xf>
    <xf numFmtId="4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/>
    <xf numFmtId="0" fontId="39" fillId="2" borderId="1" xfId="0" applyFont="1" applyFill="1" applyBorder="1" applyAlignment="1"/>
    <xf numFmtId="4" fontId="3" fillId="2" borderId="1" xfId="0" applyNumberFormat="1" applyFont="1" applyFill="1" applyBorder="1" applyAlignment="1">
      <alignment horizontal="center"/>
    </xf>
    <xf numFmtId="0" fontId="40" fillId="2" borderId="0" xfId="0" applyFont="1" applyFill="1" applyAlignment="1"/>
    <xf numFmtId="0" fontId="40" fillId="2" borderId="1" xfId="0" applyFont="1" applyFill="1" applyBorder="1" applyAlignment="1"/>
    <xf numFmtId="4" fontId="41" fillId="2" borderId="1" xfId="0" applyNumberFormat="1" applyFont="1" applyFill="1" applyBorder="1" applyAlignment="1">
      <alignment horizontal="right"/>
    </xf>
    <xf numFmtId="0" fontId="41" fillId="2" borderId="1" xfId="0" applyFont="1" applyFill="1" applyBorder="1" applyAlignment="1"/>
    <xf numFmtId="0" fontId="29" fillId="2" borderId="1" xfId="0" applyFont="1" applyFill="1" applyBorder="1" applyAlignment="1"/>
    <xf numFmtId="4" fontId="39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4" fontId="42" fillId="2" borderId="1" xfId="0" applyNumberFormat="1" applyFont="1" applyFill="1" applyBorder="1" applyAlignment="1">
      <alignment horizontal="right"/>
    </xf>
    <xf numFmtId="0" fontId="42" fillId="2" borderId="1" xfId="0" applyFont="1" applyFill="1" applyBorder="1" applyAlignment="1">
      <alignment wrapText="1"/>
    </xf>
    <xf numFmtId="4" fontId="8" fillId="2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4" fontId="3" fillId="2" borderId="1" xfId="0" applyNumberFormat="1" applyFont="1" applyFill="1" applyBorder="1"/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4" fontId="43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4" fontId="27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" fontId="44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46" fillId="0" borderId="0" xfId="0" applyFont="1" applyAlignment="1"/>
    <xf numFmtId="0" fontId="2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9" fillId="0" borderId="0" xfId="0" applyFont="1"/>
    <xf numFmtId="0" fontId="8" fillId="0" borderId="0" xfId="0" applyFont="1"/>
    <xf numFmtId="4" fontId="8" fillId="0" borderId="0" xfId="0" applyNumberFormat="1" applyFont="1"/>
    <xf numFmtId="0" fontId="8" fillId="0" borderId="0" xfId="0" applyFont="1" applyAlignment="1">
      <alignment horizontal="center"/>
    </xf>
    <xf numFmtId="0" fontId="46" fillId="0" borderId="1" xfId="0" applyFont="1" applyBorder="1" applyAlignment="1"/>
    <xf numFmtId="4" fontId="46" fillId="0" borderId="1" xfId="0" applyNumberFormat="1" applyFont="1" applyBorder="1" applyAlignment="1"/>
    <xf numFmtId="4" fontId="46" fillId="0" borderId="1" xfId="0" applyNumberFormat="1" applyFont="1" applyBorder="1" applyAlignment="1"/>
    <xf numFmtId="0" fontId="29" fillId="0" borderId="0" xfId="0" applyFont="1" applyAlignment="1">
      <alignment horizontal="center"/>
    </xf>
    <xf numFmtId="4" fontId="8" fillId="0" borderId="0" xfId="0" applyNumberFormat="1" applyFont="1" applyAlignment="1">
      <alignment horizontal="center"/>
    </xf>
    <xf numFmtId="0" fontId="29" fillId="0" borderId="0" xfId="0" applyFont="1" applyAlignment="1"/>
    <xf numFmtId="0" fontId="8" fillId="0" borderId="0" xfId="0" applyFont="1" applyAlignment="1"/>
    <xf numFmtId="0" fontId="46" fillId="3" borderId="1" xfId="0" applyFont="1" applyFill="1" applyBorder="1" applyAlignment="1"/>
    <xf numFmtId="0" fontId="29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29" fillId="3" borderId="0" xfId="0" applyFont="1" applyFill="1"/>
    <xf numFmtId="0" fontId="8" fillId="3" borderId="0" xfId="0" applyFont="1" applyFill="1"/>
    <xf numFmtId="4" fontId="8" fillId="3" borderId="0" xfId="0" applyNumberFormat="1" applyFont="1" applyFill="1"/>
    <xf numFmtId="0" fontId="47" fillId="3" borderId="4" xfId="0" applyFont="1" applyFill="1" applyBorder="1" applyAlignment="1">
      <alignment horizontal="center"/>
    </xf>
    <xf numFmtId="0" fontId="47" fillId="3" borderId="5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47" fillId="3" borderId="1" xfId="0" applyFont="1" applyFill="1" applyBorder="1" applyAlignment="1">
      <alignment horizontal="center" wrapText="1"/>
    </xf>
    <xf numFmtId="0" fontId="47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0" fontId="38" fillId="3" borderId="1" xfId="0" applyFont="1" applyFill="1" applyBorder="1" applyAlignment="1">
      <alignment horizontal="center"/>
    </xf>
    <xf numFmtId="0" fontId="38" fillId="3" borderId="6" xfId="0" applyFont="1" applyFill="1" applyBorder="1" applyAlignment="1">
      <alignment horizontal="center" wrapText="1"/>
    </xf>
    <xf numFmtId="0" fontId="23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3" fillId="3" borderId="6" xfId="0" applyFont="1" applyFill="1" applyBorder="1" applyAlignment="1">
      <alignment horizontal="center" wrapText="1"/>
    </xf>
    <xf numFmtId="4" fontId="23" fillId="3" borderId="0" xfId="0" applyNumberFormat="1" applyFont="1" applyFill="1" applyAlignment="1">
      <alignment horizontal="center"/>
    </xf>
    <xf numFmtId="0" fontId="46" fillId="3" borderId="1" xfId="0" applyFont="1" applyFill="1" applyBorder="1" applyAlignment="1">
      <alignment horizontal="center"/>
    </xf>
    <xf numFmtId="0" fontId="29" fillId="3" borderId="1" xfId="0" applyFont="1" applyFill="1" applyBorder="1" applyAlignment="1">
      <alignment horizontal="center"/>
    </xf>
    <xf numFmtId="0" fontId="29" fillId="3" borderId="1" xfId="0" applyFont="1" applyFill="1" applyBorder="1"/>
    <xf numFmtId="0" fontId="8" fillId="3" borderId="1" xfId="0" applyFont="1" applyFill="1" applyBorder="1"/>
    <xf numFmtId="0" fontId="45" fillId="0" borderId="1" xfId="0" applyFont="1" applyBorder="1" applyAlignment="1">
      <alignment horizontal="center"/>
    </xf>
    <xf numFmtId="4" fontId="47" fillId="0" borderId="1" xfId="0" applyNumberFormat="1" applyFont="1" applyBorder="1" applyAlignment="1">
      <alignment horizontal="center" vertical="center"/>
    </xf>
    <xf numFmtId="0" fontId="46" fillId="0" borderId="1" xfId="0" applyFont="1" applyBorder="1" applyAlignment="1">
      <alignment vertical="center"/>
    </xf>
    <xf numFmtId="4" fontId="2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" fontId="29" fillId="0" borderId="1" xfId="0" applyNumberFormat="1" applyFont="1" applyBorder="1"/>
    <xf numFmtId="4" fontId="8" fillId="0" borderId="1" xfId="0" applyNumberFormat="1" applyFont="1" applyBorder="1"/>
    <xf numFmtId="0" fontId="8" fillId="0" borderId="1" xfId="0" applyFont="1" applyBorder="1"/>
    <xf numFmtId="0" fontId="45" fillId="3" borderId="1" xfId="0" applyFont="1" applyFill="1" applyBorder="1" applyAlignment="1">
      <alignment vertical="top" wrapText="1"/>
    </xf>
    <xf numFmtId="4" fontId="47" fillId="3" borderId="1" xfId="0" applyNumberFormat="1" applyFont="1" applyFill="1" applyBorder="1" applyAlignment="1">
      <alignment horizontal="center" vertical="center"/>
    </xf>
    <xf numFmtId="0" fontId="46" fillId="3" borderId="1" xfId="0" applyFont="1" applyFill="1" applyBorder="1" applyAlignment="1">
      <alignment vertical="center"/>
    </xf>
    <xf numFmtId="4" fontId="29" fillId="3" borderId="1" xfId="0" applyNumberFormat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" fontId="29" fillId="3" borderId="1" xfId="0" applyNumberFormat="1" applyFont="1" applyFill="1" applyBorder="1"/>
    <xf numFmtId="4" fontId="8" fillId="3" borderId="1" xfId="0" applyNumberFormat="1" applyFont="1" applyFill="1" applyBorder="1"/>
    <xf numFmtId="0" fontId="46" fillId="4" borderId="1" xfId="0" applyFont="1" applyFill="1" applyBorder="1" applyAlignment="1"/>
    <xf numFmtId="0" fontId="45" fillId="4" borderId="1" xfId="0" applyFont="1" applyFill="1" applyBorder="1" applyAlignment="1">
      <alignment horizontal="center"/>
    </xf>
    <xf numFmtId="0" fontId="45" fillId="4" borderId="1" xfId="0" applyFont="1" applyFill="1" applyBorder="1" applyAlignment="1">
      <alignment vertical="top" wrapText="1"/>
    </xf>
    <xf numFmtId="4" fontId="47" fillId="4" borderId="1" xfId="0" applyNumberFormat="1" applyFont="1" applyFill="1" applyBorder="1" applyAlignment="1">
      <alignment horizontal="center" vertical="center"/>
    </xf>
    <xf numFmtId="0" fontId="46" fillId="4" borderId="1" xfId="0" applyFont="1" applyFill="1" applyBorder="1" applyAlignment="1">
      <alignment vertical="center"/>
    </xf>
    <xf numFmtId="4" fontId="29" fillId="4" borderId="1" xfId="0" applyNumberFormat="1" applyFont="1" applyFill="1" applyBorder="1" applyAlignment="1">
      <alignment horizontal="center" vertical="center"/>
    </xf>
    <xf numFmtId="4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4" fontId="29" fillId="4" borderId="1" xfId="0" applyNumberFormat="1" applyFont="1" applyFill="1" applyBorder="1"/>
    <xf numFmtId="4" fontId="8" fillId="4" borderId="1" xfId="0" applyNumberFormat="1" applyFont="1" applyFill="1" applyBorder="1"/>
    <xf numFmtId="0" fontId="8" fillId="4" borderId="1" xfId="0" applyFont="1" applyFill="1" applyBorder="1"/>
    <xf numFmtId="4" fontId="8" fillId="4" borderId="0" xfId="0" applyNumberFormat="1" applyFont="1" applyFill="1"/>
    <xf numFmtId="4" fontId="6" fillId="4" borderId="0" xfId="0" applyNumberFormat="1" applyFont="1" applyFill="1"/>
    <xf numFmtId="0" fontId="46" fillId="0" borderId="1" xfId="0" applyFont="1" applyBorder="1" applyAlignment="1">
      <alignment wrapText="1"/>
    </xf>
    <xf numFmtId="4" fontId="46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2" fontId="8" fillId="0" borderId="0" xfId="0" applyNumberFormat="1" applyFont="1"/>
    <xf numFmtId="164" fontId="8" fillId="0" borderId="0" xfId="0" applyNumberFormat="1" applyFont="1"/>
    <xf numFmtId="0" fontId="46" fillId="2" borderId="1" xfId="0" applyFont="1" applyFill="1" applyBorder="1" applyAlignment="1">
      <alignment vertical="center"/>
    </xf>
    <xf numFmtId="4" fontId="3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/>
    <xf numFmtId="0" fontId="47" fillId="0" borderId="1" xfId="0" applyFont="1" applyBorder="1" applyAlignment="1">
      <alignment horizontal="center"/>
    </xf>
    <xf numFmtId="0" fontId="46" fillId="0" borderId="1" xfId="0" applyFont="1" applyBorder="1" applyAlignment="1">
      <alignment vertical="top" wrapText="1"/>
    </xf>
    <xf numFmtId="0" fontId="47" fillId="4" borderId="1" xfId="0" applyFont="1" applyFill="1" applyBorder="1" applyAlignment="1">
      <alignment horizontal="center"/>
    </xf>
    <xf numFmtId="0" fontId="47" fillId="4" borderId="1" xfId="0" applyFont="1" applyFill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41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10" borderId="1" xfId="0" applyFont="1" applyFill="1" applyBorder="1" applyAlignment="1">
      <alignment wrapText="1"/>
    </xf>
    <xf numFmtId="4" fontId="29" fillId="0" borderId="1" xfId="0" applyNumberFormat="1" applyFont="1" applyBorder="1" applyAlignment="1">
      <alignment horizontal="center" vertical="center" wrapText="1"/>
    </xf>
    <xf numFmtId="4" fontId="29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2" fontId="39" fillId="0" borderId="0" xfId="0" applyNumberFormat="1" applyFont="1"/>
    <xf numFmtId="4" fontId="47" fillId="0" borderId="1" xfId="0" applyNumberFormat="1" applyFont="1" applyBorder="1" applyAlignment="1">
      <alignment horizontal="center"/>
    </xf>
    <xf numFmtId="0" fontId="46" fillId="2" borderId="1" xfId="0" applyFont="1" applyFill="1" applyBorder="1" applyAlignment="1">
      <alignment vertical="top"/>
    </xf>
    <xf numFmtId="4" fontId="29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46" fillId="0" borderId="1" xfId="0" applyFont="1" applyBorder="1" applyAlignment="1">
      <alignment vertical="center" wrapText="1"/>
    </xf>
    <xf numFmtId="0" fontId="29" fillId="20" borderId="1" xfId="0" applyFont="1" applyFill="1" applyBorder="1" applyAlignment="1">
      <alignment vertical="center"/>
    </xf>
    <xf numFmtId="2" fontId="8" fillId="0" borderId="0" xfId="0" applyNumberFormat="1" applyFont="1" applyAlignment="1">
      <alignment vertical="center"/>
    </xf>
    <xf numFmtId="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45" fillId="4" borderId="1" xfId="0" applyFont="1" applyFill="1" applyBorder="1" applyAlignment="1">
      <alignment vertical="top"/>
    </xf>
    <xf numFmtId="4" fontId="47" fillId="4" borderId="1" xfId="0" applyNumberFormat="1" applyFont="1" applyFill="1" applyBorder="1" applyAlignment="1">
      <alignment horizontal="center"/>
    </xf>
    <xf numFmtId="0" fontId="46" fillId="4" borderId="1" xfId="0" applyFont="1" applyFill="1" applyBorder="1" applyAlignment="1">
      <alignment vertical="top"/>
    </xf>
    <xf numFmtId="4" fontId="29" fillId="4" borderId="1" xfId="0" applyNumberFormat="1" applyFont="1" applyFill="1" applyBorder="1" applyAlignment="1">
      <alignment horizontal="center"/>
    </xf>
    <xf numFmtId="4" fontId="8" fillId="4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4" fontId="6" fillId="3" borderId="0" xfId="0" applyNumberFormat="1" applyFont="1" applyFill="1"/>
    <xf numFmtId="0" fontId="46" fillId="0" borderId="1" xfId="0" applyFont="1" applyBorder="1" applyAlignment="1"/>
    <xf numFmtId="0" fontId="39" fillId="0" borderId="1" xfId="0" applyFont="1" applyBorder="1" applyAlignment="1"/>
    <xf numFmtId="0" fontId="29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29" fillId="0" borderId="1" xfId="0" applyFont="1" applyBorder="1"/>
    <xf numFmtId="4" fontId="8" fillId="20" borderId="1" xfId="0" applyNumberFormat="1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vertical="center"/>
    </xf>
    <xf numFmtId="0" fontId="46" fillId="2" borderId="1" xfId="0" applyFont="1" applyFill="1" applyBorder="1" applyAlignment="1"/>
    <xf numFmtId="0" fontId="47" fillId="19" borderId="1" xfId="0" applyFont="1" applyFill="1" applyBorder="1" applyAlignment="1">
      <alignment horizontal="center"/>
    </xf>
    <xf numFmtId="0" fontId="46" fillId="19" borderId="1" xfId="0" applyFont="1" applyFill="1" applyBorder="1" applyAlignment="1"/>
    <xf numFmtId="0" fontId="47" fillId="19" borderId="1" xfId="0" applyFont="1" applyFill="1" applyBorder="1" applyAlignment="1"/>
    <xf numFmtId="4" fontId="47" fillId="19" borderId="1" xfId="0" applyNumberFormat="1" applyFont="1" applyFill="1" applyBorder="1" applyAlignment="1">
      <alignment horizontal="center" vertical="center"/>
    </xf>
    <xf numFmtId="0" fontId="46" fillId="19" borderId="1" xfId="0" applyFont="1" applyFill="1" applyBorder="1" applyAlignment="1">
      <alignment vertical="center"/>
    </xf>
    <xf numFmtId="4" fontId="29" fillId="19" borderId="1" xfId="0" applyNumberFormat="1" applyFont="1" applyFill="1" applyBorder="1" applyAlignment="1">
      <alignment horizontal="center" vertical="center"/>
    </xf>
    <xf numFmtId="4" fontId="8" fillId="19" borderId="1" xfId="0" applyNumberFormat="1" applyFont="1" applyFill="1" applyBorder="1" applyAlignment="1">
      <alignment horizontal="center" vertical="center"/>
    </xf>
    <xf numFmtId="0" fontId="8" fillId="19" borderId="1" xfId="0" applyFont="1" applyFill="1" applyBorder="1" applyAlignment="1">
      <alignment horizontal="center" vertical="center"/>
    </xf>
    <xf numFmtId="0" fontId="8" fillId="19" borderId="1" xfId="0" applyFont="1" applyFill="1" applyBorder="1" applyAlignment="1">
      <alignment horizontal="center"/>
    </xf>
    <xf numFmtId="4" fontId="29" fillId="19" borderId="1" xfId="0" applyNumberFormat="1" applyFont="1" applyFill="1" applyBorder="1"/>
    <xf numFmtId="4" fontId="8" fillId="19" borderId="1" xfId="0" applyNumberFormat="1" applyFont="1" applyFill="1" applyBorder="1"/>
    <xf numFmtId="0" fontId="8" fillId="19" borderId="1" xfId="0" applyFont="1" applyFill="1" applyBorder="1"/>
    <xf numFmtId="4" fontId="8" fillId="19" borderId="0" xfId="0" applyNumberFormat="1" applyFont="1" applyFill="1"/>
    <xf numFmtId="4" fontId="3" fillId="19" borderId="0" xfId="0" applyNumberFormat="1" applyFont="1" applyFill="1"/>
    <xf numFmtId="0" fontId="8" fillId="19" borderId="0" xfId="0" applyFont="1" applyFill="1"/>
    <xf numFmtId="0" fontId="46" fillId="8" borderId="1" xfId="0" applyFont="1" applyFill="1" applyBorder="1" applyAlignment="1"/>
    <xf numFmtId="0" fontId="46" fillId="8" borderId="1" xfId="0" applyFont="1" applyFill="1" applyBorder="1" applyAlignment="1">
      <alignment horizontal="center"/>
    </xf>
    <xf numFmtId="0" fontId="46" fillId="8" borderId="1" xfId="0" applyFont="1" applyFill="1" applyBorder="1" applyAlignment="1">
      <alignment wrapText="1"/>
    </xf>
    <xf numFmtId="4" fontId="47" fillId="8" borderId="1" xfId="0" applyNumberFormat="1" applyFont="1" applyFill="1" applyBorder="1" applyAlignment="1">
      <alignment horizontal="center" vertical="center"/>
    </xf>
    <xf numFmtId="0" fontId="46" fillId="8" borderId="1" xfId="0" applyFont="1" applyFill="1" applyBorder="1" applyAlignment="1">
      <alignment vertical="center"/>
    </xf>
    <xf numFmtId="4" fontId="29" fillId="8" borderId="1" xfId="0" applyNumberFormat="1" applyFont="1" applyFill="1" applyBorder="1" applyAlignment="1">
      <alignment horizontal="center" vertical="center"/>
    </xf>
    <xf numFmtId="4" fontId="8" fillId="8" borderId="1" xfId="0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/>
    </xf>
    <xf numFmtId="4" fontId="29" fillId="8" borderId="1" xfId="0" applyNumberFormat="1" applyFont="1" applyFill="1" applyBorder="1"/>
    <xf numFmtId="4" fontId="8" fillId="8" borderId="1" xfId="0" applyNumberFormat="1" applyFont="1" applyFill="1" applyBorder="1"/>
    <xf numFmtId="0" fontId="8" fillId="8" borderId="1" xfId="0" applyFont="1" applyFill="1" applyBorder="1"/>
    <xf numFmtId="4" fontId="8" fillId="8" borderId="0" xfId="0" applyNumberFormat="1" applyFont="1" applyFill="1"/>
    <xf numFmtId="4" fontId="6" fillId="8" borderId="0" xfId="0" applyNumberFormat="1" applyFont="1" applyFill="1"/>
    <xf numFmtId="0" fontId="8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wrapText="1"/>
    </xf>
    <xf numFmtId="0" fontId="46" fillId="2" borderId="1" xfId="0" applyFont="1" applyFill="1" applyBorder="1" applyAlignment="1">
      <alignment horizontal="center" vertical="center"/>
    </xf>
    <xf numFmtId="0" fontId="48" fillId="0" borderId="1" xfId="0" applyFont="1" applyBorder="1" applyAlignment="1">
      <alignment horizontal="left" wrapText="1"/>
    </xf>
    <xf numFmtId="0" fontId="45" fillId="9" borderId="1" xfId="0" applyFont="1" applyFill="1" applyBorder="1" applyAlignment="1">
      <alignment horizontal="center"/>
    </xf>
    <xf numFmtId="0" fontId="46" fillId="9" borderId="1" xfId="0" applyFont="1" applyFill="1" applyBorder="1" applyAlignment="1"/>
    <xf numFmtId="0" fontId="47" fillId="9" borderId="1" xfId="0" applyFont="1" applyFill="1" applyBorder="1" applyAlignment="1">
      <alignment wrapText="1"/>
    </xf>
    <xf numFmtId="4" fontId="47" fillId="9" borderId="1" xfId="0" applyNumberFormat="1" applyFont="1" applyFill="1" applyBorder="1" applyAlignment="1">
      <alignment horizontal="center" vertical="center"/>
    </xf>
    <xf numFmtId="0" fontId="46" fillId="9" borderId="1" xfId="0" applyFont="1" applyFill="1" applyBorder="1" applyAlignment="1">
      <alignment vertical="center"/>
    </xf>
    <xf numFmtId="4" fontId="29" fillId="9" borderId="1" xfId="0" applyNumberFormat="1" applyFont="1" applyFill="1" applyBorder="1" applyAlignment="1">
      <alignment horizontal="center" vertical="center"/>
    </xf>
    <xf numFmtId="4" fontId="8" fillId="9" borderId="1" xfId="0" applyNumberFormat="1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/>
    </xf>
    <xf numFmtId="4" fontId="29" fillId="9" borderId="1" xfId="0" applyNumberFormat="1" applyFont="1" applyFill="1" applyBorder="1"/>
    <xf numFmtId="4" fontId="8" fillId="9" borderId="1" xfId="0" applyNumberFormat="1" applyFont="1" applyFill="1" applyBorder="1"/>
    <xf numFmtId="0" fontId="8" fillId="9" borderId="1" xfId="0" applyFont="1" applyFill="1" applyBorder="1"/>
    <xf numFmtId="0" fontId="8" fillId="9" borderId="0" xfId="0" applyFont="1" applyFill="1"/>
    <xf numFmtId="4" fontId="6" fillId="9" borderId="0" xfId="0" applyNumberFormat="1" applyFont="1" applyFill="1"/>
    <xf numFmtId="0" fontId="8" fillId="0" borderId="0" xfId="0" applyFont="1" applyAlignment="1">
      <alignment wrapText="1"/>
    </xf>
    <xf numFmtId="0" fontId="29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29" fillId="0" borderId="0" xfId="0" applyFont="1" applyAlignment="1">
      <alignment wrapText="1"/>
    </xf>
    <xf numFmtId="0" fontId="38" fillId="3" borderId="1" xfId="0" applyFont="1" applyFill="1" applyBorder="1" applyAlignment="1">
      <alignment horizontal="center" wrapText="1"/>
    </xf>
    <xf numFmtId="4" fontId="23" fillId="3" borderId="1" xfId="0" applyNumberFormat="1" applyFont="1" applyFill="1" applyBorder="1" applyAlignment="1">
      <alignment horizontal="center" wrapText="1"/>
    </xf>
    <xf numFmtId="0" fontId="49" fillId="0" borderId="5" xfId="0" applyFont="1" applyBorder="1" applyAlignment="1">
      <alignment wrapText="1"/>
    </xf>
    <xf numFmtId="0" fontId="49" fillId="0" borderId="6" xfId="0" applyFont="1" applyBorder="1" applyAlignment="1">
      <alignment wrapText="1"/>
    </xf>
    <xf numFmtId="4" fontId="49" fillId="0" borderId="1" xfId="0" applyNumberFormat="1" applyFont="1" applyBorder="1"/>
    <xf numFmtId="0" fontId="50" fillId="0" borderId="4" xfId="0" applyFont="1" applyBorder="1" applyAlignment="1">
      <alignment horizontal="center" wrapText="1"/>
    </xf>
    <xf numFmtId="0" fontId="51" fillId="0" borderId="5" xfId="0" applyFont="1" applyBorder="1" applyAlignment="1">
      <alignment horizontal="center"/>
    </xf>
    <xf numFmtId="4" fontId="49" fillId="0" borderId="5" xfId="0" applyNumberFormat="1" applyFont="1" applyBorder="1" applyAlignment="1">
      <alignment wrapText="1"/>
    </xf>
    <xf numFmtId="0" fontId="51" fillId="0" borderId="5" xfId="0" applyFont="1" applyBorder="1" applyAlignment="1"/>
    <xf numFmtId="0" fontId="51" fillId="0" borderId="6" xfId="0" applyFont="1" applyBorder="1" applyAlignment="1"/>
    <xf numFmtId="4" fontId="51" fillId="0" borderId="1" xfId="0" applyNumberFormat="1" applyFont="1" applyBorder="1"/>
    <xf numFmtId="0" fontId="51" fillId="0" borderId="5" xfId="0" applyFont="1" applyBorder="1" applyAlignment="1">
      <alignment horizontal="center" wrapText="1"/>
    </xf>
    <xf numFmtId="0" fontId="51" fillId="0" borderId="5" xfId="0" applyFont="1" applyBorder="1" applyAlignment="1">
      <alignment wrapText="1"/>
    </xf>
    <xf numFmtId="0" fontId="51" fillId="0" borderId="6" xfId="0" applyFont="1" applyBorder="1" applyAlignment="1">
      <alignment wrapText="1"/>
    </xf>
    <xf numFmtId="0" fontId="29" fillId="0" borderId="1" xfId="0" applyFont="1" applyBorder="1" applyAlignment="1">
      <alignment horizontal="center"/>
    </xf>
    <xf numFmtId="4" fontId="29" fillId="0" borderId="0" xfId="0" applyNumberFormat="1" applyFont="1"/>
    <xf numFmtId="4" fontId="2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4" fontId="2" fillId="21" borderId="1" xfId="0" applyNumberFormat="1" applyFont="1" applyFill="1" applyBorder="1" applyAlignment="1">
      <alignment horizontal="center" vertical="top"/>
    </xf>
    <xf numFmtId="2" fontId="4" fillId="4" borderId="1" xfId="0" applyNumberFormat="1" applyFont="1" applyFill="1" applyBorder="1" applyAlignment="1">
      <alignment horizontal="center"/>
    </xf>
    <xf numFmtId="0" fontId="2" fillId="21" borderId="1" xfId="0" applyFont="1" applyFill="1" applyBorder="1" applyAlignment="1">
      <alignment vertical="top"/>
    </xf>
    <xf numFmtId="2" fontId="4" fillId="3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 vertical="top"/>
    </xf>
    <xf numFmtId="4" fontId="2" fillId="2" borderId="1" xfId="0" applyNumberFormat="1" applyFont="1" applyFill="1" applyBorder="1" applyAlignment="1">
      <alignment horizontal="center" vertical="top"/>
    </xf>
    <xf numFmtId="0" fontId="27" fillId="2" borderId="0" xfId="0" applyFont="1" applyFill="1" applyAlignment="1"/>
    <xf numFmtId="4" fontId="4" fillId="3" borderId="1" xfId="0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4" fontId="4" fillId="5" borderId="1" xfId="0" applyNumberFormat="1" applyFont="1" applyFill="1" applyBorder="1" applyAlignment="1">
      <alignment horizontal="center" vertical="top"/>
    </xf>
    <xf numFmtId="0" fontId="2" fillId="5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4" fontId="4" fillId="7" borderId="1" xfId="0" applyNumberFormat="1" applyFont="1" applyFill="1" applyBorder="1" applyAlignment="1">
      <alignment horizontal="center" vertical="top"/>
    </xf>
    <xf numFmtId="0" fontId="2" fillId="7" borderId="1" xfId="0" applyFont="1" applyFill="1" applyBorder="1" applyAlignment="1">
      <alignment vertical="top"/>
    </xf>
    <xf numFmtId="4" fontId="2" fillId="8" borderId="1" xfId="0" applyNumberFormat="1" applyFont="1" applyFill="1" applyBorder="1" applyAlignment="1">
      <alignment horizontal="center" vertical="top"/>
    </xf>
    <xf numFmtId="0" fontId="1" fillId="9" borderId="1" xfId="0" applyFont="1" applyFill="1" applyBorder="1" applyAlignment="1">
      <alignment horizontal="center"/>
    </xf>
    <xf numFmtId="4" fontId="4" fillId="9" borderId="1" xfId="0" applyNumberFormat="1" applyFont="1" applyFill="1" applyBorder="1" applyAlignment="1">
      <alignment horizontal="center" vertical="top"/>
    </xf>
    <xf numFmtId="0" fontId="6" fillId="16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4" fontId="8" fillId="0" borderId="1" xfId="0" applyNumberFormat="1" applyFont="1" applyBorder="1" applyAlignment="1"/>
    <xf numFmtId="4" fontId="39" fillId="0" borderId="1" xfId="0" applyNumberFormat="1" applyFont="1" applyBorder="1"/>
    <xf numFmtId="0" fontId="39" fillId="0" borderId="1" xfId="0" applyFont="1" applyBorder="1" applyAlignment="1">
      <alignment wrapText="1"/>
    </xf>
    <xf numFmtId="4" fontId="3" fillId="0" borderId="1" xfId="0" applyNumberFormat="1" applyFont="1" applyBorder="1" applyAlignment="1"/>
    <xf numFmtId="164" fontId="6" fillId="0" borderId="0" xfId="0" applyNumberFormat="1" applyFont="1" applyAlignment="1"/>
    <xf numFmtId="0" fontId="52" fillId="2" borderId="0" xfId="0" applyFont="1" applyFill="1" applyAlignment="1">
      <alignment vertical="top"/>
    </xf>
    <xf numFmtId="0" fontId="53" fillId="2" borderId="0" xfId="0" applyFont="1" applyFill="1" applyAlignment="1">
      <alignment horizontal="center" vertical="top"/>
    </xf>
    <xf numFmtId="0" fontId="52" fillId="2" borderId="0" xfId="0" applyFont="1" applyFill="1" applyAlignment="1">
      <alignment horizontal="center" vertical="top"/>
    </xf>
    <xf numFmtId="0" fontId="53" fillId="2" borderId="0" xfId="0" applyFont="1" applyFill="1" applyAlignment="1">
      <alignment horizontal="left" vertical="top"/>
    </xf>
    <xf numFmtId="0" fontId="53" fillId="2" borderId="0" xfId="0" applyFont="1" applyFill="1" applyAlignment="1">
      <alignment horizontal="left" vertical="top"/>
    </xf>
    <xf numFmtId="0" fontId="53" fillId="2" borderId="0" xfId="0" applyFont="1" applyFill="1" applyAlignment="1">
      <alignment vertical="top"/>
    </xf>
    <xf numFmtId="0" fontId="53" fillId="2" borderId="0" xfId="0" applyFont="1" applyFill="1" applyAlignment="1">
      <alignment vertical="top"/>
    </xf>
    <xf numFmtId="0" fontId="54" fillId="0" borderId="0" xfId="0" applyFont="1" applyAlignment="1">
      <alignment horizontal="right" vertical="top"/>
    </xf>
    <xf numFmtId="0" fontId="54" fillId="0" borderId="0" xfId="0" applyFont="1" applyAlignment="1">
      <alignment horizontal="center" vertical="top"/>
    </xf>
    <xf numFmtId="0" fontId="30" fillId="0" borderId="0" xfId="0" applyFont="1" applyAlignment="1">
      <alignment vertical="top"/>
    </xf>
    <xf numFmtId="0" fontId="9" fillId="2" borderId="9" xfId="0" applyFont="1" applyFill="1" applyBorder="1" applyAlignment="1">
      <alignment horizontal="center" vertical="top"/>
    </xf>
    <xf numFmtId="0" fontId="48" fillId="0" borderId="7" xfId="0" applyFont="1" applyBorder="1" applyAlignment="1">
      <alignment horizontal="center" vertical="top"/>
    </xf>
    <xf numFmtId="0" fontId="48" fillId="0" borderId="9" xfId="0" applyFont="1" applyBorder="1" applyAlignment="1">
      <alignment horizontal="center" vertical="top"/>
    </xf>
    <xf numFmtId="0" fontId="48" fillId="0" borderId="7" xfId="0" applyFont="1" applyBorder="1" applyAlignment="1">
      <alignment horizontal="center" vertical="top"/>
    </xf>
    <xf numFmtId="0" fontId="48" fillId="0" borderId="9" xfId="0" applyFont="1" applyBorder="1" applyAlignment="1">
      <alignment horizontal="center" vertical="top"/>
    </xf>
    <xf numFmtId="0" fontId="55" fillId="0" borderId="7" xfId="0" applyFont="1" applyBorder="1" applyAlignment="1">
      <alignment horizontal="left" vertical="top"/>
    </xf>
    <xf numFmtId="0" fontId="55" fillId="0" borderId="9" xfId="0" applyFont="1" applyBorder="1" applyAlignment="1">
      <alignment horizontal="center" vertical="top"/>
    </xf>
    <xf numFmtId="0" fontId="55" fillId="0" borderId="9" xfId="0" applyFont="1" applyBorder="1" applyAlignment="1">
      <alignment horizontal="left" vertical="top"/>
    </xf>
    <xf numFmtId="0" fontId="55" fillId="0" borderId="9" xfId="0" applyFont="1" applyBorder="1" applyAlignment="1">
      <alignment horizontal="left" vertical="top"/>
    </xf>
    <xf numFmtId="0" fontId="56" fillId="0" borderId="9" xfId="0" applyFont="1" applyBorder="1" applyAlignment="1">
      <alignment horizontal="center" vertical="top"/>
    </xf>
    <xf numFmtId="0" fontId="56" fillId="0" borderId="0" xfId="0" applyFont="1" applyAlignment="1">
      <alignment vertical="top"/>
    </xf>
    <xf numFmtId="0" fontId="55" fillId="22" borderId="7" xfId="0" applyFont="1" applyFill="1" applyBorder="1" applyAlignment="1">
      <alignment horizontal="left" vertical="top"/>
    </xf>
    <xf numFmtId="0" fontId="55" fillId="22" borderId="9" xfId="0" applyFont="1" applyFill="1" applyBorder="1" applyAlignment="1">
      <alignment horizontal="left" vertical="top"/>
    </xf>
    <xf numFmtId="0" fontId="55" fillId="22" borderId="9" xfId="0" applyFont="1" applyFill="1" applyBorder="1" applyAlignment="1">
      <alignment horizontal="left" vertical="top"/>
    </xf>
    <xf numFmtId="0" fontId="56" fillId="22" borderId="9" xfId="0" applyFont="1" applyFill="1" applyBorder="1" applyAlignment="1">
      <alignment horizontal="center" vertical="top"/>
    </xf>
    <xf numFmtId="0" fontId="55" fillId="10" borderId="7" xfId="0" applyFont="1" applyFill="1" applyBorder="1" applyAlignment="1">
      <alignment horizontal="center" vertical="top"/>
    </xf>
    <xf numFmtId="0" fontId="55" fillId="10" borderId="9" xfId="0" applyFont="1" applyFill="1" applyBorder="1" applyAlignment="1">
      <alignment horizontal="center" vertical="top"/>
    </xf>
    <xf numFmtId="0" fontId="55" fillId="10" borderId="9" xfId="0" applyFont="1" applyFill="1" applyBorder="1" applyAlignment="1">
      <alignment horizontal="center" vertical="top"/>
    </xf>
    <xf numFmtId="0" fontId="55" fillId="10" borderId="9" xfId="0" applyFont="1" applyFill="1" applyBorder="1" applyAlignment="1">
      <alignment vertical="top"/>
    </xf>
    <xf numFmtId="0" fontId="56" fillId="10" borderId="9" xfId="0" applyFont="1" applyFill="1" applyBorder="1" applyAlignment="1">
      <alignment horizontal="center" vertical="top"/>
    </xf>
    <xf numFmtId="0" fontId="56" fillId="0" borderId="0" xfId="0" applyFont="1" applyAlignment="1">
      <alignment horizontal="right" vertical="top"/>
    </xf>
    <xf numFmtId="0" fontId="9" fillId="0" borderId="7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9" fillId="0" borderId="9" xfId="0" applyFont="1" applyBorder="1" applyAlignment="1">
      <alignment vertical="top"/>
    </xf>
    <xf numFmtId="0" fontId="30" fillId="0" borderId="9" xfId="0" applyFont="1" applyBorder="1" applyAlignment="1">
      <alignment horizontal="center" vertical="top"/>
    </xf>
    <xf numFmtId="0" fontId="30" fillId="0" borderId="0" xfId="0" applyFont="1" applyAlignment="1">
      <alignment horizontal="right" vertical="top"/>
    </xf>
    <xf numFmtId="0" fontId="30" fillId="0" borderId="9" xfId="0" applyFont="1" applyBorder="1" applyAlignment="1">
      <alignment horizontal="center" vertical="top"/>
    </xf>
    <xf numFmtId="0" fontId="9" fillId="0" borderId="9" xfId="0" applyFont="1" applyBorder="1" applyAlignment="1">
      <alignment horizontal="left" vertical="top"/>
    </xf>
    <xf numFmtId="0" fontId="30" fillId="13" borderId="0" xfId="0" applyFont="1" applyFill="1" applyAlignment="1">
      <alignment vertical="top"/>
    </xf>
    <xf numFmtId="0" fontId="57" fillId="0" borderId="7" xfId="0" applyFont="1" applyBorder="1" applyAlignment="1">
      <alignment horizontal="center" vertical="top"/>
    </xf>
    <xf numFmtId="0" fontId="57" fillId="0" borderId="9" xfId="0" applyFont="1" applyBorder="1" applyAlignment="1">
      <alignment horizontal="center" vertical="top"/>
    </xf>
    <xf numFmtId="0" fontId="57" fillId="0" borderId="9" xfId="0" applyFont="1" applyBorder="1" applyAlignment="1">
      <alignment horizontal="left" vertical="top" wrapText="1"/>
    </xf>
    <xf numFmtId="0" fontId="54" fillId="2" borderId="9" xfId="0" applyFont="1" applyFill="1" applyBorder="1" applyAlignment="1">
      <alignment horizontal="center" vertical="top"/>
    </xf>
    <xf numFmtId="0" fontId="54" fillId="2" borderId="9" xfId="0" applyFont="1" applyFill="1" applyBorder="1" applyAlignment="1">
      <alignment horizontal="center" vertical="top"/>
    </xf>
    <xf numFmtId="0" fontId="54" fillId="0" borderId="0" xfId="0" applyFont="1" applyAlignment="1">
      <alignment horizontal="right" vertical="top"/>
    </xf>
    <xf numFmtId="0" fontId="54" fillId="13" borderId="0" xfId="0" applyFont="1" applyFill="1" applyAlignment="1">
      <alignment vertical="top"/>
    </xf>
    <xf numFmtId="0" fontId="55" fillId="2" borderId="7" xfId="0" applyFont="1" applyFill="1" applyBorder="1" applyAlignment="1">
      <alignment horizontal="center" vertical="top"/>
    </xf>
    <xf numFmtId="0" fontId="55" fillId="2" borderId="9" xfId="0" applyFont="1" applyFill="1" applyBorder="1" applyAlignment="1">
      <alignment horizontal="center" vertical="top"/>
    </xf>
    <xf numFmtId="0" fontId="55" fillId="2" borderId="9" xfId="0" applyFont="1" applyFill="1" applyBorder="1" applyAlignment="1">
      <alignment horizontal="center" vertical="top"/>
    </xf>
    <xf numFmtId="0" fontId="55" fillId="2" borderId="9" xfId="0" applyFont="1" applyFill="1" applyBorder="1" applyAlignment="1">
      <alignment vertical="top"/>
    </xf>
    <xf numFmtId="0" fontId="56" fillId="2" borderId="9" xfId="0" applyFont="1" applyFill="1" applyBorder="1" applyAlignment="1">
      <alignment horizontal="center" vertical="top"/>
    </xf>
    <xf numFmtId="0" fontId="56" fillId="2" borderId="0" xfId="0" applyFont="1" applyFill="1" applyAlignment="1">
      <alignment horizontal="right" vertical="top"/>
    </xf>
    <xf numFmtId="0" fontId="56" fillId="2" borderId="0" xfId="0" applyFont="1" applyFill="1" applyAlignment="1">
      <alignment vertical="top"/>
    </xf>
    <xf numFmtId="0" fontId="9" fillId="2" borderId="9" xfId="0" applyFont="1" applyFill="1" applyBorder="1" applyAlignment="1">
      <alignment vertical="top"/>
    </xf>
    <xf numFmtId="0" fontId="57" fillId="0" borderId="9" xfId="0" applyFont="1" applyBorder="1" applyAlignment="1">
      <alignment vertical="top"/>
    </xf>
    <xf numFmtId="0" fontId="54" fillId="0" borderId="9" xfId="0" applyFont="1" applyBorder="1" applyAlignment="1">
      <alignment horizontal="center" vertical="top"/>
    </xf>
    <xf numFmtId="0" fontId="54" fillId="0" borderId="9" xfId="0" applyFont="1" applyBorder="1" applyAlignment="1">
      <alignment horizontal="center" vertical="top"/>
    </xf>
    <xf numFmtId="0" fontId="54" fillId="0" borderId="0" xfId="0" applyFont="1" applyAlignment="1">
      <alignment vertical="top"/>
    </xf>
    <xf numFmtId="0" fontId="57" fillId="0" borderId="9" xfId="0" applyFont="1" applyBorder="1" applyAlignment="1">
      <alignment horizontal="center" vertical="top"/>
    </xf>
    <xf numFmtId="0" fontId="40" fillId="0" borderId="0" xfId="0" applyFont="1"/>
    <xf numFmtId="0" fontId="57" fillId="23" borderId="9" xfId="0" applyFont="1" applyFill="1" applyBorder="1" applyAlignment="1">
      <alignment vertical="top"/>
    </xf>
    <xf numFmtId="0" fontId="58" fillId="2" borderId="9" xfId="0" applyFont="1" applyFill="1" applyBorder="1" applyAlignment="1">
      <alignment vertical="top"/>
    </xf>
    <xf numFmtId="0" fontId="56" fillId="10" borderId="6" xfId="0" applyFont="1" applyFill="1" applyBorder="1" applyAlignment="1">
      <alignment horizontal="center" vertical="top"/>
    </xf>
    <xf numFmtId="0" fontId="57" fillId="0" borderId="9" xfId="0" applyFont="1" applyBorder="1" applyAlignment="1">
      <alignment horizontal="left" vertical="top"/>
    </xf>
    <xf numFmtId="0" fontId="30" fillId="0" borderId="9" xfId="0" applyFont="1" applyBorder="1" applyAlignment="1">
      <alignment horizontal="center"/>
    </xf>
    <xf numFmtId="0" fontId="30" fillId="0" borderId="9" xfId="0" applyFont="1" applyBorder="1" applyAlignment="1">
      <alignment horizontal="center"/>
    </xf>
    <xf numFmtId="0" fontId="59" fillId="0" borderId="0" xfId="0" applyFont="1" applyAlignment="1">
      <alignment horizontal="right" vertical="top"/>
    </xf>
    <xf numFmtId="0" fontId="60" fillId="0" borderId="0" xfId="0" applyFont="1" applyAlignment="1">
      <alignment vertical="top"/>
    </xf>
    <xf numFmtId="0" fontId="55" fillId="24" borderId="7" xfId="0" applyFont="1" applyFill="1" applyBorder="1" applyAlignment="1">
      <alignment horizontal="center" vertical="top"/>
    </xf>
    <xf numFmtId="0" fontId="55" fillId="24" borderId="9" xfId="0" applyFont="1" applyFill="1" applyBorder="1" applyAlignment="1">
      <alignment horizontal="center" vertical="top"/>
    </xf>
    <xf numFmtId="0" fontId="55" fillId="24" borderId="9" xfId="0" applyFont="1" applyFill="1" applyBorder="1" applyAlignment="1">
      <alignment horizontal="center" vertical="top"/>
    </xf>
    <xf numFmtId="0" fontId="55" fillId="24" borderId="9" xfId="0" applyFont="1" applyFill="1" applyBorder="1" applyAlignment="1">
      <alignment horizontal="left" vertical="top"/>
    </xf>
    <xf numFmtId="0" fontId="56" fillId="24" borderId="9" xfId="0" applyFont="1" applyFill="1" applyBorder="1" applyAlignment="1">
      <alignment horizontal="center" vertical="top"/>
    </xf>
    <xf numFmtId="0" fontId="30" fillId="2" borderId="9" xfId="0" applyFont="1" applyFill="1" applyBorder="1" applyAlignment="1">
      <alignment horizontal="center" vertical="top"/>
    </xf>
    <xf numFmtId="0" fontId="57" fillId="0" borderId="9" xfId="0" applyFont="1" applyBorder="1" applyAlignment="1">
      <alignment vertical="top" wrapText="1"/>
    </xf>
    <xf numFmtId="0" fontId="30" fillId="2" borderId="9" xfId="0" applyFont="1" applyFill="1" applyBorder="1" applyAlignment="1">
      <alignment horizontal="center" vertical="top"/>
    </xf>
    <xf numFmtId="0" fontId="30" fillId="10" borderId="7" xfId="0" applyFont="1" applyFill="1" applyBorder="1" applyAlignment="1">
      <alignment horizontal="center" vertical="top"/>
    </xf>
    <xf numFmtId="0" fontId="30" fillId="10" borderId="9" xfId="0" applyFont="1" applyFill="1" applyBorder="1" applyAlignment="1">
      <alignment horizontal="center" vertical="top"/>
    </xf>
    <xf numFmtId="0" fontId="30" fillId="2" borderId="7" xfId="0" applyFont="1" applyFill="1" applyBorder="1" applyAlignment="1">
      <alignment horizontal="center" vertical="top"/>
    </xf>
    <xf numFmtId="0" fontId="55" fillId="2" borderId="9" xfId="0" applyFont="1" applyFill="1" applyBorder="1" applyAlignment="1">
      <alignment vertical="top" wrapText="1"/>
    </xf>
    <xf numFmtId="0" fontId="30" fillId="2" borderId="0" xfId="0" applyFont="1" applyFill="1" applyAlignment="1">
      <alignment vertical="top"/>
    </xf>
    <xf numFmtId="0" fontId="55" fillId="25" borderId="7" xfId="0" applyFont="1" applyFill="1" applyBorder="1" applyAlignment="1">
      <alignment horizontal="center" vertical="top"/>
    </xf>
    <xf numFmtId="0" fontId="55" fillId="25" borderId="9" xfId="0" applyFont="1" applyFill="1" applyBorder="1" applyAlignment="1">
      <alignment horizontal="center" vertical="top"/>
    </xf>
    <xf numFmtId="0" fontId="55" fillId="25" borderId="9" xfId="0" applyFont="1" applyFill="1" applyBorder="1" applyAlignment="1">
      <alignment horizontal="center" vertical="top"/>
    </xf>
    <xf numFmtId="0" fontId="55" fillId="25" borderId="9" xfId="0" applyFont="1" applyFill="1" applyBorder="1" applyAlignment="1">
      <alignment vertical="top" wrapText="1"/>
    </xf>
    <xf numFmtId="0" fontId="56" fillId="25" borderId="9" xfId="0" applyFont="1" applyFill="1" applyBorder="1" applyAlignment="1">
      <alignment horizontal="center" vertical="top"/>
    </xf>
    <xf numFmtId="0" fontId="56" fillId="25" borderId="0" xfId="0" applyFont="1" applyFill="1" applyAlignment="1">
      <alignment vertical="top"/>
    </xf>
    <xf numFmtId="0" fontId="3" fillId="25" borderId="0" xfId="0" applyFont="1" applyFill="1"/>
    <xf numFmtId="0" fontId="56" fillId="10" borderId="0" xfId="0" applyFont="1" applyFill="1" applyAlignment="1">
      <alignment vertical="top"/>
    </xf>
    <xf numFmtId="0" fontId="55" fillId="0" borderId="7" xfId="0" applyFont="1" applyBorder="1" applyAlignment="1">
      <alignment horizontal="center" vertical="top"/>
    </xf>
    <xf numFmtId="0" fontId="55" fillId="0" borderId="9" xfId="0" applyFont="1" applyBorder="1" applyAlignment="1">
      <alignment vertical="top"/>
    </xf>
    <xf numFmtId="0" fontId="30" fillId="0" borderId="0" xfId="0" applyFont="1" applyAlignment="1">
      <alignment horizontal="center" vertical="top"/>
    </xf>
    <xf numFmtId="0" fontId="54" fillId="10" borderId="9" xfId="0" applyFont="1" applyFill="1" applyBorder="1" applyAlignment="1">
      <alignment horizontal="center" vertical="top"/>
    </xf>
    <xf numFmtId="0" fontId="61" fillId="2" borderId="9" xfId="0" applyFont="1" applyFill="1" applyBorder="1" applyAlignment="1">
      <alignment vertical="top"/>
    </xf>
    <xf numFmtId="4" fontId="30" fillId="0" borderId="9" xfId="0" applyNumberFormat="1" applyFont="1" applyBorder="1" applyAlignment="1">
      <alignment horizontal="center" vertical="top"/>
    </xf>
    <xf numFmtId="4" fontId="54" fillId="0" borderId="9" xfId="0" applyNumberFormat="1" applyFont="1" applyBorder="1" applyAlignment="1">
      <alignment horizontal="center" vertical="top"/>
    </xf>
    <xf numFmtId="4" fontId="30" fillId="10" borderId="9" xfId="0" applyNumberFormat="1" applyFont="1" applyFill="1" applyBorder="1" applyAlignment="1">
      <alignment horizontal="center" vertical="top"/>
    </xf>
    <xf numFmtId="4" fontId="54" fillId="0" borderId="9" xfId="0" applyNumberFormat="1" applyFont="1" applyBorder="1" applyAlignment="1">
      <alignment horizontal="center" vertical="top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4" fontId="6" fillId="0" borderId="0" xfId="0" applyNumberFormat="1" applyFont="1"/>
    <xf numFmtId="4" fontId="43" fillId="2" borderId="1" xfId="0" applyNumberFormat="1" applyFont="1" applyFill="1" applyBorder="1"/>
    <xf numFmtId="4" fontId="43" fillId="18" borderId="0" xfId="0" applyNumberFormat="1" applyFont="1" applyFill="1"/>
    <xf numFmtId="4" fontId="27" fillId="2" borderId="1" xfId="0" applyNumberFormat="1" applyFont="1" applyFill="1" applyBorder="1"/>
    <xf numFmtId="4" fontId="3" fillId="18" borderId="0" xfId="0" applyNumberFormat="1" applyFont="1" applyFill="1" applyAlignment="1"/>
    <xf numFmtId="4" fontId="3" fillId="17" borderId="0" xfId="0" applyNumberFormat="1" applyFont="1" applyFill="1"/>
    <xf numFmtId="4" fontId="3" fillId="18" borderId="0" xfId="0" applyNumberFormat="1" applyFont="1" applyFill="1"/>
    <xf numFmtId="4" fontId="3" fillId="13" borderId="0" xfId="0" applyNumberFormat="1" applyFont="1" applyFill="1"/>
    <xf numFmtId="4" fontId="8" fillId="2" borderId="1" xfId="0" applyNumberFormat="1" applyFont="1" applyFill="1" applyBorder="1"/>
    <xf numFmtId="0" fontId="6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3" fillId="0" borderId="0" xfId="0" applyFont="1" applyAlignment="1"/>
    <xf numFmtId="0" fontId="6" fillId="0" borderId="0" xfId="0" applyFont="1" applyAlignment="1">
      <alignment horizontal="center" vertical="center" wrapText="1"/>
    </xf>
    <xf numFmtId="0" fontId="22" fillId="0" borderId="0" xfId="0" applyFont="1" applyAlignment="1"/>
    <xf numFmtId="0" fontId="26" fillId="0" borderId="9" xfId="0" applyFont="1" applyBorder="1" applyAlignment="1">
      <alignment horizont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4" fontId="23" fillId="0" borderId="10" xfId="0" applyNumberFormat="1" applyFont="1" applyBorder="1" applyAlignment="1">
      <alignment vertical="center"/>
    </xf>
    <xf numFmtId="4" fontId="23" fillId="0" borderId="9" xfId="0" applyNumberFormat="1" applyFont="1" applyBorder="1" applyAlignment="1">
      <alignment horizontal="right" vertical="center"/>
    </xf>
    <xf numFmtId="0" fontId="21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vertical="center" wrapText="1"/>
    </xf>
    <xf numFmtId="4" fontId="21" fillId="0" borderId="1" xfId="0" applyNumberFormat="1" applyFont="1" applyBorder="1" applyAlignment="1">
      <alignment vertical="center"/>
    </xf>
    <xf numFmtId="4" fontId="23" fillId="0" borderId="6" xfId="0" applyNumberFormat="1" applyFont="1" applyBorder="1" applyAlignment="1">
      <alignment vertical="center"/>
    </xf>
    <xf numFmtId="0" fontId="63" fillId="0" borderId="9" xfId="0" applyFont="1" applyBorder="1" applyAlignment="1">
      <alignment horizontal="center" vertical="center"/>
    </xf>
    <xf numFmtId="4" fontId="26" fillId="0" borderId="7" xfId="0" applyNumberFormat="1" applyFont="1" applyBorder="1" applyAlignment="1">
      <alignment vertical="center"/>
    </xf>
    <xf numFmtId="4" fontId="26" fillId="0" borderId="7" xfId="0" applyNumberFormat="1" applyFont="1" applyBorder="1" applyAlignment="1">
      <alignment vertical="center"/>
    </xf>
    <xf numFmtId="4" fontId="26" fillId="0" borderId="9" xfId="0" applyNumberFormat="1" applyFont="1" applyBorder="1" applyAlignment="1">
      <alignment vertical="center"/>
    </xf>
    <xf numFmtId="0" fontId="22" fillId="6" borderId="9" xfId="0" applyFont="1" applyFill="1" applyBorder="1" applyAlignment="1">
      <alignment vertical="center" wrapText="1"/>
    </xf>
    <xf numFmtId="0" fontId="22" fillId="0" borderId="9" xfId="0" applyFont="1" applyBorder="1" applyAlignment="1">
      <alignment vertical="center" wrapText="1"/>
    </xf>
    <xf numFmtId="4" fontId="21" fillId="0" borderId="7" xfId="0" applyNumberFormat="1" applyFont="1" applyBorder="1" applyAlignment="1">
      <alignment vertical="center"/>
    </xf>
    <xf numFmtId="0" fontId="21" fillId="0" borderId="9" xfId="0" applyFont="1" applyBorder="1" applyAlignment="1">
      <alignment horizontal="center" vertical="center"/>
    </xf>
    <xf numFmtId="4" fontId="26" fillId="0" borderId="9" xfId="0" applyNumberFormat="1" applyFont="1" applyBorder="1" applyAlignment="1">
      <alignment vertical="center"/>
    </xf>
    <xf numFmtId="0" fontId="22" fillId="0" borderId="9" xfId="0" applyFont="1" applyBorder="1" applyAlignment="1">
      <alignment vertical="center" wrapText="1"/>
    </xf>
    <xf numFmtId="0" fontId="26" fillId="0" borderId="9" xfId="0" applyFont="1" applyBorder="1" applyAlignment="1">
      <alignment horizontal="left" vertical="center" wrapText="1"/>
    </xf>
    <xf numFmtId="0" fontId="63" fillId="0" borderId="7" xfId="0" applyFont="1" applyBorder="1" applyAlignment="1">
      <alignment horizontal="center" vertical="center"/>
    </xf>
    <xf numFmtId="4" fontId="21" fillId="0" borderId="7" xfId="0" applyNumberFormat="1" applyFont="1" applyBorder="1" applyAlignment="1">
      <alignment vertical="center"/>
    </xf>
    <xf numFmtId="4" fontId="21" fillId="0" borderId="9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vertical="center" wrapText="1"/>
    </xf>
    <xf numFmtId="0" fontId="64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5" fillId="10" borderId="1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2" fontId="3" fillId="0" borderId="1" xfId="0" applyNumberFormat="1" applyFont="1" applyBorder="1"/>
    <xf numFmtId="0" fontId="11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4" borderId="1" xfId="0" applyFont="1" applyFill="1" applyBorder="1" applyAlignment="1"/>
    <xf numFmtId="0" fontId="3" fillId="4" borderId="1" xfId="0" applyFont="1" applyFill="1" applyBorder="1"/>
    <xf numFmtId="0" fontId="11" fillId="2" borderId="7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9" fillId="0" borderId="0" xfId="0" applyFont="1" applyAlignment="1"/>
    <xf numFmtId="0" fontId="39" fillId="0" borderId="0" xfId="0" applyFont="1" applyAlignment="1">
      <alignment wrapText="1"/>
    </xf>
    <xf numFmtId="0" fontId="17" fillId="2" borderId="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1" fillId="2" borderId="7" xfId="0" applyFont="1" applyFill="1" applyBorder="1" applyAlignment="1">
      <alignment wrapText="1"/>
    </xf>
    <xf numFmtId="0" fontId="17" fillId="2" borderId="7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wrapText="1"/>
    </xf>
    <xf numFmtId="0" fontId="11" fillId="2" borderId="7" xfId="0" applyFont="1" applyFill="1" applyBorder="1" applyAlignment="1">
      <alignment horizontal="center" wrapText="1"/>
    </xf>
    <xf numFmtId="0" fontId="3" fillId="0" borderId="1" xfId="0" applyFont="1" applyBorder="1" applyAlignment="1"/>
    <xf numFmtId="0" fontId="65" fillId="0" borderId="1" xfId="0" applyFont="1" applyBorder="1" applyAlignment="1">
      <alignment horizontal="left" vertical="center" wrapText="1"/>
    </xf>
    <xf numFmtId="2" fontId="11" fillId="2" borderId="7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vertical="center"/>
    </xf>
    <xf numFmtId="0" fontId="11" fillId="2" borderId="7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  <xf numFmtId="0" fontId="66" fillId="2" borderId="7" xfId="0" applyFont="1" applyFill="1" applyBorder="1" applyAlignment="1">
      <alignment vertical="center" wrapText="1"/>
    </xf>
    <xf numFmtId="0" fontId="66" fillId="2" borderId="7" xfId="0" applyFont="1" applyFill="1" applyBorder="1" applyAlignment="1">
      <alignment wrapText="1"/>
    </xf>
    <xf numFmtId="0" fontId="66" fillId="2" borderId="7" xfId="0" applyFont="1" applyFill="1" applyBorder="1" applyAlignment="1">
      <alignment horizontal="center" wrapText="1"/>
    </xf>
    <xf numFmtId="2" fontId="6" fillId="0" borderId="1" xfId="0" applyNumberFormat="1" applyFont="1" applyBorder="1"/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4" borderId="1" xfId="0" applyFont="1" applyFill="1" applyBorder="1"/>
    <xf numFmtId="2" fontId="3" fillId="0" borderId="0" xfId="0" applyNumberFormat="1" applyFont="1"/>
    <xf numFmtId="0" fontId="4" fillId="2" borderId="3" xfId="0" applyFont="1" applyFill="1" applyBorder="1" applyAlignment="1">
      <alignment horizontal="center" textRotation="90" wrapText="1"/>
    </xf>
    <xf numFmtId="0" fontId="4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textRotation="90" wrapText="1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7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0" xfId="0" applyFont="1" applyFill="1" applyAlignment="1"/>
    <xf numFmtId="0" fontId="68" fillId="2" borderId="0" xfId="0" applyFont="1" applyFill="1" applyAlignment="1"/>
    <xf numFmtId="4" fontId="2" fillId="2" borderId="1" xfId="0" applyNumberFormat="1" applyFont="1" applyFill="1" applyBorder="1" applyAlignment="1">
      <alignment horizontal="right"/>
    </xf>
    <xf numFmtId="0" fontId="68" fillId="2" borderId="1" xfId="0" applyFont="1" applyFill="1" applyBorder="1"/>
    <xf numFmtId="0" fontId="69" fillId="0" borderId="0" xfId="0" applyFont="1" applyAlignment="1"/>
    <xf numFmtId="0" fontId="4" fillId="17" borderId="1" xfId="0" applyFont="1" applyFill="1" applyBorder="1" applyAlignment="1">
      <alignment horizontal="center"/>
    </xf>
    <xf numFmtId="0" fontId="2" fillId="17" borderId="1" xfId="0" applyFont="1" applyFill="1" applyBorder="1" applyAlignment="1"/>
    <xf numFmtId="0" fontId="1" fillId="17" borderId="1" xfId="0" applyFont="1" applyFill="1" applyBorder="1" applyAlignment="1">
      <alignment vertical="top" wrapText="1"/>
    </xf>
    <xf numFmtId="4" fontId="2" fillId="17" borderId="1" xfId="0" applyNumberFormat="1" applyFont="1" applyFill="1" applyBorder="1" applyAlignment="1">
      <alignment horizontal="right"/>
    </xf>
    <xf numFmtId="4" fontId="3" fillId="17" borderId="1" xfId="0" applyNumberFormat="1" applyFont="1" applyFill="1" applyBorder="1"/>
    <xf numFmtId="0" fontId="68" fillId="17" borderId="1" xfId="0" applyFont="1" applyFill="1" applyBorder="1"/>
    <xf numFmtId="0" fontId="3" fillId="17" borderId="0" xfId="0" applyFont="1" applyFill="1"/>
    <xf numFmtId="0" fontId="1" fillId="17" borderId="1" xfId="0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/>
    </xf>
    <xf numFmtId="0" fontId="68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/>
    </xf>
    <xf numFmtId="0" fontId="68" fillId="2" borderId="1" xfId="0" applyFont="1" applyFill="1" applyBorder="1" applyAlignment="1">
      <alignment wrapText="1"/>
    </xf>
    <xf numFmtId="4" fontId="3" fillId="2" borderId="1" xfId="0" applyNumberFormat="1" applyFont="1" applyFill="1" applyBorder="1" applyAlignment="1"/>
    <xf numFmtId="0" fontId="2" fillId="2" borderId="1" xfId="0" applyFont="1" applyFill="1" applyBorder="1" applyAlignment="1">
      <alignment wrapText="1"/>
    </xf>
    <xf numFmtId="0" fontId="68" fillId="2" borderId="1" xfId="0" applyFont="1" applyFill="1" applyBorder="1" applyAlignment="1"/>
    <xf numFmtId="0" fontId="2" fillId="2" borderId="1" xfId="0" applyFont="1" applyFill="1" applyBorder="1" applyAlignment="1">
      <alignment vertical="top" wrapText="1"/>
    </xf>
    <xf numFmtId="0" fontId="2" fillId="26" borderId="1" xfId="0" applyFont="1" applyFill="1" applyBorder="1" applyAlignment="1"/>
    <xf numFmtId="0" fontId="1" fillId="26" borderId="1" xfId="0" applyFont="1" applyFill="1" applyBorder="1" applyAlignment="1">
      <alignment horizontal="center"/>
    </xf>
    <xf numFmtId="0" fontId="4" fillId="26" borderId="1" xfId="0" applyFont="1" applyFill="1" applyBorder="1" applyAlignment="1">
      <alignment horizontal="center"/>
    </xf>
    <xf numFmtId="0" fontId="4" fillId="26" borderId="1" xfId="0" applyFont="1" applyFill="1" applyBorder="1" applyAlignment="1">
      <alignment wrapText="1"/>
    </xf>
    <xf numFmtId="4" fontId="2" fillId="26" borderId="1" xfId="0" applyNumberFormat="1" applyFont="1" applyFill="1" applyBorder="1" applyAlignment="1">
      <alignment horizontal="right"/>
    </xf>
    <xf numFmtId="4" fontId="3" fillId="26" borderId="1" xfId="0" applyNumberFormat="1" applyFont="1" applyFill="1" applyBorder="1"/>
    <xf numFmtId="0" fontId="68" fillId="26" borderId="1" xfId="0" applyFont="1" applyFill="1" applyBorder="1"/>
    <xf numFmtId="0" fontId="3" fillId="26" borderId="0" xfId="0" applyFont="1" applyFill="1"/>
    <xf numFmtId="4" fontId="3" fillId="2" borderId="1" xfId="0" applyNumberFormat="1" applyFont="1" applyFill="1" applyBorder="1" applyAlignment="1">
      <alignment horizontal="right"/>
    </xf>
    <xf numFmtId="4" fontId="3" fillId="2" borderId="1" xfId="0" applyNumberFormat="1" applyFont="1" applyFill="1" applyBorder="1" applyAlignment="1"/>
    <xf numFmtId="0" fontId="50" fillId="2" borderId="1" xfId="0" applyFont="1" applyFill="1" applyBorder="1" applyAlignment="1">
      <alignment wrapText="1"/>
    </xf>
    <xf numFmtId="4" fontId="3" fillId="2" borderId="0" xfId="0" applyNumberFormat="1" applyFont="1" applyFill="1"/>
    <xf numFmtId="0" fontId="1" fillId="26" borderId="1" xfId="0" applyFont="1" applyFill="1" applyBorder="1" applyAlignment="1">
      <alignment vertical="top"/>
    </xf>
    <xf numFmtId="4" fontId="3" fillId="26" borderId="1" xfId="0" applyNumberFormat="1" applyFont="1" applyFill="1" applyBorder="1" applyAlignment="1"/>
    <xf numFmtId="0" fontId="2" fillId="2" borderId="1" xfId="0" applyFont="1" applyFill="1" applyBorder="1" applyAlignment="1">
      <alignment horizontal="right"/>
    </xf>
    <xf numFmtId="4" fontId="39" fillId="2" borderId="1" xfId="0" applyNumberFormat="1" applyFont="1" applyFill="1" applyBorder="1" applyAlignment="1"/>
    <xf numFmtId="4" fontId="39" fillId="2" borderId="0" xfId="0" applyNumberFormat="1" applyFont="1" applyFill="1"/>
    <xf numFmtId="4" fontId="3" fillId="2" borderId="1" xfId="0" applyNumberFormat="1" applyFont="1" applyFill="1" applyBorder="1" applyAlignment="1"/>
    <xf numFmtId="0" fontId="4" fillId="26" borderId="1" xfId="0" applyFont="1" applyFill="1" applyBorder="1" applyAlignment="1"/>
    <xf numFmtId="0" fontId="70" fillId="2" borderId="1" xfId="0" applyFont="1" applyFill="1" applyBorder="1" applyAlignment="1">
      <alignment wrapText="1"/>
    </xf>
    <xf numFmtId="0" fontId="1" fillId="26" borderId="1" xfId="0" applyFont="1" applyFill="1" applyBorder="1" applyAlignment="1">
      <alignment horizontal="center"/>
    </xf>
    <xf numFmtId="0" fontId="3" fillId="26" borderId="1" xfId="0" applyFont="1" applyFill="1" applyBorder="1"/>
    <xf numFmtId="0" fontId="3" fillId="0" borderId="0" xfId="0" applyFont="1" applyAlignment="1">
      <alignment horizontal="center" wrapText="1"/>
    </xf>
    <xf numFmtId="3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3" fillId="18" borderId="1" xfId="0" applyFont="1" applyFill="1" applyBorder="1" applyAlignment="1">
      <alignment horizontal="center"/>
    </xf>
    <xf numFmtId="0" fontId="6" fillId="18" borderId="1" xfId="0" applyFont="1" applyFill="1" applyBorder="1" applyAlignment="1"/>
    <xf numFmtId="3" fontId="6" fillId="18" borderId="1" xfId="0" applyNumberFormat="1" applyFont="1" applyFill="1" applyBorder="1" applyAlignment="1">
      <alignment horizontal="center"/>
    </xf>
    <xf numFmtId="4" fontId="6" fillId="18" borderId="1" xfId="0" applyNumberFormat="1" applyFont="1" applyFill="1" applyBorder="1" applyAlignment="1">
      <alignment horizontal="center"/>
    </xf>
    <xf numFmtId="4" fontId="6" fillId="18" borderId="1" xfId="0" applyNumberFormat="1" applyFont="1" applyFill="1" applyBorder="1" applyAlignment="1">
      <alignment horizontal="center"/>
    </xf>
    <xf numFmtId="4" fontId="3" fillId="18" borderId="1" xfId="0" applyNumberFormat="1" applyFont="1" applyFill="1" applyBorder="1" applyAlignment="1">
      <alignment horizontal="center"/>
    </xf>
    <xf numFmtId="0" fontId="6" fillId="18" borderId="1" xfId="0" applyFont="1" applyFill="1" applyBorder="1" applyAlignment="1">
      <alignment wrapText="1"/>
    </xf>
    <xf numFmtId="0" fontId="6" fillId="18" borderId="0" xfId="0" applyFont="1" applyFill="1"/>
    <xf numFmtId="3" fontId="3" fillId="2" borderId="1" xfId="0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6" fillId="0" borderId="1" xfId="0" applyFont="1" applyBorder="1" applyAlignment="1"/>
    <xf numFmtId="0" fontId="40" fillId="0" borderId="1" xfId="0" applyFont="1" applyBorder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2" fillId="0" borderId="16" xfId="0" applyFont="1" applyFill="1" applyBorder="1" applyAlignment="1">
      <alignment horizontal="left" vertical="center" wrapText="1"/>
    </xf>
    <xf numFmtId="0" fontId="90" fillId="0" borderId="17" xfId="0" applyFont="1" applyFill="1" applyBorder="1" applyAlignment="1">
      <alignment vertical="center" wrapText="1"/>
    </xf>
    <xf numFmtId="0" fontId="90" fillId="0" borderId="16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0" fillId="0" borderId="0" xfId="0" applyFont="1" applyAlignment="1"/>
    <xf numFmtId="0" fontId="4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/>
    <xf numFmtId="0" fontId="4" fillId="3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" fillId="2" borderId="0" xfId="0" applyFont="1" applyFill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4" fillId="3" borderId="2" xfId="0" applyFont="1" applyFill="1" applyBorder="1" applyAlignment="1">
      <alignment vertical="center" textRotation="90" wrapText="1"/>
    </xf>
    <xf numFmtId="0" fontId="5" fillId="0" borderId="3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/>
    <xf numFmtId="0" fontId="5" fillId="0" borderId="7" xfId="0" applyFont="1" applyBorder="1"/>
    <xf numFmtId="0" fontId="5" fillId="0" borderId="3" xfId="0" applyFont="1" applyBorder="1"/>
    <xf numFmtId="0" fontId="4" fillId="2" borderId="0" xfId="0" applyFont="1" applyFill="1" applyAlignment="1">
      <alignment horizontal="center"/>
    </xf>
    <xf numFmtId="0" fontId="0" fillId="0" borderId="0" xfId="0" applyFont="1" applyAlignment="1"/>
    <xf numFmtId="0" fontId="4" fillId="3" borderId="2" xfId="0" applyFont="1" applyFill="1" applyBorder="1" applyAlignment="1">
      <alignment horizontal="center" vertical="center" textRotation="90" wrapText="1"/>
    </xf>
    <xf numFmtId="0" fontId="5" fillId="0" borderId="5" xfId="0" applyFont="1" applyBorder="1"/>
    <xf numFmtId="0" fontId="5" fillId="0" borderId="6" xfId="0" applyFont="1" applyBorder="1"/>
    <xf numFmtId="0" fontId="1" fillId="2" borderId="0" xfId="0" applyFont="1" applyFill="1" applyAlignment="1">
      <alignment horizontal="center" wrapText="1"/>
    </xf>
    <xf numFmtId="0" fontId="11" fillId="2" borderId="3" xfId="0" applyFont="1" applyFill="1" applyBorder="1" applyAlignment="1"/>
    <xf numFmtId="0" fontId="10" fillId="0" borderId="0" xfId="0" applyFont="1" applyAlignment="1">
      <alignment horizontal="center"/>
    </xf>
    <xf numFmtId="0" fontId="12" fillId="0" borderId="8" xfId="0" applyFont="1" applyBorder="1" applyAlignment="1">
      <alignment horizontal="center"/>
    </xf>
    <xf numFmtId="0" fontId="5" fillId="0" borderId="8" xfId="0" applyFont="1" applyBorder="1"/>
    <xf numFmtId="0" fontId="13" fillId="3" borderId="3" xfId="0" applyFont="1" applyFill="1" applyBorder="1" applyAlignment="1">
      <alignment horizontal="center" wrapText="1"/>
    </xf>
    <xf numFmtId="0" fontId="13" fillId="3" borderId="10" xfId="0" applyFont="1" applyFill="1" applyBorder="1" applyAlignment="1">
      <alignment horizontal="center" wrapText="1"/>
    </xf>
    <xf numFmtId="0" fontId="5" fillId="0" borderId="10" xfId="0" applyFont="1" applyBorder="1"/>
    <xf numFmtId="0" fontId="5" fillId="0" borderId="9" xfId="0" applyFont="1" applyBorder="1"/>
    <xf numFmtId="0" fontId="13" fillId="3" borderId="10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17" fillId="0" borderId="8" xfId="0" applyFont="1" applyBorder="1" applyAlignment="1"/>
    <xf numFmtId="0" fontId="11" fillId="0" borderId="8" xfId="0" applyFont="1" applyBorder="1" applyAlignment="1"/>
    <xf numFmtId="0" fontId="3" fillId="0" borderId="4" xfId="0" applyFont="1" applyBorder="1" applyAlignment="1"/>
    <xf numFmtId="0" fontId="17" fillId="0" borderId="0" xfId="0" applyFont="1" applyAlignment="1"/>
    <xf numFmtId="0" fontId="13" fillId="3" borderId="3" xfId="0" applyFont="1" applyFill="1" applyBorder="1" applyAlignment="1">
      <alignment horizontal="center"/>
    </xf>
    <xf numFmtId="0" fontId="11" fillId="3" borderId="10" xfId="0" applyFont="1" applyFill="1" applyBorder="1" applyAlignment="1"/>
    <xf numFmtId="0" fontId="20" fillId="0" borderId="8" xfId="0" applyFont="1" applyBorder="1" applyAlignment="1"/>
    <xf numFmtId="0" fontId="3" fillId="0" borderId="4" xfId="0" applyFont="1" applyBorder="1" applyAlignment="1">
      <alignment wrapText="1"/>
    </xf>
    <xf numFmtId="0" fontId="1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 textRotation="90" wrapText="1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/>
    </xf>
    <xf numFmtId="0" fontId="6" fillId="0" borderId="0" xfId="0" applyFont="1" applyAlignment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46" fillId="2" borderId="2" xfId="0" applyFont="1" applyFill="1" applyBorder="1" applyAlignment="1"/>
    <xf numFmtId="0" fontId="45" fillId="2" borderId="0" xfId="0" applyFont="1" applyFill="1" applyAlignment="1">
      <alignment horizontal="center"/>
    </xf>
    <xf numFmtId="0" fontId="47" fillId="2" borderId="0" xfId="0" applyFont="1" applyFill="1" applyAlignment="1">
      <alignment horizontal="center"/>
    </xf>
    <xf numFmtId="0" fontId="47" fillId="3" borderId="2" xfId="0" applyFont="1" applyFill="1" applyBorder="1" applyAlignment="1">
      <alignment horizontal="center" textRotation="90" wrapText="1"/>
    </xf>
    <xf numFmtId="0" fontId="47" fillId="3" borderId="2" xfId="0" applyFont="1" applyFill="1" applyBorder="1" applyAlignment="1">
      <alignment horizontal="center"/>
    </xf>
    <xf numFmtId="0" fontId="47" fillId="3" borderId="2" xfId="0" applyFont="1" applyFill="1" applyBorder="1" applyAlignment="1">
      <alignment horizontal="center" wrapText="1"/>
    </xf>
    <xf numFmtId="0" fontId="49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29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/>
    </xf>
    <xf numFmtId="0" fontId="29" fillId="3" borderId="2" xfId="0" applyFont="1" applyFill="1" applyBorder="1" applyAlignment="1">
      <alignment horizontal="center" wrapText="1"/>
    </xf>
    <xf numFmtId="0" fontId="8" fillId="3" borderId="4" xfId="0" applyFont="1" applyFill="1" applyBorder="1" applyAlignment="1"/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/>
    <xf numFmtId="0" fontId="6" fillId="16" borderId="0" xfId="0" applyFont="1" applyFill="1" applyAlignment="1">
      <alignment horizontal="center" vertical="center"/>
    </xf>
    <xf numFmtId="0" fontId="6" fillId="0" borderId="4" xfId="0" applyFont="1" applyBorder="1" applyAlignment="1"/>
    <xf numFmtId="0" fontId="53" fillId="2" borderId="0" xfId="0" applyFont="1" applyFill="1" applyAlignment="1">
      <alignment horizontal="left" vertical="top"/>
    </xf>
    <xf numFmtId="0" fontId="52" fillId="2" borderId="0" xfId="0" applyFont="1" applyFill="1" applyAlignment="1">
      <alignment horizontal="center" vertical="top"/>
    </xf>
    <xf numFmtId="0" fontId="30" fillId="0" borderId="2" xfId="0" applyFont="1" applyBorder="1" applyAlignment="1">
      <alignment horizontal="center" vertical="top"/>
    </xf>
    <xf numFmtId="0" fontId="9" fillId="2" borderId="5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0" fontId="26" fillId="0" borderId="4" xfId="0" applyFont="1" applyBorder="1" applyAlignment="1">
      <alignment horizontal="center"/>
    </xf>
    <xf numFmtId="0" fontId="21" fillId="0" borderId="2" xfId="0" applyFont="1" applyBorder="1" applyAlignment="1">
      <alignment horizontal="center" vertical="center" wrapText="1"/>
    </xf>
    <xf numFmtId="0" fontId="62" fillId="0" borderId="0" xfId="0" applyFont="1" applyAlignment="1">
      <alignment horizontal="center"/>
    </xf>
    <xf numFmtId="0" fontId="65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4" fontId="4" fillId="5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/>
    </xf>
    <xf numFmtId="4" fontId="4" fillId="7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vertical="center" wrapText="1"/>
    </xf>
    <xf numFmtId="4" fontId="4" fillId="8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" fillId="27" borderId="1" xfId="0" applyFont="1" applyFill="1" applyBorder="1" applyAlignment="1">
      <alignment horizontal="center" vertical="center"/>
    </xf>
    <xf numFmtId="0" fontId="2" fillId="27" borderId="1" xfId="0" applyFont="1" applyFill="1" applyBorder="1" applyAlignment="1">
      <alignment vertical="center"/>
    </xf>
    <xf numFmtId="0" fontId="4" fillId="27" borderId="1" xfId="0" applyFont="1" applyFill="1" applyBorder="1" applyAlignment="1">
      <alignment vertical="center" wrapText="1"/>
    </xf>
    <xf numFmtId="4" fontId="4" fillId="27" borderId="1" xfId="0" applyNumberFormat="1" applyFont="1" applyFill="1" applyBorder="1" applyAlignment="1">
      <alignment horizontal="center" vertical="center"/>
    </xf>
    <xf numFmtId="4" fontId="4" fillId="28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/>
    </xf>
    <xf numFmtId="1" fontId="1" fillId="27" borderId="1" xfId="0" applyNumberFormat="1" applyFont="1" applyFill="1" applyBorder="1" applyAlignment="1">
      <alignment horizontal="center" vertical="center"/>
    </xf>
    <xf numFmtId="0" fontId="46" fillId="2" borderId="0" xfId="0" applyFont="1" applyFill="1" applyAlignment="1">
      <alignment wrapText="1"/>
    </xf>
  </cellXfs>
  <cellStyles count="1">
    <cellStyle name="Обычный" xfId="0" builtinId="0"/>
  </cellStyles>
  <dxfs count="3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>
    <tableStyle name="по ТД (копия)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" name="Table_1" displayName="Table_1" ref="A6:AA27" headerRowCount="0">
  <tableColumns count="2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  <tableColumn id="20" name="Column20"/>
    <tableColumn id="21" name="Column21"/>
    <tableColumn id="22" name="Column22"/>
    <tableColumn id="23" name="Column23"/>
    <tableColumn id="24" name="Column24"/>
    <tableColumn id="25" name="Column25"/>
    <tableColumn id="26" name="Column26"/>
    <tableColumn id="27" name="Column27"/>
  </tableColumns>
  <tableStyleInfo name="по ТД (копия)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832"/>
  <sheetViews>
    <sheetView tabSelected="1" workbookViewId="0">
      <pane ySplit="7" topLeftCell="A8" activePane="bottomLeft" state="frozen"/>
      <selection pane="bottomLeft" activeCell="E4" sqref="E4:E6"/>
    </sheetView>
  </sheetViews>
  <sheetFormatPr defaultColWidth="12.5703125" defaultRowHeight="15.75" customHeight="1"/>
  <cols>
    <col min="1" max="1" width="4.7109375" style="849" customWidth="1"/>
    <col min="2" max="2" width="6.85546875" style="849" customWidth="1"/>
    <col min="3" max="3" width="5.42578125" style="849" customWidth="1"/>
    <col min="4" max="4" width="41.5703125" style="849" customWidth="1"/>
    <col min="5" max="5" width="16.42578125" style="849" customWidth="1"/>
    <col min="6" max="6" width="14" style="849" customWidth="1"/>
    <col min="7" max="7" width="17.85546875" style="849" customWidth="1"/>
    <col min="8" max="8" width="16.28515625" style="849" customWidth="1"/>
    <col min="9" max="9" width="13" style="849" customWidth="1"/>
    <col min="10" max="10" width="14.28515625" style="849" customWidth="1"/>
    <col min="11" max="11" width="15.5703125" style="849" customWidth="1"/>
    <col min="12" max="12" width="16.28515625" style="849" customWidth="1"/>
    <col min="13" max="13" width="13" style="849" customWidth="1"/>
  </cols>
  <sheetData>
    <row r="1" spans="1:13" ht="28.5" customHeight="1">
      <c r="A1" s="854" t="s">
        <v>623</v>
      </c>
      <c r="B1" s="855"/>
      <c r="C1" s="855"/>
      <c r="D1" s="855"/>
      <c r="E1" s="855"/>
      <c r="F1" s="855"/>
      <c r="G1" s="855"/>
      <c r="H1" s="855"/>
      <c r="I1" s="855"/>
      <c r="J1" s="855"/>
      <c r="K1" s="855"/>
      <c r="L1" s="855"/>
      <c r="M1" s="848"/>
    </row>
    <row r="2" spans="1:13" ht="15">
      <c r="A2" s="939" t="s">
        <v>646</v>
      </c>
      <c r="B2" s="940"/>
      <c r="C2" s="940"/>
      <c r="D2" s="940"/>
      <c r="E2" s="940"/>
      <c r="F2" s="940"/>
      <c r="G2" s="940"/>
      <c r="H2" s="940"/>
      <c r="I2" s="940"/>
      <c r="J2" s="940"/>
      <c r="K2" s="940"/>
      <c r="L2" s="940"/>
      <c r="M2" s="941"/>
    </row>
    <row r="3" spans="1:13" ht="15" hidden="1">
      <c r="A3" s="317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</row>
    <row r="4" spans="1:13" ht="30" customHeight="1">
      <c r="A4" s="856" t="s">
        <v>619</v>
      </c>
      <c r="B4" s="856" t="s">
        <v>620</v>
      </c>
      <c r="C4" s="856" t="s">
        <v>621</v>
      </c>
      <c r="D4" s="859" t="s">
        <v>622</v>
      </c>
      <c r="E4" s="860" t="s">
        <v>647</v>
      </c>
      <c r="F4" s="5"/>
      <c r="G4" s="5"/>
      <c r="H4" s="5"/>
      <c r="I4" s="5"/>
      <c r="J4" s="5"/>
      <c r="K4" s="5"/>
      <c r="L4" s="5"/>
      <c r="M4" s="5"/>
    </row>
    <row r="5" spans="1:13" ht="18" customHeight="1">
      <c r="A5" s="857"/>
      <c r="B5" s="857"/>
      <c r="C5" s="857"/>
      <c r="D5" s="857"/>
      <c r="E5" s="857"/>
      <c r="F5" s="851" t="s">
        <v>624</v>
      </c>
      <c r="G5" s="852"/>
      <c r="H5" s="853"/>
      <c r="I5" s="5"/>
      <c r="J5" s="851" t="s">
        <v>630</v>
      </c>
      <c r="K5" s="852"/>
      <c r="L5" s="853"/>
      <c r="M5" s="5"/>
    </row>
    <row r="6" spans="1:13" ht="42" customHeight="1">
      <c r="A6" s="858"/>
      <c r="B6" s="858"/>
      <c r="C6" s="858"/>
      <c r="D6" s="858"/>
      <c r="E6" s="858"/>
      <c r="F6" s="6" t="s">
        <v>625</v>
      </c>
      <c r="G6" s="6" t="s">
        <v>626</v>
      </c>
      <c r="H6" s="6" t="s">
        <v>628</v>
      </c>
      <c r="I6" s="6" t="s">
        <v>629</v>
      </c>
      <c r="J6" s="6" t="s">
        <v>625</v>
      </c>
      <c r="K6" s="6" t="s">
        <v>631</v>
      </c>
      <c r="L6" s="6" t="s">
        <v>628</v>
      </c>
      <c r="M6" s="6" t="s">
        <v>629</v>
      </c>
    </row>
    <row r="7" spans="1:13" ht="15">
      <c r="A7" s="942">
        <v>1</v>
      </c>
      <c r="B7" s="942">
        <v>2</v>
      </c>
      <c r="C7" s="847">
        <v>3</v>
      </c>
      <c r="D7" s="942">
        <v>4</v>
      </c>
      <c r="E7" s="942">
        <v>5</v>
      </c>
      <c r="F7" s="942">
        <v>6</v>
      </c>
      <c r="G7" s="942">
        <v>7</v>
      </c>
      <c r="H7" s="942">
        <v>8</v>
      </c>
      <c r="I7" s="942">
        <v>9</v>
      </c>
      <c r="J7" s="942">
        <v>11</v>
      </c>
      <c r="K7" s="942">
        <v>12</v>
      </c>
      <c r="L7" s="942">
        <v>13</v>
      </c>
      <c r="M7" s="942">
        <v>14</v>
      </c>
    </row>
    <row r="8" spans="1:13" ht="48" customHeight="1">
      <c r="A8" s="317"/>
      <c r="B8" s="317"/>
      <c r="C8" s="317"/>
      <c r="D8" s="943" t="s">
        <v>627</v>
      </c>
      <c r="E8" s="318">
        <f ca="1">E9+E51+E58</f>
        <v>2865346.1</v>
      </c>
      <c r="F8" s="318">
        <f ca="1">F9+F51+F58</f>
        <v>2240417.1</v>
      </c>
      <c r="G8" s="318">
        <f>G9+G51+G58</f>
        <v>2238345.9349999996</v>
      </c>
      <c r="H8" s="318">
        <f ca="1">H9+H51+H58</f>
        <v>2071.165000000085</v>
      </c>
      <c r="I8" s="318">
        <f t="shared" ref="I8:I13" ca="1" si="0">G8/F8*100</f>
        <v>99.90755449063478</v>
      </c>
      <c r="J8" s="318">
        <f>J9+J51+J58</f>
        <v>1414252.1</v>
      </c>
      <c r="K8" s="318">
        <f>K9+K51+K58</f>
        <v>1381165.1580000001</v>
      </c>
      <c r="L8" s="318">
        <f>L9+L51+L58</f>
        <v>33086.942000000054</v>
      </c>
      <c r="M8" s="318">
        <f t="shared" ref="M8:M13" si="1">K8/J8*100</f>
        <v>97.66046364718143</v>
      </c>
    </row>
    <row r="9" spans="1:13" ht="33.75" customHeight="1">
      <c r="A9" s="944">
        <v>1</v>
      </c>
      <c r="B9" s="945"/>
      <c r="C9" s="945"/>
      <c r="D9" s="946" t="s">
        <v>594</v>
      </c>
      <c r="E9" s="947">
        <f ca="1">E10+E19+E23+E30</f>
        <v>1451572.1</v>
      </c>
      <c r="F9" s="947">
        <f t="shared" ref="F9:H9" ca="1" si="2">F10+F19+F23+F30</f>
        <v>826643.1</v>
      </c>
      <c r="G9" s="947">
        <f t="shared" si="2"/>
        <v>824572.4709999999</v>
      </c>
      <c r="H9" s="947">
        <f t="shared" ca="1" si="2"/>
        <v>2070.6290000000049</v>
      </c>
      <c r="I9" s="947">
        <f t="shared" ca="1" si="0"/>
        <v>99.749513544599836</v>
      </c>
      <c r="J9" s="947">
        <f t="shared" ref="J9:L9" si="3">J10+J19+J23+J30</f>
        <v>823995.1</v>
      </c>
      <c r="K9" s="947">
        <f t="shared" si="3"/>
        <v>821073.65700000001</v>
      </c>
      <c r="L9" s="947">
        <f t="shared" si="3"/>
        <v>2921.4430000000048</v>
      </c>
      <c r="M9" s="947">
        <f t="shared" si="1"/>
        <v>99.645453838257055</v>
      </c>
    </row>
    <row r="10" spans="1:13" ht="45">
      <c r="A10" s="5"/>
      <c r="B10" s="948">
        <v>100</v>
      </c>
      <c r="C10" s="948"/>
      <c r="D10" s="949" t="s">
        <v>595</v>
      </c>
      <c r="E10" s="950">
        <f ca="1">SUM(E11:E18)</f>
        <v>243409</v>
      </c>
      <c r="F10" s="950">
        <f t="shared" ref="F10:H10" ca="1" si="4">SUM(F11:F18)</f>
        <v>130044</v>
      </c>
      <c r="G10" s="950">
        <f t="shared" si="4"/>
        <v>130001.27499999999</v>
      </c>
      <c r="H10" s="950">
        <f t="shared" ca="1" si="4"/>
        <v>42.725000000000023</v>
      </c>
      <c r="I10" s="950">
        <f t="shared" ca="1" si="0"/>
        <v>99.967145735289591</v>
      </c>
      <c r="J10" s="950">
        <f t="shared" ref="J10:L10" si="5">SUM(J11:J18)</f>
        <v>130044</v>
      </c>
      <c r="K10" s="950">
        <f t="shared" si="5"/>
        <v>130001.27499999999</v>
      </c>
      <c r="L10" s="950">
        <f t="shared" si="5"/>
        <v>42.725000000000023</v>
      </c>
      <c r="M10" s="950">
        <f t="shared" si="1"/>
        <v>99.967145735289591</v>
      </c>
    </row>
    <row r="11" spans="1:13" ht="21.75" customHeight="1">
      <c r="A11" s="934"/>
      <c r="B11" s="317"/>
      <c r="C11" s="317">
        <v>131</v>
      </c>
      <c r="D11" s="841" t="s">
        <v>596</v>
      </c>
      <c r="E11" s="318">
        <v>213219</v>
      </c>
      <c r="F11" s="318">
        <v>114512</v>
      </c>
      <c r="G11" s="318">
        <v>114512</v>
      </c>
      <c r="H11" s="318">
        <f>F11-G11</f>
        <v>0</v>
      </c>
      <c r="I11" s="318">
        <f t="shared" si="0"/>
        <v>100</v>
      </c>
      <c r="J11" s="318">
        <v>114512</v>
      </c>
      <c r="K11" s="318">
        <v>114512</v>
      </c>
      <c r="L11" s="318">
        <f>J11-K11</f>
        <v>0</v>
      </c>
      <c r="M11" s="318">
        <f t="shared" si="1"/>
        <v>100</v>
      </c>
    </row>
    <row r="12" spans="1:13" ht="30">
      <c r="A12" s="857"/>
      <c r="B12" s="317"/>
      <c r="C12" s="317">
        <v>135</v>
      </c>
      <c r="D12" s="841" t="s">
        <v>597</v>
      </c>
      <c r="E12" s="318">
        <v>29355</v>
      </c>
      <c r="F12" s="318">
        <v>15230</v>
      </c>
      <c r="G12" s="318">
        <v>15230</v>
      </c>
      <c r="H12" s="318">
        <f t="shared" ref="H12:H50" si="6">F12-G12</f>
        <v>0</v>
      </c>
      <c r="I12" s="318">
        <f t="shared" si="0"/>
        <v>100</v>
      </c>
      <c r="J12" s="318">
        <v>15230</v>
      </c>
      <c r="K12" s="318">
        <v>15230</v>
      </c>
      <c r="L12" s="318">
        <f t="shared" ref="L12:L50" si="7">J12-K12</f>
        <v>0</v>
      </c>
      <c r="M12" s="318">
        <f t="shared" si="1"/>
        <v>100</v>
      </c>
    </row>
    <row r="13" spans="1:13" ht="30">
      <c r="A13" s="857"/>
      <c r="B13" s="317"/>
      <c r="C13" s="317">
        <v>136</v>
      </c>
      <c r="D13" s="842" t="s">
        <v>598</v>
      </c>
      <c r="E13" s="318">
        <v>835</v>
      </c>
      <c r="F13" s="318">
        <v>302</v>
      </c>
      <c r="G13" s="318">
        <v>259.27499999999998</v>
      </c>
      <c r="H13" s="318">
        <f t="shared" si="6"/>
        <v>42.725000000000023</v>
      </c>
      <c r="I13" s="318">
        <f t="shared" si="0"/>
        <v>85.852649006622499</v>
      </c>
      <c r="J13" s="318">
        <v>302</v>
      </c>
      <c r="K13" s="318">
        <v>259.27499999999998</v>
      </c>
      <c r="L13" s="318">
        <f t="shared" si="7"/>
        <v>42.725000000000023</v>
      </c>
      <c r="M13" s="318">
        <f t="shared" si="1"/>
        <v>85.852649006622499</v>
      </c>
    </row>
    <row r="14" spans="1:13" ht="30" hidden="1" customHeight="1">
      <c r="A14" s="857"/>
      <c r="B14" s="317"/>
      <c r="C14" s="317">
        <v>165</v>
      </c>
      <c r="D14" s="951" t="s">
        <v>20</v>
      </c>
      <c r="E14" s="318">
        <v>0</v>
      </c>
      <c r="F14" s="318">
        <v>0</v>
      </c>
      <c r="G14" s="318">
        <v>0</v>
      </c>
      <c r="H14" s="318">
        <f t="shared" si="6"/>
        <v>0</v>
      </c>
      <c r="I14" s="318"/>
      <c r="J14" s="318">
        <v>0</v>
      </c>
      <c r="K14" s="318">
        <v>0</v>
      </c>
      <c r="L14" s="318">
        <f t="shared" si="7"/>
        <v>0</v>
      </c>
      <c r="M14" s="318"/>
    </row>
    <row r="15" spans="1:13" ht="15" hidden="1" customHeight="1">
      <c r="A15" s="858"/>
      <c r="B15" s="317"/>
      <c r="C15" s="317">
        <v>159</v>
      </c>
      <c r="D15" s="317" t="s">
        <v>21</v>
      </c>
      <c r="E15" s="318">
        <v>0</v>
      </c>
      <c r="F15" s="318">
        <v>0</v>
      </c>
      <c r="G15" s="318">
        <v>0</v>
      </c>
      <c r="H15" s="318">
        <f t="shared" si="6"/>
        <v>0</v>
      </c>
      <c r="I15" s="318" t="e">
        <f t="shared" ref="I15:I17" si="8">G15/F15*100</f>
        <v>#DIV/0!</v>
      </c>
      <c r="J15" s="318">
        <v>0</v>
      </c>
      <c r="K15" s="318">
        <v>0</v>
      </c>
      <c r="L15" s="318">
        <f t="shared" si="7"/>
        <v>0</v>
      </c>
      <c r="M15" s="318" t="e">
        <f t="shared" ref="M15:M17" si="9">K15/J15*100</f>
        <v>#DIV/0!</v>
      </c>
    </row>
    <row r="16" spans="1:13" ht="15" hidden="1" customHeight="1">
      <c r="A16" s="317"/>
      <c r="B16" s="317"/>
      <c r="C16" s="317">
        <v>169</v>
      </c>
      <c r="D16" s="317" t="s">
        <v>22</v>
      </c>
      <c r="E16" s="318">
        <v>0</v>
      </c>
      <c r="F16" s="318">
        <v>0</v>
      </c>
      <c r="G16" s="318">
        <v>0</v>
      </c>
      <c r="H16" s="318">
        <f t="shared" si="6"/>
        <v>0</v>
      </c>
      <c r="I16" s="318" t="e">
        <f t="shared" si="8"/>
        <v>#DIV/0!</v>
      </c>
      <c r="J16" s="318">
        <v>0</v>
      </c>
      <c r="K16" s="318">
        <v>0</v>
      </c>
      <c r="L16" s="318">
        <f t="shared" si="7"/>
        <v>0</v>
      </c>
      <c r="M16" s="318" t="e">
        <f t="shared" si="9"/>
        <v>#DIV/0!</v>
      </c>
    </row>
    <row r="17" spans="1:13" ht="15" hidden="1" customHeight="1">
      <c r="A17" s="317"/>
      <c r="B17" s="317"/>
      <c r="C17" s="317">
        <v>322</v>
      </c>
      <c r="D17" s="317" t="s">
        <v>23</v>
      </c>
      <c r="E17" s="318">
        <v>0</v>
      </c>
      <c r="F17" s="318">
        <v>0</v>
      </c>
      <c r="G17" s="318">
        <v>0</v>
      </c>
      <c r="H17" s="318">
        <f t="shared" si="6"/>
        <v>0</v>
      </c>
      <c r="I17" s="318" t="e">
        <f t="shared" si="8"/>
        <v>#DIV/0!</v>
      </c>
      <c r="J17" s="318">
        <v>0</v>
      </c>
      <c r="K17" s="318">
        <v>0</v>
      </c>
      <c r="L17" s="318">
        <f t="shared" si="7"/>
        <v>0</v>
      </c>
      <c r="M17" s="318" t="e">
        <f t="shared" si="9"/>
        <v>#DIV/0!</v>
      </c>
    </row>
    <row r="18" spans="1:13" ht="45" hidden="1" customHeight="1">
      <c r="A18" s="317"/>
      <c r="B18" s="317"/>
      <c r="C18" s="952">
        <v>414</v>
      </c>
      <c r="D18" s="951" t="s">
        <v>24</v>
      </c>
      <c r="E18" s="318">
        <f ca="1">ЦА!E18+'СВОД терр'!E18</f>
        <v>0</v>
      </c>
      <c r="F18" s="318">
        <f ca="1">ЦА!F18+'СВОД терр'!F18</f>
        <v>0</v>
      </c>
      <c r="G18" s="318">
        <v>0</v>
      </c>
      <c r="H18" s="318">
        <f t="shared" ca="1" si="6"/>
        <v>0</v>
      </c>
      <c r="I18" s="318"/>
      <c r="J18" s="318">
        <v>0</v>
      </c>
      <c r="K18" s="318">
        <v>0</v>
      </c>
      <c r="L18" s="318">
        <f t="shared" si="7"/>
        <v>0</v>
      </c>
      <c r="M18" s="318"/>
    </row>
    <row r="19" spans="1:13" ht="57" hidden="1">
      <c r="A19" s="5"/>
      <c r="B19" s="948">
        <v>104</v>
      </c>
      <c r="C19" s="847"/>
      <c r="D19" s="953" t="s">
        <v>25</v>
      </c>
      <c r="E19" s="950">
        <f>SUM(E20:E22)</f>
        <v>0</v>
      </c>
      <c r="F19" s="950">
        <f t="shared" ref="F19:H19" si="10">SUM(F20:F22)</f>
        <v>0</v>
      </c>
      <c r="G19" s="950">
        <f t="shared" si="10"/>
        <v>0</v>
      </c>
      <c r="H19" s="950">
        <f t="shared" si="10"/>
        <v>0</v>
      </c>
      <c r="I19" s="950" t="e">
        <f t="shared" ref="I19:I22" si="11">G19/F19*100</f>
        <v>#DIV/0!</v>
      </c>
      <c r="J19" s="950">
        <f t="shared" ref="J19:L19" si="12">SUM(J20:J22)</f>
        <v>0</v>
      </c>
      <c r="K19" s="950">
        <f t="shared" si="12"/>
        <v>0</v>
      </c>
      <c r="L19" s="950">
        <f t="shared" si="12"/>
        <v>0</v>
      </c>
      <c r="M19" s="950" t="e">
        <f t="shared" ref="M19:M22" si="13">K19/J19*100</f>
        <v>#DIV/0!</v>
      </c>
    </row>
    <row r="20" spans="1:13" ht="15" hidden="1" customHeight="1">
      <c r="A20" s="317"/>
      <c r="B20" s="317"/>
      <c r="C20" s="317">
        <v>149</v>
      </c>
      <c r="D20" s="317" t="s">
        <v>26</v>
      </c>
      <c r="E20" s="318">
        <v>0</v>
      </c>
      <c r="F20" s="318">
        <v>0</v>
      </c>
      <c r="G20" s="318">
        <v>0</v>
      </c>
      <c r="H20" s="318">
        <f t="shared" si="6"/>
        <v>0</v>
      </c>
      <c r="I20" s="318" t="e">
        <f t="shared" si="11"/>
        <v>#DIV/0!</v>
      </c>
      <c r="J20" s="318">
        <v>0</v>
      </c>
      <c r="K20" s="318">
        <v>0</v>
      </c>
      <c r="L20" s="318">
        <f t="shared" si="7"/>
        <v>0</v>
      </c>
      <c r="M20" s="318" t="e">
        <f t="shared" si="13"/>
        <v>#DIV/0!</v>
      </c>
    </row>
    <row r="21" spans="1:13" ht="15" hidden="1" customHeight="1">
      <c r="A21" s="317"/>
      <c r="B21" s="317"/>
      <c r="C21" s="317">
        <v>152</v>
      </c>
      <c r="D21" s="317" t="s">
        <v>28</v>
      </c>
      <c r="E21" s="318">
        <v>0</v>
      </c>
      <c r="F21" s="318">
        <v>0</v>
      </c>
      <c r="G21" s="318">
        <v>0</v>
      </c>
      <c r="H21" s="318">
        <f t="shared" si="6"/>
        <v>0</v>
      </c>
      <c r="I21" s="318" t="e">
        <f t="shared" si="11"/>
        <v>#DIV/0!</v>
      </c>
      <c r="J21" s="318">
        <v>0</v>
      </c>
      <c r="K21" s="318">
        <v>0</v>
      </c>
      <c r="L21" s="318">
        <f t="shared" si="7"/>
        <v>0</v>
      </c>
      <c r="M21" s="318" t="e">
        <f t="shared" si="13"/>
        <v>#DIV/0!</v>
      </c>
    </row>
    <row r="22" spans="1:13" ht="15" hidden="1" customHeight="1">
      <c r="A22" s="317"/>
      <c r="B22" s="317"/>
      <c r="C22" s="317">
        <v>159</v>
      </c>
      <c r="D22" s="317" t="s">
        <v>29</v>
      </c>
      <c r="E22" s="318">
        <v>0</v>
      </c>
      <c r="F22" s="318">
        <v>0</v>
      </c>
      <c r="G22" s="318">
        <v>0</v>
      </c>
      <c r="H22" s="318">
        <f t="shared" si="6"/>
        <v>0</v>
      </c>
      <c r="I22" s="318" t="e">
        <f t="shared" si="11"/>
        <v>#DIV/0!</v>
      </c>
      <c r="J22" s="318">
        <v>0</v>
      </c>
      <c r="K22" s="318">
        <v>0</v>
      </c>
      <c r="L22" s="318">
        <f t="shared" si="7"/>
        <v>0</v>
      </c>
      <c r="M22" s="318" t="e">
        <f t="shared" si="13"/>
        <v>#DIV/0!</v>
      </c>
    </row>
    <row r="23" spans="1:13" ht="42.75" hidden="1">
      <c r="A23" s="954"/>
      <c r="B23" s="955">
        <v>111</v>
      </c>
      <c r="C23" s="954"/>
      <c r="D23" s="956" t="s">
        <v>599</v>
      </c>
      <c r="E23" s="957">
        <f>SUM(E24:E29)</f>
        <v>0</v>
      </c>
      <c r="F23" s="957">
        <f t="shared" ref="F23:H23" si="14">SUM(F24:F29)</f>
        <v>0</v>
      </c>
      <c r="G23" s="957">
        <f t="shared" si="14"/>
        <v>0</v>
      </c>
      <c r="H23" s="957">
        <f t="shared" si="14"/>
        <v>0</v>
      </c>
      <c r="I23" s="957"/>
      <c r="J23" s="957">
        <f t="shared" ref="J23:L23" si="15">SUM(J24:J29)</f>
        <v>0</v>
      </c>
      <c r="K23" s="957">
        <f t="shared" si="15"/>
        <v>0</v>
      </c>
      <c r="L23" s="957">
        <f t="shared" si="15"/>
        <v>0</v>
      </c>
      <c r="M23" s="957"/>
    </row>
    <row r="24" spans="1:13" ht="30" hidden="1" customHeight="1">
      <c r="A24" s="317"/>
      <c r="B24" s="317"/>
      <c r="C24" s="317">
        <v>412</v>
      </c>
      <c r="D24" s="951" t="s">
        <v>31</v>
      </c>
      <c r="E24" s="318">
        <v>0</v>
      </c>
      <c r="F24" s="318">
        <v>0</v>
      </c>
      <c r="G24" s="318">
        <v>0</v>
      </c>
      <c r="H24" s="318">
        <f t="shared" si="6"/>
        <v>0</v>
      </c>
      <c r="I24" s="318"/>
      <c r="J24" s="318">
        <v>0</v>
      </c>
      <c r="K24" s="318">
        <v>0</v>
      </c>
      <c r="L24" s="318">
        <f t="shared" si="7"/>
        <v>0</v>
      </c>
      <c r="M24" s="318"/>
    </row>
    <row r="25" spans="1:13" ht="15" hidden="1" customHeight="1">
      <c r="A25" s="317"/>
      <c r="B25" s="317"/>
      <c r="C25" s="317">
        <v>413</v>
      </c>
      <c r="D25" s="317" t="s">
        <v>32</v>
      </c>
      <c r="E25" s="318">
        <v>0</v>
      </c>
      <c r="F25" s="318">
        <v>0</v>
      </c>
      <c r="G25" s="318">
        <v>0</v>
      </c>
      <c r="H25" s="318">
        <f t="shared" si="6"/>
        <v>0</v>
      </c>
      <c r="I25" s="318" t="e">
        <f t="shared" ref="I25" si="16">G25/F25*100</f>
        <v>#DIV/0!</v>
      </c>
      <c r="J25" s="318">
        <v>0</v>
      </c>
      <c r="K25" s="318">
        <v>0</v>
      </c>
      <c r="L25" s="318">
        <f t="shared" si="7"/>
        <v>0</v>
      </c>
      <c r="M25" s="318"/>
    </row>
    <row r="26" spans="1:13" ht="45" hidden="1">
      <c r="A26" s="317"/>
      <c r="B26" s="317"/>
      <c r="C26" s="317">
        <v>414</v>
      </c>
      <c r="D26" s="842" t="s">
        <v>600</v>
      </c>
      <c r="E26" s="318"/>
      <c r="F26" s="318"/>
      <c r="G26" s="318"/>
      <c r="H26" s="318">
        <f t="shared" si="6"/>
        <v>0</v>
      </c>
      <c r="I26" s="318"/>
      <c r="J26" s="318"/>
      <c r="K26" s="318"/>
      <c r="L26" s="318"/>
      <c r="M26" s="318"/>
    </row>
    <row r="27" spans="1:13" ht="30" hidden="1" customHeight="1">
      <c r="A27" s="317"/>
      <c r="B27" s="317"/>
      <c r="C27" s="317">
        <v>416</v>
      </c>
      <c r="D27" s="842" t="s">
        <v>601</v>
      </c>
      <c r="E27" s="318"/>
      <c r="F27" s="318"/>
      <c r="G27" s="318"/>
      <c r="H27" s="318">
        <f t="shared" si="6"/>
        <v>0</v>
      </c>
      <c r="I27" s="318"/>
      <c r="J27" s="318"/>
      <c r="K27" s="318"/>
      <c r="L27" s="318"/>
      <c r="M27" s="318"/>
    </row>
    <row r="28" spans="1:13" ht="45" hidden="1" customHeight="1">
      <c r="A28" s="317"/>
      <c r="B28" s="317"/>
      <c r="C28" s="317">
        <v>419</v>
      </c>
      <c r="D28" s="842" t="s">
        <v>600</v>
      </c>
      <c r="E28" s="318"/>
      <c r="F28" s="318"/>
      <c r="G28" s="318"/>
      <c r="H28" s="318">
        <f t="shared" si="6"/>
        <v>0</v>
      </c>
      <c r="I28" s="318"/>
      <c r="J28" s="318"/>
      <c r="K28" s="318"/>
      <c r="L28" s="318"/>
      <c r="M28" s="318"/>
    </row>
    <row r="29" spans="1:13" ht="30" hidden="1">
      <c r="A29" s="317"/>
      <c r="B29" s="317"/>
      <c r="C29" s="317">
        <v>421</v>
      </c>
      <c r="D29" s="842" t="s">
        <v>601</v>
      </c>
      <c r="E29" s="318"/>
      <c r="F29" s="318"/>
      <c r="G29" s="318"/>
      <c r="H29" s="318">
        <f t="shared" si="6"/>
        <v>0</v>
      </c>
      <c r="I29" s="318"/>
      <c r="J29" s="318"/>
      <c r="K29" s="318"/>
      <c r="L29" s="318"/>
      <c r="M29" s="318"/>
    </row>
    <row r="30" spans="1:13" ht="20.25" customHeight="1">
      <c r="A30" s="5"/>
      <c r="B30" s="948">
        <v>123</v>
      </c>
      <c r="C30" s="948"/>
      <c r="D30" s="958" t="s">
        <v>602</v>
      </c>
      <c r="E30" s="950">
        <f>SUM(E31:E50)</f>
        <v>1208163.1000000001</v>
      </c>
      <c r="F30" s="950">
        <f>SUM(F31:F50)</f>
        <v>696599.1</v>
      </c>
      <c r="G30" s="950">
        <f>SUM(G31:G50)</f>
        <v>694571.19599999988</v>
      </c>
      <c r="H30" s="950">
        <f>SUM(H31:H50)</f>
        <v>2027.9040000000048</v>
      </c>
      <c r="I30" s="950">
        <f t="shared" ref="I30:I50" si="17">G30/F30*100</f>
        <v>99.70888506746563</v>
      </c>
      <c r="J30" s="950">
        <f>SUM(J31:J50)</f>
        <v>693951.1</v>
      </c>
      <c r="K30" s="950">
        <f>SUM(K31:K50)</f>
        <v>691072.38199999998</v>
      </c>
      <c r="L30" s="950">
        <f>SUM(L31:L50)</f>
        <v>2878.7180000000048</v>
      </c>
      <c r="M30" s="950">
        <f t="shared" ref="M30:M50" si="18">K30/J30*100</f>
        <v>99.585169906063982</v>
      </c>
    </row>
    <row r="31" spans="1:13" ht="15">
      <c r="A31" s="934"/>
      <c r="B31" s="317"/>
      <c r="C31" s="317">
        <v>111</v>
      </c>
      <c r="D31" s="842" t="s">
        <v>603</v>
      </c>
      <c r="E31" s="318">
        <v>694694</v>
      </c>
      <c r="F31" s="318">
        <v>319694</v>
      </c>
      <c r="G31" s="318">
        <v>319694</v>
      </c>
      <c r="H31" s="318">
        <f t="shared" si="6"/>
        <v>0</v>
      </c>
      <c r="I31" s="318">
        <f t="shared" si="17"/>
        <v>100</v>
      </c>
      <c r="J31" s="318">
        <v>319694</v>
      </c>
      <c r="K31" s="318">
        <v>319694</v>
      </c>
      <c r="L31" s="318">
        <f t="shared" si="7"/>
        <v>0</v>
      </c>
      <c r="M31" s="318">
        <f t="shared" si="18"/>
        <v>100</v>
      </c>
    </row>
    <row r="32" spans="1:13" ht="15">
      <c r="A32" s="857"/>
      <c r="B32" s="317"/>
      <c r="C32" s="317">
        <v>112</v>
      </c>
      <c r="D32" s="842" t="s">
        <v>604</v>
      </c>
      <c r="E32" s="318">
        <v>165477.79999999999</v>
      </c>
      <c r="F32" s="318">
        <v>165477.79999999999</v>
      </c>
      <c r="G32" s="318">
        <v>165477.79999999999</v>
      </c>
      <c r="H32" s="318">
        <f t="shared" si="6"/>
        <v>0</v>
      </c>
      <c r="I32" s="318">
        <f t="shared" si="17"/>
        <v>100</v>
      </c>
      <c r="J32" s="318">
        <v>165477.79999999999</v>
      </c>
      <c r="K32" s="318">
        <v>165477.79999999999</v>
      </c>
      <c r="L32" s="318">
        <f t="shared" si="7"/>
        <v>0</v>
      </c>
      <c r="M32" s="318">
        <f t="shared" si="18"/>
        <v>100</v>
      </c>
    </row>
    <row r="33" spans="1:13" ht="15">
      <c r="A33" s="857"/>
      <c r="B33" s="317"/>
      <c r="C33" s="317">
        <v>113</v>
      </c>
      <c r="D33" s="843" t="s">
        <v>605</v>
      </c>
      <c r="E33" s="318">
        <v>124950</v>
      </c>
      <c r="F33" s="318">
        <v>73065</v>
      </c>
      <c r="G33" s="318">
        <v>72935.657999999996</v>
      </c>
      <c r="H33" s="318">
        <f t="shared" si="6"/>
        <v>129.34200000000419</v>
      </c>
      <c r="I33" s="318">
        <f t="shared" si="17"/>
        <v>99.82297680147812</v>
      </c>
      <c r="J33" s="318">
        <v>73065</v>
      </c>
      <c r="K33" s="318">
        <v>72935.657999999996</v>
      </c>
      <c r="L33" s="318">
        <f t="shared" si="7"/>
        <v>129.34200000000419</v>
      </c>
      <c r="M33" s="318">
        <f t="shared" si="18"/>
        <v>99.82297680147812</v>
      </c>
    </row>
    <row r="34" spans="1:13" ht="30">
      <c r="A34" s="857"/>
      <c r="B34" s="317"/>
      <c r="C34" s="317">
        <v>116</v>
      </c>
      <c r="D34" s="841" t="s">
        <v>641</v>
      </c>
      <c r="E34" s="318">
        <v>18766.099999999999</v>
      </c>
      <c r="F34" s="318">
        <v>10504.1</v>
      </c>
      <c r="G34" s="318">
        <v>10504.1</v>
      </c>
      <c r="H34" s="318">
        <f t="shared" si="6"/>
        <v>0</v>
      </c>
      <c r="I34" s="318">
        <f t="shared" si="17"/>
        <v>100</v>
      </c>
      <c r="J34" s="318">
        <v>10504.1</v>
      </c>
      <c r="K34" s="318">
        <v>10504.1</v>
      </c>
      <c r="L34" s="318">
        <f t="shared" si="7"/>
        <v>0</v>
      </c>
      <c r="M34" s="318">
        <f t="shared" si="18"/>
        <v>100</v>
      </c>
    </row>
    <row r="35" spans="1:13" ht="15">
      <c r="A35" s="857"/>
      <c r="B35" s="317"/>
      <c r="C35" s="317">
        <v>121</v>
      </c>
      <c r="D35" s="841" t="s">
        <v>606</v>
      </c>
      <c r="E35" s="318">
        <v>48455.6</v>
      </c>
      <c r="F35" s="318">
        <v>28569.599999999999</v>
      </c>
      <c r="G35" s="318">
        <v>28569.599999999999</v>
      </c>
      <c r="H35" s="318">
        <f t="shared" si="6"/>
        <v>0</v>
      </c>
      <c r="I35" s="318">
        <f t="shared" si="17"/>
        <v>100</v>
      </c>
      <c r="J35" s="318">
        <v>28569.599999999999</v>
      </c>
      <c r="K35" s="318">
        <v>28569.599999999999</v>
      </c>
      <c r="L35" s="318">
        <f t="shared" si="7"/>
        <v>0</v>
      </c>
      <c r="M35" s="318">
        <f t="shared" si="18"/>
        <v>100</v>
      </c>
    </row>
    <row r="36" spans="1:13" ht="30">
      <c r="A36" s="857"/>
      <c r="B36" s="317"/>
      <c r="C36" s="317">
        <v>122</v>
      </c>
      <c r="D36" s="841" t="s">
        <v>607</v>
      </c>
      <c r="E36" s="318">
        <v>36838</v>
      </c>
      <c r="F36" s="318">
        <v>19972</v>
      </c>
      <c r="G36" s="318">
        <v>19972</v>
      </c>
      <c r="H36" s="318">
        <f t="shared" si="6"/>
        <v>0</v>
      </c>
      <c r="I36" s="318">
        <f t="shared" si="17"/>
        <v>100</v>
      </c>
      <c r="J36" s="318">
        <v>19972</v>
      </c>
      <c r="K36" s="318">
        <v>19972</v>
      </c>
      <c r="L36" s="318">
        <f t="shared" si="7"/>
        <v>0</v>
      </c>
      <c r="M36" s="318">
        <f t="shared" si="18"/>
        <v>100</v>
      </c>
    </row>
    <row r="37" spans="1:13" ht="15">
      <c r="A37" s="857"/>
      <c r="B37" s="317"/>
      <c r="C37" s="317">
        <v>123</v>
      </c>
      <c r="D37" s="841" t="s">
        <v>608</v>
      </c>
      <c r="E37" s="318">
        <v>589</v>
      </c>
      <c r="F37" s="318">
        <v>589</v>
      </c>
      <c r="G37" s="318">
        <v>500.52100000000002</v>
      </c>
      <c r="H37" s="318">
        <f t="shared" si="6"/>
        <v>88.478999999999985</v>
      </c>
      <c r="I37" s="318">
        <f t="shared" si="17"/>
        <v>84.978098471986414</v>
      </c>
      <c r="J37" s="318">
        <v>488</v>
      </c>
      <c r="K37" s="318">
        <v>347.08699999999999</v>
      </c>
      <c r="L37" s="318">
        <f t="shared" si="7"/>
        <v>140.91300000000001</v>
      </c>
      <c r="M37" s="318">
        <f t="shared" si="18"/>
        <v>71.124385245901635</v>
      </c>
    </row>
    <row r="38" spans="1:13" ht="30">
      <c r="A38" s="857"/>
      <c r="B38" s="317"/>
      <c r="C38" s="317">
        <v>124</v>
      </c>
      <c r="D38" s="841" t="s">
        <v>609</v>
      </c>
      <c r="E38" s="318">
        <v>23534</v>
      </c>
      <c r="F38" s="318">
        <v>12284</v>
      </c>
      <c r="G38" s="318">
        <v>11957.8</v>
      </c>
      <c r="H38" s="318">
        <f t="shared" si="6"/>
        <v>326.20000000000073</v>
      </c>
      <c r="I38" s="318">
        <f t="shared" si="17"/>
        <v>97.344513187886676</v>
      </c>
      <c r="J38" s="318">
        <v>12284</v>
      </c>
      <c r="K38" s="318">
        <v>11957.8</v>
      </c>
      <c r="L38" s="318">
        <f t="shared" si="7"/>
        <v>326.20000000000073</v>
      </c>
      <c r="M38" s="318">
        <f t="shared" si="18"/>
        <v>97.344513187886676</v>
      </c>
    </row>
    <row r="39" spans="1:13" ht="34.5" customHeight="1">
      <c r="A39" s="857"/>
      <c r="B39" s="317"/>
      <c r="C39" s="317">
        <v>142</v>
      </c>
      <c r="D39" s="841" t="s">
        <v>610</v>
      </c>
      <c r="E39" s="318">
        <v>375</v>
      </c>
      <c r="F39" s="318">
        <v>0</v>
      </c>
      <c r="G39" s="318">
        <v>0</v>
      </c>
      <c r="H39" s="318">
        <f t="shared" si="6"/>
        <v>0</v>
      </c>
      <c r="I39" s="318">
        <v>0</v>
      </c>
      <c r="J39" s="318">
        <v>0</v>
      </c>
      <c r="K39" s="318">
        <v>0</v>
      </c>
      <c r="L39" s="318">
        <f t="shared" si="7"/>
        <v>0</v>
      </c>
      <c r="M39" s="318">
        <v>0</v>
      </c>
    </row>
    <row r="40" spans="1:13" ht="30">
      <c r="A40" s="857"/>
      <c r="B40" s="317"/>
      <c r="C40" s="317">
        <v>144</v>
      </c>
      <c r="D40" s="842" t="s">
        <v>611</v>
      </c>
      <c r="E40" s="318">
        <v>16467</v>
      </c>
      <c r="F40" s="318">
        <v>181</v>
      </c>
      <c r="G40" s="318">
        <v>180.96</v>
      </c>
      <c r="H40" s="318">
        <f t="shared" si="6"/>
        <v>3.9999999999992042E-2</v>
      </c>
      <c r="I40" s="318">
        <f t="shared" si="17"/>
        <v>99.97790055248619</v>
      </c>
      <c r="J40" s="318">
        <v>181</v>
      </c>
      <c r="K40" s="318">
        <v>180.96</v>
      </c>
      <c r="L40" s="318">
        <f t="shared" si="7"/>
        <v>3.9999999999992042E-2</v>
      </c>
      <c r="M40" s="318">
        <f t="shared" si="18"/>
        <v>99.97790055248619</v>
      </c>
    </row>
    <row r="41" spans="1:13" ht="17.25" customHeight="1">
      <c r="A41" s="857"/>
      <c r="B41" s="317"/>
      <c r="C41" s="317">
        <v>149</v>
      </c>
      <c r="D41" s="843" t="s">
        <v>612</v>
      </c>
      <c r="E41" s="318">
        <v>15014.5</v>
      </c>
      <c r="F41" s="318">
        <v>12267.5</v>
      </c>
      <c r="G41" s="318">
        <v>12231.5</v>
      </c>
      <c r="H41" s="318">
        <f t="shared" si="6"/>
        <v>36</v>
      </c>
      <c r="I41" s="318">
        <f t="shared" si="17"/>
        <v>99.706541675157936</v>
      </c>
      <c r="J41" s="318">
        <v>12267.5</v>
      </c>
      <c r="K41" s="318">
        <v>11937.902</v>
      </c>
      <c r="L41" s="318">
        <f t="shared" si="7"/>
        <v>329.59799999999996</v>
      </c>
      <c r="M41" s="318">
        <f t="shared" si="18"/>
        <v>97.313242306908492</v>
      </c>
    </row>
    <row r="42" spans="1:13" ht="20.25" customHeight="1">
      <c r="A42" s="857"/>
      <c r="B42" s="317"/>
      <c r="C42" s="317">
        <v>151</v>
      </c>
      <c r="D42" s="841" t="s">
        <v>613</v>
      </c>
      <c r="E42" s="318">
        <v>41822</v>
      </c>
      <c r="F42" s="318">
        <v>40372</v>
      </c>
      <c r="G42" s="318">
        <v>40372</v>
      </c>
      <c r="H42" s="318">
        <f t="shared" si="6"/>
        <v>0</v>
      </c>
      <c r="I42" s="318">
        <f t="shared" si="17"/>
        <v>100</v>
      </c>
      <c r="J42" s="318">
        <v>40372</v>
      </c>
      <c r="K42" s="318">
        <v>40372</v>
      </c>
      <c r="L42" s="318">
        <f t="shared" si="7"/>
        <v>0</v>
      </c>
      <c r="M42" s="318">
        <f t="shared" si="18"/>
        <v>100</v>
      </c>
    </row>
    <row r="43" spans="1:13" ht="17.25" customHeight="1">
      <c r="A43" s="857"/>
      <c r="B43" s="317"/>
      <c r="C43" s="317">
        <v>152</v>
      </c>
      <c r="D43" s="842" t="s">
        <v>614</v>
      </c>
      <c r="E43" s="318">
        <v>1800</v>
      </c>
      <c r="F43" s="318">
        <v>1500</v>
      </c>
      <c r="G43" s="318">
        <v>1499.6</v>
      </c>
      <c r="H43" s="318">
        <f t="shared" si="6"/>
        <v>0.40000000000009095</v>
      </c>
      <c r="I43" s="318">
        <f t="shared" si="17"/>
        <v>99.973333333333329</v>
      </c>
      <c r="J43" s="318">
        <v>610</v>
      </c>
      <c r="K43" s="318">
        <v>610</v>
      </c>
      <c r="L43" s="318">
        <f t="shared" si="7"/>
        <v>0</v>
      </c>
      <c r="M43" s="318">
        <f t="shared" si="18"/>
        <v>100</v>
      </c>
    </row>
    <row r="44" spans="1:13" ht="15" hidden="1" customHeight="1">
      <c r="A44" s="857"/>
      <c r="B44" s="317"/>
      <c r="C44" s="317">
        <v>153</v>
      </c>
      <c r="D44" s="317" t="s">
        <v>48</v>
      </c>
      <c r="E44" s="318">
        <v>0</v>
      </c>
      <c r="F44" s="318">
        <v>0</v>
      </c>
      <c r="G44" s="318">
        <v>0</v>
      </c>
      <c r="H44" s="318">
        <f t="shared" si="6"/>
        <v>0</v>
      </c>
      <c r="I44" s="318" t="e">
        <f t="shared" si="17"/>
        <v>#DIV/0!</v>
      </c>
      <c r="J44" s="318">
        <v>0</v>
      </c>
      <c r="K44" s="318">
        <v>0</v>
      </c>
      <c r="L44" s="318">
        <f t="shared" si="7"/>
        <v>0</v>
      </c>
      <c r="M44" s="318" t="e">
        <f t="shared" si="18"/>
        <v>#DIV/0!</v>
      </c>
    </row>
    <row r="45" spans="1:13" ht="15" hidden="1" customHeight="1">
      <c r="A45" s="857"/>
      <c r="B45" s="317"/>
      <c r="C45" s="317">
        <v>154</v>
      </c>
      <c r="D45" s="317" t="s">
        <v>49</v>
      </c>
      <c r="E45" s="318">
        <v>0</v>
      </c>
      <c r="F45" s="318">
        <v>0</v>
      </c>
      <c r="G45" s="318">
        <v>0</v>
      </c>
      <c r="H45" s="318">
        <f t="shared" si="6"/>
        <v>0</v>
      </c>
      <c r="I45" s="318" t="e">
        <f t="shared" si="17"/>
        <v>#DIV/0!</v>
      </c>
      <c r="J45" s="318">
        <v>0</v>
      </c>
      <c r="K45" s="318">
        <v>0</v>
      </c>
      <c r="L45" s="318">
        <f t="shared" si="7"/>
        <v>0</v>
      </c>
      <c r="M45" s="318" t="e">
        <f t="shared" si="18"/>
        <v>#DIV/0!</v>
      </c>
    </row>
    <row r="46" spans="1:13" ht="30">
      <c r="A46" s="857"/>
      <c r="B46" s="317"/>
      <c r="C46" s="317">
        <v>159</v>
      </c>
      <c r="D46" s="842" t="s">
        <v>615</v>
      </c>
      <c r="E46" s="318">
        <v>7492</v>
      </c>
      <c r="F46" s="318">
        <v>5227</v>
      </c>
      <c r="G46" s="318">
        <v>3779.6260000000002</v>
      </c>
      <c r="H46" s="318">
        <f t="shared" si="6"/>
        <v>1447.3739999999998</v>
      </c>
      <c r="I46" s="318">
        <f t="shared" si="17"/>
        <v>72.309661373636885</v>
      </c>
      <c r="J46" s="318">
        <v>3570</v>
      </c>
      <c r="K46" s="318">
        <v>1617.444</v>
      </c>
      <c r="L46" s="318">
        <f t="shared" si="7"/>
        <v>1952.556</v>
      </c>
      <c r="M46" s="318">
        <f t="shared" si="18"/>
        <v>45.30655462184874</v>
      </c>
    </row>
    <row r="47" spans="1:13" ht="30">
      <c r="A47" s="858"/>
      <c r="B47" s="317"/>
      <c r="C47" s="317">
        <v>161</v>
      </c>
      <c r="D47" s="842" t="s">
        <v>616</v>
      </c>
      <c r="E47" s="318">
        <v>11150</v>
      </c>
      <c r="F47" s="318">
        <v>6547</v>
      </c>
      <c r="G47" s="318">
        <v>6547</v>
      </c>
      <c r="H47" s="318">
        <f t="shared" si="6"/>
        <v>0</v>
      </c>
      <c r="I47" s="318">
        <f t="shared" si="17"/>
        <v>100</v>
      </c>
      <c r="J47" s="318">
        <v>6547</v>
      </c>
      <c r="K47" s="318">
        <v>6547</v>
      </c>
      <c r="L47" s="318">
        <f t="shared" si="7"/>
        <v>0</v>
      </c>
      <c r="M47" s="318">
        <f t="shared" si="18"/>
        <v>100</v>
      </c>
    </row>
    <row r="48" spans="1:13" ht="30" customHeight="1">
      <c r="A48" s="319"/>
      <c r="B48" s="317"/>
      <c r="C48" s="317">
        <v>165</v>
      </c>
      <c r="D48" s="842" t="s">
        <v>617</v>
      </c>
      <c r="E48" s="318">
        <v>20.100000000000001</v>
      </c>
      <c r="F48" s="318">
        <v>20.100000000000001</v>
      </c>
      <c r="G48" s="318">
        <v>20.030999999999999</v>
      </c>
      <c r="H48" s="318">
        <f t="shared" si="6"/>
        <v>6.9000000000002615E-2</v>
      </c>
      <c r="I48" s="318">
        <f t="shared" si="17"/>
        <v>99.656716417910431</v>
      </c>
      <c r="J48" s="318">
        <v>20.100000000000001</v>
      </c>
      <c r="K48" s="318">
        <v>20.030999999999999</v>
      </c>
      <c r="L48" s="318">
        <f t="shared" ref="L48:L50" si="19">J48-K48</f>
        <v>6.9000000000002615E-2</v>
      </c>
      <c r="M48" s="318">
        <f t="shared" si="18"/>
        <v>99.656716417910431</v>
      </c>
    </row>
    <row r="49" spans="1:13" s="850" customFormat="1" ht="30" customHeight="1">
      <c r="A49" s="319"/>
      <c r="B49" s="317"/>
      <c r="C49" s="317">
        <v>168</v>
      </c>
      <c r="D49" s="842" t="s">
        <v>648</v>
      </c>
      <c r="E49" s="318">
        <v>655</v>
      </c>
      <c r="F49" s="318">
        <v>329</v>
      </c>
      <c r="G49" s="318">
        <v>329</v>
      </c>
      <c r="H49" s="318">
        <f t="shared" si="6"/>
        <v>0</v>
      </c>
      <c r="I49" s="318">
        <f t="shared" si="17"/>
        <v>100</v>
      </c>
      <c r="J49" s="318">
        <v>329</v>
      </c>
      <c r="K49" s="318">
        <v>329</v>
      </c>
      <c r="L49" s="318">
        <f t="shared" si="19"/>
        <v>0</v>
      </c>
      <c r="M49" s="318">
        <f t="shared" si="18"/>
        <v>100</v>
      </c>
    </row>
    <row r="50" spans="1:13" ht="17.25" customHeight="1">
      <c r="A50" s="317"/>
      <c r="B50" s="317"/>
      <c r="C50" s="317">
        <v>169</v>
      </c>
      <c r="D50" s="844" t="s">
        <v>618</v>
      </c>
      <c r="E50" s="318">
        <v>63</v>
      </c>
      <c r="F50" s="318">
        <v>0</v>
      </c>
      <c r="G50" s="318">
        <v>0</v>
      </c>
      <c r="H50" s="318">
        <f t="shared" si="6"/>
        <v>0</v>
      </c>
      <c r="I50" s="318">
        <v>0</v>
      </c>
      <c r="J50" s="318">
        <v>0</v>
      </c>
      <c r="K50" s="318">
        <v>0</v>
      </c>
      <c r="L50" s="318">
        <f t="shared" si="19"/>
        <v>0</v>
      </c>
      <c r="M50" s="318">
        <v>0</v>
      </c>
    </row>
    <row r="51" spans="1:13" ht="17.25" customHeight="1">
      <c r="A51" s="959">
        <v>70</v>
      </c>
      <c r="B51" s="960"/>
      <c r="C51" s="960"/>
      <c r="D51" s="961" t="s">
        <v>632</v>
      </c>
      <c r="E51" s="962">
        <f>E52</f>
        <v>1409764</v>
      </c>
      <c r="F51" s="962">
        <f t="shared" ref="F51:H51" si="20">F52</f>
        <v>1409764</v>
      </c>
      <c r="G51" s="962">
        <f t="shared" si="20"/>
        <v>1409763.4639999999</v>
      </c>
      <c r="H51" s="962">
        <f t="shared" si="20"/>
        <v>0.53600000008009374</v>
      </c>
      <c r="I51" s="962">
        <f t="shared" ref="I51:I56" si="21">G51/F51*100</f>
        <v>99.999961979451882</v>
      </c>
      <c r="J51" s="962">
        <f t="shared" ref="J51:L51" si="22">J52</f>
        <v>588252</v>
      </c>
      <c r="K51" s="962">
        <f t="shared" si="22"/>
        <v>559048.90099999995</v>
      </c>
      <c r="L51" s="962">
        <f t="shared" si="22"/>
        <v>29203.099000000046</v>
      </c>
      <c r="M51" s="962">
        <f t="shared" ref="M51:M59" si="23">K51/J51*100</f>
        <v>95.035614158557891</v>
      </c>
    </row>
    <row r="52" spans="1:13" ht="30">
      <c r="A52" s="963"/>
      <c r="B52" s="964">
        <v>100</v>
      </c>
      <c r="C52" s="963"/>
      <c r="D52" s="965" t="s">
        <v>595</v>
      </c>
      <c r="E52" s="966">
        <f>E53+E54</f>
        <v>1409764</v>
      </c>
      <c r="F52" s="966">
        <f t="shared" ref="F52:H52" si="24">F53+F54</f>
        <v>1409764</v>
      </c>
      <c r="G52" s="966">
        <f t="shared" si="24"/>
        <v>1409763.4639999999</v>
      </c>
      <c r="H52" s="966">
        <f t="shared" si="24"/>
        <v>0.53600000008009374</v>
      </c>
      <c r="I52" s="966">
        <f t="shared" si="21"/>
        <v>99.999961979451882</v>
      </c>
      <c r="J52" s="966">
        <f t="shared" ref="J52:L52" si="25">J53+J54</f>
        <v>588252</v>
      </c>
      <c r="K52" s="966">
        <f t="shared" si="25"/>
        <v>559048.90099999995</v>
      </c>
      <c r="L52" s="966">
        <f t="shared" si="25"/>
        <v>29203.099000000046</v>
      </c>
      <c r="M52" s="966">
        <f t="shared" si="23"/>
        <v>95.035614158557891</v>
      </c>
    </row>
    <row r="53" spans="1:13" ht="21" customHeight="1">
      <c r="A53" s="934"/>
      <c r="B53" s="317"/>
      <c r="C53" s="317">
        <v>159</v>
      </c>
      <c r="D53" s="317" t="s">
        <v>615</v>
      </c>
      <c r="E53" s="318">
        <v>1409764</v>
      </c>
      <c r="F53" s="318">
        <v>1409764</v>
      </c>
      <c r="G53" s="318">
        <v>1409763.4639999999</v>
      </c>
      <c r="H53" s="318">
        <f t="shared" ref="H53:H54" si="26">F53-G53</f>
        <v>0.53600000008009374</v>
      </c>
      <c r="I53" s="318">
        <f t="shared" si="21"/>
        <v>99.999961979451882</v>
      </c>
      <c r="J53" s="318">
        <v>588252</v>
      </c>
      <c r="K53" s="318">
        <v>559048.90099999995</v>
      </c>
      <c r="L53" s="318">
        <f t="shared" ref="L53:L54" si="27">J53-K53</f>
        <v>29203.099000000046</v>
      </c>
      <c r="M53" s="318">
        <f t="shared" si="23"/>
        <v>95.035614158557891</v>
      </c>
    </row>
    <row r="54" spans="1:13" ht="33.75" hidden="1" customHeight="1">
      <c r="A54" s="858"/>
      <c r="B54" s="317"/>
      <c r="C54" s="317">
        <v>161</v>
      </c>
      <c r="D54" s="317" t="s">
        <v>50</v>
      </c>
      <c r="E54" s="318">
        <v>0</v>
      </c>
      <c r="F54" s="318">
        <v>0</v>
      </c>
      <c r="G54" s="318">
        <v>0</v>
      </c>
      <c r="H54" s="318">
        <f t="shared" si="26"/>
        <v>0</v>
      </c>
      <c r="I54" s="318" t="e">
        <f t="shared" si="21"/>
        <v>#DIV/0!</v>
      </c>
      <c r="J54" s="318">
        <v>0</v>
      </c>
      <c r="K54" s="318">
        <v>0</v>
      </c>
      <c r="L54" s="318">
        <f t="shared" si="27"/>
        <v>0</v>
      </c>
      <c r="M54" s="318" t="e">
        <f t="shared" si="23"/>
        <v>#DIV/0!</v>
      </c>
    </row>
    <row r="55" spans="1:13" ht="75" hidden="1">
      <c r="A55" s="963"/>
      <c r="B55" s="964">
        <v>112</v>
      </c>
      <c r="C55" s="963"/>
      <c r="D55" s="965" t="s">
        <v>53</v>
      </c>
      <c r="E55" s="966">
        <f>E56+E57</f>
        <v>0</v>
      </c>
      <c r="F55" s="966">
        <f ca="1">ЦА!F57+'СВОД терр'!F57</f>
        <v>0</v>
      </c>
      <c r="G55" s="966">
        <f ca="1">ЦА!G57+'СВОД терр'!G57</f>
        <v>0</v>
      </c>
      <c r="H55" s="966">
        <f ca="1">ЦА!H57+'СВОД терр'!H57</f>
        <v>0</v>
      </c>
      <c r="I55" s="966" t="e">
        <f t="shared" ca="1" si="21"/>
        <v>#DIV/0!</v>
      </c>
      <c r="J55" s="966">
        <f t="shared" ref="J55:L55" si="28">J56+J57</f>
        <v>0</v>
      </c>
      <c r="K55" s="966">
        <f t="shared" si="28"/>
        <v>0</v>
      </c>
      <c r="L55" s="966">
        <f t="shared" si="28"/>
        <v>0</v>
      </c>
      <c r="M55" s="318" t="e">
        <f t="shared" si="23"/>
        <v>#DIV/0!</v>
      </c>
    </row>
    <row r="56" spans="1:13" ht="30" hidden="1">
      <c r="A56" s="317"/>
      <c r="B56" s="317"/>
      <c r="C56" s="317">
        <v>418</v>
      </c>
      <c r="D56" s="951" t="s">
        <v>54</v>
      </c>
      <c r="E56" s="318">
        <v>0</v>
      </c>
      <c r="F56" s="318">
        <v>0</v>
      </c>
      <c r="G56" s="318">
        <v>0</v>
      </c>
      <c r="H56" s="318">
        <f t="shared" ref="H56:H57" si="29">F56-G56</f>
        <v>0</v>
      </c>
      <c r="I56" s="318" t="e">
        <f t="shared" si="21"/>
        <v>#DIV/0!</v>
      </c>
      <c r="J56" s="318">
        <v>0</v>
      </c>
      <c r="K56" s="318">
        <v>0</v>
      </c>
      <c r="L56" s="318">
        <f t="shared" ref="L56:L57" si="30">J56-K56</f>
        <v>0</v>
      </c>
      <c r="M56" s="318" t="e">
        <f t="shared" si="23"/>
        <v>#DIV/0!</v>
      </c>
    </row>
    <row r="57" spans="1:13" ht="30" hidden="1">
      <c r="A57" s="967"/>
      <c r="B57" s="967"/>
      <c r="C57" s="319">
        <v>423</v>
      </c>
      <c r="D57" s="968" t="s">
        <v>35</v>
      </c>
      <c r="E57" s="318">
        <v>0</v>
      </c>
      <c r="F57" s="318">
        <v>0</v>
      </c>
      <c r="G57" s="318">
        <v>0</v>
      </c>
      <c r="H57" s="318">
        <f t="shared" si="29"/>
        <v>0</v>
      </c>
      <c r="I57" s="318">
        <f>ЦА!I59</f>
        <v>0</v>
      </c>
      <c r="J57" s="318">
        <v>0</v>
      </c>
      <c r="K57" s="318">
        <v>0</v>
      </c>
      <c r="L57" s="318">
        <f t="shared" si="30"/>
        <v>0</v>
      </c>
      <c r="M57" s="318" t="e">
        <f t="shared" si="23"/>
        <v>#DIV/0!</v>
      </c>
    </row>
    <row r="58" spans="1:13" ht="28.5">
      <c r="A58" s="969">
        <v>138</v>
      </c>
      <c r="B58" s="976">
        <v>0</v>
      </c>
      <c r="C58" s="970"/>
      <c r="D58" s="971" t="s">
        <v>633</v>
      </c>
      <c r="E58" s="972">
        <f>E59</f>
        <v>4010</v>
      </c>
      <c r="F58" s="972">
        <f t="shared" ref="F58:H58" si="31">F59</f>
        <v>4010</v>
      </c>
      <c r="G58" s="972">
        <f t="shared" si="31"/>
        <v>4010</v>
      </c>
      <c r="H58" s="972">
        <f t="shared" si="31"/>
        <v>0</v>
      </c>
      <c r="I58" s="972">
        <f>G58/F58*100</f>
        <v>100</v>
      </c>
      <c r="J58" s="972">
        <f t="shared" ref="J58:L58" si="32">J59</f>
        <v>2005</v>
      </c>
      <c r="K58" s="972">
        <f t="shared" si="32"/>
        <v>1042.5999999999999</v>
      </c>
      <c r="L58" s="972">
        <f t="shared" si="32"/>
        <v>962.40000000000009</v>
      </c>
      <c r="M58" s="973">
        <f t="shared" si="23"/>
        <v>51.999999999999993</v>
      </c>
    </row>
    <row r="59" spans="1:13" ht="18.75" customHeight="1">
      <c r="A59" s="317"/>
      <c r="B59" s="317"/>
      <c r="C59" s="317">
        <v>159</v>
      </c>
      <c r="D59" s="317" t="s">
        <v>615</v>
      </c>
      <c r="E59" s="318">
        <v>4010</v>
      </c>
      <c r="F59" s="318">
        <v>4010</v>
      </c>
      <c r="G59" s="318">
        <v>4010</v>
      </c>
      <c r="H59" s="318">
        <f t="shared" ref="H59" si="33">F59-G59</f>
        <v>0</v>
      </c>
      <c r="I59" s="318">
        <f t="shared" ref="I59" si="34">G59/F59*100</f>
        <v>100</v>
      </c>
      <c r="J59" s="318">
        <v>2005</v>
      </c>
      <c r="K59" s="318">
        <v>1042.5999999999999</v>
      </c>
      <c r="L59" s="318">
        <f t="shared" ref="L59" si="35">J59-K59</f>
        <v>962.40000000000009</v>
      </c>
      <c r="M59" s="974">
        <f t="shared" si="23"/>
        <v>51.999999999999993</v>
      </c>
    </row>
    <row r="60" spans="1:13" ht="12.75"/>
    <row r="61" spans="1:13" ht="12.75"/>
    <row r="62" spans="1:13" ht="12.75"/>
    <row r="63" spans="1:13" ht="12.75"/>
    <row r="64" spans="1:13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</sheetData>
  <mergeCells count="12">
    <mergeCell ref="A11:A15"/>
    <mergeCell ref="A31:A47"/>
    <mergeCell ref="A53:A54"/>
    <mergeCell ref="F5:H5"/>
    <mergeCell ref="J5:L5"/>
    <mergeCell ref="A1:L1"/>
    <mergeCell ref="A2:L2"/>
    <mergeCell ref="A4:A6"/>
    <mergeCell ref="B4:B6"/>
    <mergeCell ref="C4:C6"/>
    <mergeCell ref="D4:D6"/>
    <mergeCell ref="E4:E6"/>
  </mergeCells>
  <printOptions horizontalCentered="1" gridLines="1"/>
  <pageMargins left="0.7" right="0.7" top="0.75" bottom="0.75" header="0" footer="0"/>
  <pageSetup paperSize="9" scale="33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804"/>
  <sheetViews>
    <sheetView workbookViewId="0">
      <pane ySplit="7" topLeftCell="A8" activePane="bottomLeft" state="frozen"/>
      <selection pane="bottomLeft" activeCell="M37" sqref="M37"/>
    </sheetView>
  </sheetViews>
  <sheetFormatPr defaultColWidth="12.5703125" defaultRowHeight="15.75" customHeight="1"/>
  <cols>
    <col min="1" max="1" width="4.7109375" style="846" customWidth="1"/>
    <col min="2" max="2" width="5.140625" style="846" customWidth="1"/>
    <col min="3" max="3" width="5.42578125" style="846" customWidth="1"/>
    <col min="4" max="4" width="41.5703125" style="846" customWidth="1"/>
    <col min="5" max="5" width="19.42578125" style="846" customWidth="1"/>
    <col min="6" max="6" width="14" style="846" customWidth="1"/>
    <col min="7" max="7" width="17.85546875" style="846" customWidth="1"/>
    <col min="8" max="8" width="15.28515625" style="846" customWidth="1"/>
    <col min="9" max="9" width="14.140625" style="846" customWidth="1"/>
    <col min="10" max="10" width="14.28515625" style="846" customWidth="1"/>
    <col min="11" max="11" width="15.5703125" style="846" customWidth="1"/>
    <col min="12" max="12" width="16.28515625" style="846" customWidth="1"/>
    <col min="13" max="13" width="13" style="846" customWidth="1"/>
    <col min="14" max="16384" width="12.5703125" style="846"/>
  </cols>
  <sheetData>
    <row r="1" spans="1:13" ht="27.75" customHeight="1">
      <c r="A1" s="869" t="s">
        <v>634</v>
      </c>
      <c r="B1" s="869"/>
      <c r="C1" s="869"/>
      <c r="D1" s="869"/>
      <c r="E1" s="869"/>
      <c r="F1" s="869"/>
      <c r="G1" s="869"/>
      <c r="H1" s="869"/>
      <c r="I1" s="869"/>
      <c r="J1" s="869"/>
      <c r="K1" s="869"/>
      <c r="L1" s="869"/>
      <c r="M1" s="869"/>
    </row>
    <row r="2" spans="1:13" ht="19.5" customHeight="1">
      <c r="A2" s="864" t="s">
        <v>642</v>
      </c>
      <c r="B2" s="865"/>
      <c r="C2" s="865"/>
      <c r="D2" s="865"/>
      <c r="E2" s="865"/>
      <c r="F2" s="865"/>
      <c r="G2" s="865"/>
      <c r="H2" s="865"/>
      <c r="I2" s="865"/>
      <c r="J2" s="865"/>
      <c r="K2" s="865"/>
      <c r="L2" s="865"/>
      <c r="M2" s="3"/>
    </row>
    <row r="3" spans="1:13" ht="15" hidden="1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7.25" customHeight="1">
      <c r="A4" s="866" t="s">
        <v>1</v>
      </c>
      <c r="B4" s="866" t="s">
        <v>2</v>
      </c>
      <c r="C4" s="866" t="s">
        <v>3</v>
      </c>
      <c r="D4" s="859" t="s">
        <v>4</v>
      </c>
      <c r="E4" s="860" t="s">
        <v>643</v>
      </c>
      <c r="F4" s="5"/>
      <c r="G4" s="5"/>
      <c r="H4" s="5"/>
      <c r="I4" s="5"/>
      <c r="J4" s="5"/>
      <c r="K4" s="5"/>
      <c r="L4" s="5"/>
      <c r="M4" s="5"/>
    </row>
    <row r="5" spans="1:13" ht="17.25" customHeight="1">
      <c r="A5" s="863"/>
      <c r="B5" s="863"/>
      <c r="C5" s="863"/>
      <c r="D5" s="863"/>
      <c r="E5" s="863"/>
      <c r="F5" s="851" t="s">
        <v>636</v>
      </c>
      <c r="G5" s="867"/>
      <c r="H5" s="868"/>
      <c r="I5" s="5"/>
      <c r="J5" s="851" t="s">
        <v>637</v>
      </c>
      <c r="K5" s="867"/>
      <c r="L5" s="868"/>
      <c r="M5" s="5"/>
    </row>
    <row r="6" spans="1:13" ht="42.75" customHeight="1">
      <c r="A6" s="862"/>
      <c r="B6" s="862"/>
      <c r="C6" s="862"/>
      <c r="D6" s="862"/>
      <c r="E6" s="862"/>
      <c r="F6" s="6" t="s">
        <v>8</v>
      </c>
      <c r="G6" s="6" t="s">
        <v>9</v>
      </c>
      <c r="H6" s="847" t="s">
        <v>10</v>
      </c>
      <c r="I6" s="6" t="s">
        <v>11</v>
      </c>
      <c r="J6" s="6" t="s">
        <v>8</v>
      </c>
      <c r="K6" s="6" t="s">
        <v>638</v>
      </c>
      <c r="L6" s="847" t="s">
        <v>10</v>
      </c>
      <c r="M6" s="6" t="s">
        <v>11</v>
      </c>
    </row>
    <row r="7" spans="1:13" ht="15">
      <c r="A7" s="7">
        <v>1</v>
      </c>
      <c r="B7" s="7">
        <v>2</v>
      </c>
      <c r="C7" s="8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11</v>
      </c>
      <c r="K7" s="7">
        <v>12</v>
      </c>
      <c r="L7" s="7">
        <v>13</v>
      </c>
      <c r="M7" s="7">
        <v>14</v>
      </c>
    </row>
    <row r="8" spans="1:13" ht="33" customHeight="1">
      <c r="A8" s="25"/>
      <c r="B8" s="25"/>
      <c r="C8" s="25"/>
      <c r="D8" s="845" t="s">
        <v>635</v>
      </c>
      <c r="E8" s="11">
        <f ca="1">E9+E51+E58</f>
        <v>2865346.1</v>
      </c>
      <c r="F8" s="11">
        <f ca="1">F9+F51+F58</f>
        <v>2240417.1</v>
      </c>
      <c r="G8" s="11">
        <f>G9+G51+G58</f>
        <v>2238345.9349999996</v>
      </c>
      <c r="H8" s="11">
        <f ca="1">H9+H51+H58</f>
        <v>2071.165000000085</v>
      </c>
      <c r="I8" s="11">
        <f t="shared" ref="I8:I13" ca="1" si="0">G8/F8*100</f>
        <v>99.90755449063478</v>
      </c>
      <c r="J8" s="11">
        <f>J9+J51+J58</f>
        <v>1414252.1</v>
      </c>
      <c r="K8" s="11">
        <f ca="1">K9+K51+K58</f>
        <v>1381165.1580000001</v>
      </c>
      <c r="L8" s="11">
        <f ca="1">L9+L51+L58</f>
        <v>33086.942000000054</v>
      </c>
      <c r="M8" s="11">
        <f t="shared" ref="M8:M13" ca="1" si="1">K8/J8*100</f>
        <v>97.66046364718143</v>
      </c>
    </row>
    <row r="9" spans="1:13" ht="33.75" customHeight="1">
      <c r="A9" s="15">
        <v>1</v>
      </c>
      <c r="B9" s="16"/>
      <c r="C9" s="16"/>
      <c r="D9" s="17" t="s">
        <v>15</v>
      </c>
      <c r="E9" s="18">
        <f ca="1">E10+E19+E23+E30</f>
        <v>1451572.1</v>
      </c>
      <c r="F9" s="18">
        <f t="shared" ref="F9:H9" ca="1" si="2">F10+F19+F23+F30</f>
        <v>826643.1</v>
      </c>
      <c r="G9" s="18">
        <f t="shared" si="2"/>
        <v>824572.4709999999</v>
      </c>
      <c r="H9" s="18">
        <f t="shared" ca="1" si="2"/>
        <v>2070.6290000000049</v>
      </c>
      <c r="I9" s="18">
        <f t="shared" ca="1" si="0"/>
        <v>99.749513544599836</v>
      </c>
      <c r="J9" s="18">
        <f t="shared" ref="J9:L9" si="3">J10+J19+J23+J30</f>
        <v>823995.1</v>
      </c>
      <c r="K9" s="18">
        <f t="shared" ca="1" si="3"/>
        <v>821073.65700000001</v>
      </c>
      <c r="L9" s="18">
        <f t="shared" ca="1" si="3"/>
        <v>2921.4430000000048</v>
      </c>
      <c r="M9" s="18">
        <f t="shared" ca="1" si="1"/>
        <v>99.645453838257055</v>
      </c>
    </row>
    <row r="10" spans="1:13" ht="46.5" customHeight="1">
      <c r="A10" s="9"/>
      <c r="B10" s="20">
        <v>100</v>
      </c>
      <c r="C10" s="20"/>
      <c r="D10" s="21" t="s">
        <v>16</v>
      </c>
      <c r="E10" s="22">
        <f ca="1">SUM(E11:E18)</f>
        <v>243409</v>
      </c>
      <c r="F10" s="22">
        <f t="shared" ref="F10:H10" ca="1" si="4">SUM(F11:F18)</f>
        <v>130044</v>
      </c>
      <c r="G10" s="22">
        <f t="shared" si="4"/>
        <v>130001.27499999999</v>
      </c>
      <c r="H10" s="22">
        <f t="shared" ca="1" si="4"/>
        <v>42.725000000000023</v>
      </c>
      <c r="I10" s="22">
        <f t="shared" ca="1" si="0"/>
        <v>99.967145735289591</v>
      </c>
      <c r="J10" s="22">
        <f t="shared" ref="J10:L10" si="5">SUM(J11:J18)</f>
        <v>130044</v>
      </c>
      <c r="K10" s="22">
        <f t="shared" si="5"/>
        <v>130001.27499999999</v>
      </c>
      <c r="L10" s="22">
        <f t="shared" si="5"/>
        <v>42.725000000000023</v>
      </c>
      <c r="M10" s="22">
        <f t="shared" si="1"/>
        <v>99.967145735289591</v>
      </c>
    </row>
    <row r="11" spans="1:13" ht="19.5" customHeight="1">
      <c r="A11" s="861"/>
      <c r="B11" s="25"/>
      <c r="C11" s="25">
        <v>131</v>
      </c>
      <c r="D11" s="841" t="s">
        <v>294</v>
      </c>
      <c r="E11" s="11">
        <v>213219</v>
      </c>
      <c r="F11" s="11">
        <v>114512</v>
      </c>
      <c r="G11" s="11">
        <v>114512</v>
      </c>
      <c r="H11" s="11">
        <f>F11-G11</f>
        <v>0</v>
      </c>
      <c r="I11" s="11">
        <f t="shared" si="0"/>
        <v>100</v>
      </c>
      <c r="J11" s="11">
        <v>114512</v>
      </c>
      <c r="K11" s="11">
        <v>114512</v>
      </c>
      <c r="L11" s="11">
        <f>J11-K11</f>
        <v>0</v>
      </c>
      <c r="M11" s="11">
        <f t="shared" si="1"/>
        <v>100</v>
      </c>
    </row>
    <row r="12" spans="1:13" ht="31.5" customHeight="1">
      <c r="A12" s="863"/>
      <c r="B12" s="25"/>
      <c r="C12" s="25">
        <v>135</v>
      </c>
      <c r="D12" s="841" t="s">
        <v>18</v>
      </c>
      <c r="E12" s="11">
        <v>29355</v>
      </c>
      <c r="F12" s="11">
        <v>15230</v>
      </c>
      <c r="G12" s="11">
        <v>15230</v>
      </c>
      <c r="H12" s="11">
        <f t="shared" ref="H12:H50" si="6">F12-G12</f>
        <v>0</v>
      </c>
      <c r="I12" s="11">
        <f t="shared" si="0"/>
        <v>100</v>
      </c>
      <c r="J12" s="11">
        <v>15230</v>
      </c>
      <c r="K12" s="11">
        <v>15230</v>
      </c>
      <c r="L12" s="11">
        <f t="shared" ref="L12:L50" si="7">J12-K12</f>
        <v>0</v>
      </c>
      <c r="M12" s="11">
        <f t="shared" si="1"/>
        <v>100</v>
      </c>
    </row>
    <row r="13" spans="1:13" ht="31.5" customHeight="1">
      <c r="A13" s="863"/>
      <c r="B13" s="25"/>
      <c r="C13" s="25">
        <v>136</v>
      </c>
      <c r="D13" s="842" t="s">
        <v>19</v>
      </c>
      <c r="E13" s="11">
        <v>835</v>
      </c>
      <c r="F13" s="11">
        <v>302</v>
      </c>
      <c r="G13" s="11">
        <v>259.27499999999998</v>
      </c>
      <c r="H13" s="11">
        <f t="shared" si="6"/>
        <v>42.725000000000023</v>
      </c>
      <c r="I13" s="11">
        <f t="shared" si="0"/>
        <v>85.852649006622499</v>
      </c>
      <c r="J13" s="11">
        <v>302</v>
      </c>
      <c r="K13" s="11">
        <v>259.27499999999998</v>
      </c>
      <c r="L13" s="11">
        <f t="shared" si="7"/>
        <v>42.725000000000023</v>
      </c>
      <c r="M13" s="11">
        <f t="shared" si="1"/>
        <v>85.852649006622499</v>
      </c>
    </row>
    <row r="14" spans="1:13" ht="30" hidden="1" customHeight="1">
      <c r="A14" s="863"/>
      <c r="B14" s="25"/>
      <c r="C14" s="25">
        <v>165</v>
      </c>
      <c r="D14" s="26" t="s">
        <v>20</v>
      </c>
      <c r="E14" s="11">
        <v>0</v>
      </c>
      <c r="F14" s="11">
        <v>0</v>
      </c>
      <c r="G14" s="11">
        <v>0</v>
      </c>
      <c r="H14" s="11">
        <f t="shared" si="6"/>
        <v>0</v>
      </c>
      <c r="I14" s="11"/>
      <c r="J14" s="11">
        <v>0</v>
      </c>
      <c r="K14" s="11">
        <v>0</v>
      </c>
      <c r="L14" s="11">
        <f t="shared" si="7"/>
        <v>0</v>
      </c>
      <c r="M14" s="11"/>
    </row>
    <row r="15" spans="1:13" ht="165" hidden="1" customHeight="1">
      <c r="A15" s="862"/>
      <c r="B15" s="25"/>
      <c r="C15" s="25">
        <v>159</v>
      </c>
      <c r="D15" s="25" t="s">
        <v>21</v>
      </c>
      <c r="E15" s="11">
        <v>0</v>
      </c>
      <c r="F15" s="11">
        <v>0</v>
      </c>
      <c r="G15" s="11">
        <v>0</v>
      </c>
      <c r="H15" s="11">
        <f t="shared" si="6"/>
        <v>0</v>
      </c>
      <c r="I15" s="11" t="e">
        <f t="shared" ref="I15:I17" si="8">G15/F15*100</f>
        <v>#DIV/0!</v>
      </c>
      <c r="J15" s="11">
        <v>0</v>
      </c>
      <c r="K15" s="11">
        <v>0</v>
      </c>
      <c r="L15" s="11">
        <f t="shared" si="7"/>
        <v>0</v>
      </c>
      <c r="M15" s="11" t="e">
        <f t="shared" ref="M15:M17" si="9">K15/J15*100</f>
        <v>#DIV/0!</v>
      </c>
    </row>
    <row r="16" spans="1:13" ht="105" hidden="1" customHeight="1">
      <c r="A16" s="25"/>
      <c r="B16" s="25"/>
      <c r="C16" s="25">
        <v>169</v>
      </c>
      <c r="D16" s="25" t="s">
        <v>22</v>
      </c>
      <c r="E16" s="11">
        <v>0</v>
      </c>
      <c r="F16" s="11">
        <v>0</v>
      </c>
      <c r="G16" s="11">
        <v>0</v>
      </c>
      <c r="H16" s="11">
        <f t="shared" si="6"/>
        <v>0</v>
      </c>
      <c r="I16" s="11" t="e">
        <f t="shared" si="8"/>
        <v>#DIV/0!</v>
      </c>
      <c r="J16" s="11">
        <v>0</v>
      </c>
      <c r="K16" s="11">
        <v>0</v>
      </c>
      <c r="L16" s="11">
        <f t="shared" si="7"/>
        <v>0</v>
      </c>
      <c r="M16" s="11" t="e">
        <f t="shared" si="9"/>
        <v>#DIV/0!</v>
      </c>
    </row>
    <row r="17" spans="1:13" ht="15" hidden="1" customHeight="1">
      <c r="A17" s="25"/>
      <c r="B17" s="25"/>
      <c r="C17" s="25">
        <v>322</v>
      </c>
      <c r="D17" s="25" t="s">
        <v>23</v>
      </c>
      <c r="E17" s="11">
        <v>0</v>
      </c>
      <c r="F17" s="11">
        <v>0</v>
      </c>
      <c r="G17" s="11">
        <v>0</v>
      </c>
      <c r="H17" s="11">
        <f t="shared" si="6"/>
        <v>0</v>
      </c>
      <c r="I17" s="11" t="e">
        <f t="shared" si="8"/>
        <v>#DIV/0!</v>
      </c>
      <c r="J17" s="11">
        <v>0</v>
      </c>
      <c r="K17" s="11">
        <v>0</v>
      </c>
      <c r="L17" s="11">
        <f t="shared" si="7"/>
        <v>0</v>
      </c>
      <c r="M17" s="11" t="e">
        <f t="shared" si="9"/>
        <v>#DIV/0!</v>
      </c>
    </row>
    <row r="18" spans="1:13" ht="45" hidden="1" customHeight="1">
      <c r="A18" s="25"/>
      <c r="B18" s="25"/>
      <c r="C18" s="27">
        <v>414</v>
      </c>
      <c r="D18" s="28" t="s">
        <v>24</v>
      </c>
      <c r="E18" s="11">
        <f ca="1">ЦА!E18+'СВОД терр'!E18</f>
        <v>0</v>
      </c>
      <c r="F18" s="11">
        <f ca="1">ЦА!F18+'СВОД терр'!F18</f>
        <v>0</v>
      </c>
      <c r="G18" s="11">
        <v>0</v>
      </c>
      <c r="H18" s="11">
        <f t="shared" ca="1" si="6"/>
        <v>0</v>
      </c>
      <c r="I18" s="11"/>
      <c r="J18" s="11">
        <v>0</v>
      </c>
      <c r="K18" s="11">
        <v>0</v>
      </c>
      <c r="L18" s="11">
        <f t="shared" si="7"/>
        <v>0</v>
      </c>
      <c r="M18" s="11"/>
    </row>
    <row r="19" spans="1:13" ht="57.75" hidden="1" customHeight="1">
      <c r="A19" s="9"/>
      <c r="B19" s="20">
        <v>104</v>
      </c>
      <c r="C19" s="8"/>
      <c r="D19" s="29" t="s">
        <v>25</v>
      </c>
      <c r="E19" s="22">
        <f>SUM(E20:E22)</f>
        <v>0</v>
      </c>
      <c r="F19" s="22">
        <f t="shared" ref="F19:H19" si="10">SUM(F20:F22)</f>
        <v>0</v>
      </c>
      <c r="G19" s="22">
        <f t="shared" si="10"/>
        <v>0</v>
      </c>
      <c r="H19" s="22">
        <f t="shared" si="10"/>
        <v>0</v>
      </c>
      <c r="I19" s="22" t="e">
        <f t="shared" ref="I19:I22" si="11">G19/F19*100</f>
        <v>#DIV/0!</v>
      </c>
      <c r="J19" s="22">
        <f t="shared" ref="J19:L19" si="12">SUM(J20:J22)</f>
        <v>0</v>
      </c>
      <c r="K19" s="22">
        <f t="shared" si="12"/>
        <v>0</v>
      </c>
      <c r="L19" s="22">
        <f t="shared" si="12"/>
        <v>0</v>
      </c>
      <c r="M19" s="22" t="e">
        <f t="shared" ref="M19:M22" si="13">K19/J19*100</f>
        <v>#DIV/0!</v>
      </c>
    </row>
    <row r="20" spans="1:13" ht="210" hidden="1" customHeight="1">
      <c r="A20" s="25"/>
      <c r="B20" s="25"/>
      <c r="C20" s="25">
        <v>149</v>
      </c>
      <c r="D20" s="25" t="s">
        <v>26</v>
      </c>
      <c r="E20" s="11">
        <v>0</v>
      </c>
      <c r="F20" s="11">
        <v>0</v>
      </c>
      <c r="G20" s="11">
        <v>0</v>
      </c>
      <c r="H20" s="11">
        <f t="shared" si="6"/>
        <v>0</v>
      </c>
      <c r="I20" s="11" t="e">
        <f t="shared" si="11"/>
        <v>#DIV/0!</v>
      </c>
      <c r="J20" s="11">
        <v>0</v>
      </c>
      <c r="K20" s="11">
        <v>0</v>
      </c>
      <c r="L20" s="11">
        <f t="shared" si="7"/>
        <v>0</v>
      </c>
      <c r="M20" s="11" t="e">
        <f t="shared" si="13"/>
        <v>#DIV/0!</v>
      </c>
    </row>
    <row r="21" spans="1:13" ht="15" hidden="1" customHeight="1">
      <c r="A21" s="25"/>
      <c r="B21" s="25"/>
      <c r="C21" s="25">
        <v>152</v>
      </c>
      <c r="D21" s="25" t="s">
        <v>28</v>
      </c>
      <c r="E21" s="11">
        <v>0</v>
      </c>
      <c r="F21" s="11">
        <v>0</v>
      </c>
      <c r="G21" s="11">
        <v>0</v>
      </c>
      <c r="H21" s="11">
        <f t="shared" si="6"/>
        <v>0</v>
      </c>
      <c r="I21" s="11" t="e">
        <f t="shared" si="11"/>
        <v>#DIV/0!</v>
      </c>
      <c r="J21" s="11">
        <v>0</v>
      </c>
      <c r="K21" s="11">
        <v>0</v>
      </c>
      <c r="L21" s="11">
        <f t="shared" si="7"/>
        <v>0</v>
      </c>
      <c r="M21" s="11" t="e">
        <f t="shared" si="13"/>
        <v>#DIV/0!</v>
      </c>
    </row>
    <row r="22" spans="1:13" ht="15" hidden="1" customHeight="1">
      <c r="A22" s="25"/>
      <c r="B22" s="25"/>
      <c r="C22" s="25">
        <v>159</v>
      </c>
      <c r="D22" s="25" t="s">
        <v>29</v>
      </c>
      <c r="E22" s="11">
        <v>0</v>
      </c>
      <c r="F22" s="11">
        <v>0</v>
      </c>
      <c r="G22" s="11">
        <v>0</v>
      </c>
      <c r="H22" s="11">
        <f t="shared" si="6"/>
        <v>0</v>
      </c>
      <c r="I22" s="11" t="e">
        <f t="shared" si="11"/>
        <v>#DIV/0!</v>
      </c>
      <c r="J22" s="11">
        <v>0</v>
      </c>
      <c r="K22" s="11">
        <v>0</v>
      </c>
      <c r="L22" s="11">
        <f t="shared" si="7"/>
        <v>0</v>
      </c>
      <c r="M22" s="11" t="e">
        <f t="shared" si="13"/>
        <v>#DIV/0!</v>
      </c>
    </row>
    <row r="23" spans="1:13" ht="29.25" hidden="1">
      <c r="A23" s="30"/>
      <c r="B23" s="31">
        <v>111</v>
      </c>
      <c r="C23" s="30"/>
      <c r="D23" s="32" t="s">
        <v>639</v>
      </c>
      <c r="E23" s="33">
        <f ca="1">SUM(E24:E29)</f>
        <v>0</v>
      </c>
      <c r="F23" s="33">
        <f t="shared" ref="F23:H23" si="14">SUM(F24:F29)</f>
        <v>0</v>
      </c>
      <c r="G23" s="33">
        <f t="shared" si="14"/>
        <v>0</v>
      </c>
      <c r="H23" s="33">
        <f t="shared" si="14"/>
        <v>0</v>
      </c>
      <c r="I23" s="33"/>
      <c r="J23" s="33">
        <f t="shared" ref="J23:L23" si="15">SUM(J24:J29)</f>
        <v>0</v>
      </c>
      <c r="K23" s="33">
        <f t="shared" ca="1" si="15"/>
        <v>0</v>
      </c>
      <c r="L23" s="33">
        <f t="shared" ca="1" si="15"/>
        <v>0</v>
      </c>
      <c r="M23" s="33"/>
    </row>
    <row r="24" spans="1:13" ht="30" hidden="1" customHeight="1">
      <c r="A24" s="25"/>
      <c r="B24" s="25"/>
      <c r="C24" s="25">
        <v>412</v>
      </c>
      <c r="D24" s="26" t="s">
        <v>31</v>
      </c>
      <c r="E24" s="11">
        <v>0</v>
      </c>
      <c r="F24" s="11">
        <v>0</v>
      </c>
      <c r="G24" s="11">
        <v>0</v>
      </c>
      <c r="H24" s="11">
        <f t="shared" si="6"/>
        <v>0</v>
      </c>
      <c r="I24" s="11"/>
      <c r="J24" s="11">
        <v>0</v>
      </c>
      <c r="K24" s="11">
        <v>0</v>
      </c>
      <c r="L24" s="11">
        <f t="shared" si="7"/>
        <v>0</v>
      </c>
      <c r="M24" s="11"/>
    </row>
    <row r="25" spans="1:13" ht="15" hidden="1" customHeight="1">
      <c r="A25" s="25"/>
      <c r="B25" s="25"/>
      <c r="C25" s="25">
        <v>413</v>
      </c>
      <c r="D25" s="25" t="s">
        <v>32</v>
      </c>
      <c r="E25" s="11">
        <v>0</v>
      </c>
      <c r="F25" s="11">
        <v>0</v>
      </c>
      <c r="G25" s="11">
        <v>0</v>
      </c>
      <c r="H25" s="11">
        <f t="shared" si="6"/>
        <v>0</v>
      </c>
      <c r="I25" s="11" t="e">
        <f t="shared" ref="I25" si="16">G25/F25*100</f>
        <v>#DIV/0!</v>
      </c>
      <c r="J25" s="11">
        <v>0</v>
      </c>
      <c r="K25" s="11">
        <v>0</v>
      </c>
      <c r="L25" s="11">
        <f t="shared" si="7"/>
        <v>0</v>
      </c>
      <c r="M25" s="11"/>
    </row>
    <row r="26" spans="1:13" ht="45" hidden="1">
      <c r="A26" s="25"/>
      <c r="B26" s="25"/>
      <c r="C26" s="25">
        <v>414</v>
      </c>
      <c r="D26" s="842" t="s">
        <v>24</v>
      </c>
      <c r="E26" s="11">
        <v>0</v>
      </c>
      <c r="F26" s="11">
        <v>0</v>
      </c>
      <c r="G26" s="11">
        <v>0</v>
      </c>
      <c r="H26" s="11">
        <f t="shared" si="6"/>
        <v>0</v>
      </c>
      <c r="I26" s="11"/>
      <c r="J26" s="11">
        <v>0</v>
      </c>
      <c r="K26" s="11">
        <v>0</v>
      </c>
      <c r="L26" s="11">
        <f t="shared" si="7"/>
        <v>0</v>
      </c>
      <c r="M26" s="11"/>
    </row>
    <row r="27" spans="1:13" ht="30" hidden="1" customHeight="1">
      <c r="A27" s="25"/>
      <c r="B27" s="25"/>
      <c r="C27" s="25">
        <v>416</v>
      </c>
      <c r="D27" s="842" t="s">
        <v>601</v>
      </c>
      <c r="E27" s="11">
        <f ca="1">ЦА!E27+'СВОД терр'!E27</f>
        <v>0</v>
      </c>
      <c r="F27" s="11">
        <v>0</v>
      </c>
      <c r="G27" s="11">
        <v>0</v>
      </c>
      <c r="H27" s="11">
        <f t="shared" si="6"/>
        <v>0</v>
      </c>
      <c r="I27" s="11"/>
      <c r="J27" s="11">
        <v>0</v>
      </c>
      <c r="K27" s="11">
        <v>0</v>
      </c>
      <c r="L27" s="11">
        <f t="shared" si="7"/>
        <v>0</v>
      </c>
      <c r="M27" s="11"/>
    </row>
    <row r="28" spans="1:13" ht="210" hidden="1" customHeight="1">
      <c r="A28" s="25"/>
      <c r="B28" s="25"/>
      <c r="C28" s="25">
        <v>419</v>
      </c>
      <c r="D28" s="842" t="s">
        <v>600</v>
      </c>
      <c r="E28" s="11">
        <f ca="1">ЦА!E28+'СВОД терр'!E28</f>
        <v>0</v>
      </c>
      <c r="F28" s="11">
        <v>0</v>
      </c>
      <c r="G28" s="11">
        <v>0</v>
      </c>
      <c r="H28" s="11">
        <f t="shared" si="6"/>
        <v>0</v>
      </c>
      <c r="I28" s="11"/>
      <c r="J28" s="11">
        <v>0</v>
      </c>
      <c r="K28" s="11">
        <f ca="1">ЦА!L28+'СВОД терр'!L28</f>
        <v>0</v>
      </c>
      <c r="L28" s="11">
        <f t="shared" ca="1" si="7"/>
        <v>0</v>
      </c>
      <c r="M28" s="11"/>
    </row>
    <row r="29" spans="1:13" ht="30" hidden="1">
      <c r="A29" s="25"/>
      <c r="B29" s="25"/>
      <c r="C29" s="25">
        <v>421</v>
      </c>
      <c r="D29" s="842" t="s">
        <v>35</v>
      </c>
      <c r="E29" s="11">
        <v>0</v>
      </c>
      <c r="F29" s="11">
        <v>0</v>
      </c>
      <c r="G29" s="11">
        <v>0</v>
      </c>
      <c r="H29" s="11">
        <f t="shared" si="6"/>
        <v>0</v>
      </c>
      <c r="I29" s="11"/>
      <c r="J29" s="11">
        <v>0</v>
      </c>
      <c r="K29" s="11">
        <v>0</v>
      </c>
      <c r="L29" s="11">
        <f t="shared" si="7"/>
        <v>0</v>
      </c>
      <c r="M29" s="11"/>
    </row>
    <row r="30" spans="1:13" ht="18" customHeight="1">
      <c r="A30" s="9"/>
      <c r="B30" s="20">
        <v>123</v>
      </c>
      <c r="C30" s="20"/>
      <c r="D30" s="34" t="s">
        <v>36</v>
      </c>
      <c r="E30" s="22">
        <f>SUM(E31:E50)</f>
        <v>1208163.1000000001</v>
      </c>
      <c r="F30" s="22">
        <f>SUM(F31:F50)</f>
        <v>696599.1</v>
      </c>
      <c r="G30" s="22">
        <f>SUM(G31:G50)</f>
        <v>694571.19599999988</v>
      </c>
      <c r="H30" s="22">
        <f>SUM(H31:H50)</f>
        <v>2027.9040000000048</v>
      </c>
      <c r="I30" s="22">
        <f t="shared" ref="I30:I50" si="17">G30/F30*100</f>
        <v>99.70888506746563</v>
      </c>
      <c r="J30" s="22">
        <f>SUM(J31:J50)</f>
        <v>693951.1</v>
      </c>
      <c r="K30" s="22">
        <f>SUM(K31:K50)</f>
        <v>691072.38199999998</v>
      </c>
      <c r="L30" s="22">
        <f>SUM(L31:L50)</f>
        <v>2878.7180000000048</v>
      </c>
      <c r="M30" s="22">
        <f t="shared" ref="M30:M50" si="18">K30/J30*100</f>
        <v>99.585169906063982</v>
      </c>
    </row>
    <row r="31" spans="1:13" ht="16.5" customHeight="1">
      <c r="A31" s="861"/>
      <c r="B31" s="25"/>
      <c r="C31" s="25">
        <v>111</v>
      </c>
      <c r="D31" s="25" t="s">
        <v>37</v>
      </c>
      <c r="E31" s="11">
        <v>694694</v>
      </c>
      <c r="F31" s="11">
        <v>319694</v>
      </c>
      <c r="G31" s="11">
        <v>319694</v>
      </c>
      <c r="H31" s="11">
        <f t="shared" si="6"/>
        <v>0</v>
      </c>
      <c r="I31" s="11">
        <f t="shared" si="17"/>
        <v>100</v>
      </c>
      <c r="J31" s="11">
        <v>319694</v>
      </c>
      <c r="K31" s="11">
        <v>319694</v>
      </c>
      <c r="L31" s="11">
        <f t="shared" si="7"/>
        <v>0</v>
      </c>
      <c r="M31" s="11">
        <f t="shared" si="18"/>
        <v>100</v>
      </c>
    </row>
    <row r="32" spans="1:13" ht="16.5" customHeight="1">
      <c r="A32" s="863"/>
      <c r="B32" s="25"/>
      <c r="C32" s="25">
        <v>112</v>
      </c>
      <c r="D32" s="25" t="s">
        <v>38</v>
      </c>
      <c r="E32" s="11">
        <v>165477.79999999999</v>
      </c>
      <c r="F32" s="11">
        <v>165477.79999999999</v>
      </c>
      <c r="G32" s="11">
        <v>165477.79999999999</v>
      </c>
      <c r="H32" s="11">
        <f t="shared" si="6"/>
        <v>0</v>
      </c>
      <c r="I32" s="11">
        <f t="shared" si="17"/>
        <v>100</v>
      </c>
      <c r="J32" s="11">
        <v>165477.79999999999</v>
      </c>
      <c r="K32" s="11">
        <v>165477.79999999999</v>
      </c>
      <c r="L32" s="11">
        <f t="shared" si="7"/>
        <v>0</v>
      </c>
      <c r="M32" s="11">
        <f t="shared" si="18"/>
        <v>100</v>
      </c>
    </row>
    <row r="33" spans="1:13" ht="16.5" customHeight="1">
      <c r="A33" s="863"/>
      <c r="B33" s="25"/>
      <c r="C33" s="25">
        <v>113</v>
      </c>
      <c r="D33" s="25" t="s">
        <v>39</v>
      </c>
      <c r="E33" s="11">
        <v>124950</v>
      </c>
      <c r="F33" s="11">
        <v>73065</v>
      </c>
      <c r="G33" s="11">
        <v>72935.657999999996</v>
      </c>
      <c r="H33" s="11">
        <f t="shared" si="6"/>
        <v>129.34200000000419</v>
      </c>
      <c r="I33" s="11">
        <f t="shared" si="17"/>
        <v>99.82297680147812</v>
      </c>
      <c r="J33" s="11">
        <v>73065</v>
      </c>
      <c r="K33" s="11">
        <v>72935.657999999996</v>
      </c>
      <c r="L33" s="11">
        <f t="shared" si="7"/>
        <v>129.34200000000419</v>
      </c>
      <c r="M33" s="11">
        <f t="shared" si="18"/>
        <v>99.82297680147812</v>
      </c>
    </row>
    <row r="34" spans="1:13" ht="32.25" customHeight="1">
      <c r="A34" s="863"/>
      <c r="B34" s="25"/>
      <c r="C34" s="25">
        <v>116</v>
      </c>
      <c r="D34" s="977" t="s">
        <v>40</v>
      </c>
      <c r="E34" s="11">
        <v>18766.099999999999</v>
      </c>
      <c r="F34" s="11">
        <v>10504.1</v>
      </c>
      <c r="G34" s="11">
        <v>10504.1</v>
      </c>
      <c r="H34" s="11">
        <f t="shared" si="6"/>
        <v>0</v>
      </c>
      <c r="I34" s="11">
        <f t="shared" si="17"/>
        <v>100</v>
      </c>
      <c r="J34" s="11">
        <v>10504.1</v>
      </c>
      <c r="K34" s="11">
        <v>10504.1</v>
      </c>
      <c r="L34" s="11">
        <f t="shared" si="7"/>
        <v>0</v>
      </c>
      <c r="M34" s="11">
        <f t="shared" si="18"/>
        <v>100</v>
      </c>
    </row>
    <row r="35" spans="1:13" ht="16.5" customHeight="1">
      <c r="A35" s="863"/>
      <c r="B35" s="25"/>
      <c r="C35" s="25">
        <v>121</v>
      </c>
      <c r="D35" s="25" t="s">
        <v>41</v>
      </c>
      <c r="E35" s="11">
        <v>48455.6</v>
      </c>
      <c r="F35" s="11">
        <v>28569.599999999999</v>
      </c>
      <c r="G35" s="11">
        <v>28569.599999999999</v>
      </c>
      <c r="H35" s="11">
        <f t="shared" si="6"/>
        <v>0</v>
      </c>
      <c r="I35" s="11">
        <f t="shared" si="17"/>
        <v>100</v>
      </c>
      <c r="J35" s="11">
        <v>28569.599999999999</v>
      </c>
      <c r="K35" s="11">
        <v>28569.599999999999</v>
      </c>
      <c r="L35" s="11">
        <f t="shared" si="7"/>
        <v>0</v>
      </c>
      <c r="M35" s="11">
        <f t="shared" si="18"/>
        <v>100</v>
      </c>
    </row>
    <row r="36" spans="1:13" ht="16.5" customHeight="1">
      <c r="A36" s="863"/>
      <c r="B36" s="25"/>
      <c r="C36" s="25">
        <v>122</v>
      </c>
      <c r="D36" s="25" t="s">
        <v>42</v>
      </c>
      <c r="E36" s="11">
        <v>36838</v>
      </c>
      <c r="F36" s="11">
        <v>19972</v>
      </c>
      <c r="G36" s="11">
        <v>19972</v>
      </c>
      <c r="H36" s="11">
        <f t="shared" si="6"/>
        <v>0</v>
      </c>
      <c r="I36" s="11">
        <f t="shared" si="17"/>
        <v>100</v>
      </c>
      <c r="J36" s="11">
        <v>19972</v>
      </c>
      <c r="K36" s="11">
        <v>19972</v>
      </c>
      <c r="L36" s="11">
        <f t="shared" si="7"/>
        <v>0</v>
      </c>
      <c r="M36" s="11">
        <f t="shared" si="18"/>
        <v>100</v>
      </c>
    </row>
    <row r="37" spans="1:13" ht="16.5" customHeight="1">
      <c r="A37" s="863"/>
      <c r="B37" s="25"/>
      <c r="C37" s="25">
        <v>123</v>
      </c>
      <c r="D37" s="841" t="s">
        <v>43</v>
      </c>
      <c r="E37" s="11">
        <v>589</v>
      </c>
      <c r="F37" s="11">
        <v>589</v>
      </c>
      <c r="G37" s="11">
        <v>500.52100000000002</v>
      </c>
      <c r="H37" s="11">
        <f t="shared" si="6"/>
        <v>88.478999999999985</v>
      </c>
      <c r="I37" s="11">
        <f t="shared" si="17"/>
        <v>84.978098471986414</v>
      </c>
      <c r="J37" s="11">
        <v>488</v>
      </c>
      <c r="K37" s="11">
        <v>347.08699999999999</v>
      </c>
      <c r="L37" s="11">
        <f t="shared" si="7"/>
        <v>140.91300000000001</v>
      </c>
      <c r="M37" s="11">
        <f t="shared" si="18"/>
        <v>71.124385245901635</v>
      </c>
    </row>
    <row r="38" spans="1:13" ht="30">
      <c r="A38" s="863"/>
      <c r="B38" s="25"/>
      <c r="C38" s="25">
        <v>124</v>
      </c>
      <c r="D38" s="841" t="s">
        <v>44</v>
      </c>
      <c r="E38" s="11">
        <v>23534</v>
      </c>
      <c r="F38" s="11">
        <v>12284</v>
      </c>
      <c r="G38" s="11">
        <v>11957.8</v>
      </c>
      <c r="H38" s="11">
        <f t="shared" si="6"/>
        <v>326.20000000000073</v>
      </c>
      <c r="I38" s="11">
        <f t="shared" si="17"/>
        <v>97.344513187886676</v>
      </c>
      <c r="J38" s="11">
        <v>12284</v>
      </c>
      <c r="K38" s="11">
        <v>11957.8</v>
      </c>
      <c r="L38" s="11">
        <f t="shared" si="7"/>
        <v>326.20000000000073</v>
      </c>
      <c r="M38" s="11">
        <f t="shared" si="18"/>
        <v>97.344513187886676</v>
      </c>
    </row>
    <row r="39" spans="1:13" ht="30.75" customHeight="1">
      <c r="A39" s="863"/>
      <c r="B39" s="25"/>
      <c r="C39" s="25">
        <v>142</v>
      </c>
      <c r="D39" s="841" t="s">
        <v>649</v>
      </c>
      <c r="E39" s="11">
        <v>375</v>
      </c>
      <c r="F39" s="11">
        <v>0</v>
      </c>
      <c r="G39" s="11">
        <v>0</v>
      </c>
      <c r="H39" s="11">
        <f t="shared" si="6"/>
        <v>0</v>
      </c>
      <c r="I39" s="11">
        <v>0</v>
      </c>
      <c r="J39" s="11">
        <v>0</v>
      </c>
      <c r="K39" s="11">
        <v>0</v>
      </c>
      <c r="L39" s="11">
        <f t="shared" si="7"/>
        <v>0</v>
      </c>
      <c r="M39" s="11">
        <v>0</v>
      </c>
    </row>
    <row r="40" spans="1:13" ht="30">
      <c r="A40" s="863"/>
      <c r="B40" s="25"/>
      <c r="C40" s="25">
        <v>144</v>
      </c>
      <c r="D40" s="842" t="s">
        <v>46</v>
      </c>
      <c r="E40" s="11">
        <v>16467</v>
      </c>
      <c r="F40" s="11">
        <v>181</v>
      </c>
      <c r="G40" s="11">
        <v>180.96</v>
      </c>
      <c r="H40" s="11">
        <f t="shared" si="6"/>
        <v>3.9999999999992042E-2</v>
      </c>
      <c r="I40" s="11">
        <f t="shared" si="17"/>
        <v>99.97790055248619</v>
      </c>
      <c r="J40" s="11">
        <v>181</v>
      </c>
      <c r="K40" s="11">
        <v>180.96</v>
      </c>
      <c r="L40" s="11">
        <f t="shared" si="7"/>
        <v>3.9999999999992042E-2</v>
      </c>
      <c r="M40" s="11">
        <f t="shared" si="18"/>
        <v>99.97790055248619</v>
      </c>
    </row>
    <row r="41" spans="1:13" ht="17.25" customHeight="1">
      <c r="A41" s="863"/>
      <c r="B41" s="25"/>
      <c r="C41" s="25">
        <v>149</v>
      </c>
      <c r="D41" s="843" t="s">
        <v>26</v>
      </c>
      <c r="E41" s="11">
        <v>15014.5</v>
      </c>
      <c r="F41" s="11">
        <v>12267.5</v>
      </c>
      <c r="G41" s="11">
        <v>12231.5</v>
      </c>
      <c r="H41" s="11">
        <f t="shared" si="6"/>
        <v>36</v>
      </c>
      <c r="I41" s="11">
        <f t="shared" si="17"/>
        <v>99.706541675157936</v>
      </c>
      <c r="J41" s="11">
        <v>12267.5</v>
      </c>
      <c r="K41" s="11">
        <v>11937.902</v>
      </c>
      <c r="L41" s="11">
        <f t="shared" si="7"/>
        <v>329.59799999999996</v>
      </c>
      <c r="M41" s="11">
        <f t="shared" si="18"/>
        <v>97.313242306908492</v>
      </c>
    </row>
    <row r="42" spans="1:13" ht="17.25" customHeight="1">
      <c r="A42" s="863"/>
      <c r="B42" s="25"/>
      <c r="C42" s="25">
        <v>151</v>
      </c>
      <c r="D42" s="841" t="s">
        <v>47</v>
      </c>
      <c r="E42" s="11">
        <v>41822</v>
      </c>
      <c r="F42" s="11">
        <v>40372</v>
      </c>
      <c r="G42" s="11">
        <v>40372</v>
      </c>
      <c r="H42" s="11">
        <f t="shared" si="6"/>
        <v>0</v>
      </c>
      <c r="I42" s="11">
        <f t="shared" si="17"/>
        <v>100</v>
      </c>
      <c r="J42" s="11">
        <v>40372</v>
      </c>
      <c r="K42" s="11">
        <v>40372</v>
      </c>
      <c r="L42" s="11">
        <f t="shared" si="7"/>
        <v>0</v>
      </c>
      <c r="M42" s="11">
        <f t="shared" si="18"/>
        <v>100</v>
      </c>
    </row>
    <row r="43" spans="1:13" ht="17.25" customHeight="1">
      <c r="A43" s="863"/>
      <c r="B43" s="25"/>
      <c r="C43" s="25">
        <v>152</v>
      </c>
      <c r="D43" s="842" t="s">
        <v>28</v>
      </c>
      <c r="E43" s="11">
        <v>1800</v>
      </c>
      <c r="F43" s="11">
        <v>1500</v>
      </c>
      <c r="G43" s="11">
        <v>1499.6</v>
      </c>
      <c r="H43" s="11">
        <f t="shared" si="6"/>
        <v>0.40000000000009095</v>
      </c>
      <c r="I43" s="11">
        <f t="shared" si="17"/>
        <v>99.973333333333329</v>
      </c>
      <c r="J43" s="11">
        <v>610</v>
      </c>
      <c r="K43" s="11">
        <v>610</v>
      </c>
      <c r="L43" s="11">
        <f t="shared" si="7"/>
        <v>0</v>
      </c>
      <c r="M43" s="11">
        <f t="shared" si="18"/>
        <v>100</v>
      </c>
    </row>
    <row r="44" spans="1:13" ht="17.25" hidden="1" customHeight="1">
      <c r="A44" s="863"/>
      <c r="B44" s="25"/>
      <c r="C44" s="25">
        <v>153</v>
      </c>
      <c r="D44" s="25" t="s">
        <v>48</v>
      </c>
      <c r="E44" s="11">
        <v>0</v>
      </c>
      <c r="F44" s="11">
        <v>0</v>
      </c>
      <c r="G44" s="11">
        <v>0</v>
      </c>
      <c r="H44" s="11">
        <f t="shared" si="6"/>
        <v>0</v>
      </c>
      <c r="I44" s="11" t="e">
        <f t="shared" si="17"/>
        <v>#DIV/0!</v>
      </c>
      <c r="J44" s="11">
        <v>0</v>
      </c>
      <c r="K44" s="11">
        <v>0</v>
      </c>
      <c r="L44" s="11">
        <f t="shared" si="7"/>
        <v>0</v>
      </c>
      <c r="M44" s="11" t="e">
        <f t="shared" si="18"/>
        <v>#DIV/0!</v>
      </c>
    </row>
    <row r="45" spans="1:13" ht="17.25" hidden="1" customHeight="1">
      <c r="A45" s="863"/>
      <c r="B45" s="25"/>
      <c r="C45" s="25">
        <v>154</v>
      </c>
      <c r="D45" s="25" t="s">
        <v>49</v>
      </c>
      <c r="E45" s="11">
        <v>0</v>
      </c>
      <c r="F45" s="11">
        <v>0</v>
      </c>
      <c r="G45" s="11">
        <v>0</v>
      </c>
      <c r="H45" s="11">
        <f t="shared" si="6"/>
        <v>0</v>
      </c>
      <c r="I45" s="11" t="e">
        <f t="shared" si="17"/>
        <v>#DIV/0!</v>
      </c>
      <c r="J45" s="11">
        <v>0</v>
      </c>
      <c r="K45" s="11">
        <v>0</v>
      </c>
      <c r="L45" s="11">
        <f t="shared" si="7"/>
        <v>0</v>
      </c>
      <c r="M45" s="11" t="e">
        <f t="shared" si="18"/>
        <v>#DIV/0!</v>
      </c>
    </row>
    <row r="46" spans="1:13" ht="17.25" customHeight="1">
      <c r="A46" s="863"/>
      <c r="B46" s="25"/>
      <c r="C46" s="25">
        <v>159</v>
      </c>
      <c r="D46" s="842" t="s">
        <v>29</v>
      </c>
      <c r="E46" s="11">
        <v>7492</v>
      </c>
      <c r="F46" s="11">
        <v>5227</v>
      </c>
      <c r="G46" s="11">
        <v>3779.6260000000002</v>
      </c>
      <c r="H46" s="11">
        <f t="shared" si="6"/>
        <v>1447.3739999999998</v>
      </c>
      <c r="I46" s="11">
        <f t="shared" si="17"/>
        <v>72.309661373636885</v>
      </c>
      <c r="J46" s="11">
        <v>3570</v>
      </c>
      <c r="K46" s="11">
        <v>1617.444</v>
      </c>
      <c r="L46" s="11">
        <f t="shared" si="7"/>
        <v>1952.556</v>
      </c>
      <c r="M46" s="11">
        <f t="shared" si="18"/>
        <v>45.30655462184874</v>
      </c>
    </row>
    <row r="47" spans="1:13" ht="30">
      <c r="A47" s="862"/>
      <c r="B47" s="25"/>
      <c r="C47" s="25">
        <v>161</v>
      </c>
      <c r="D47" s="842" t="s">
        <v>640</v>
      </c>
      <c r="E47" s="11">
        <v>11150</v>
      </c>
      <c r="F47" s="11">
        <v>6547</v>
      </c>
      <c r="G47" s="11">
        <v>6547</v>
      </c>
      <c r="H47" s="11">
        <f t="shared" si="6"/>
        <v>0</v>
      </c>
      <c r="I47" s="11">
        <f t="shared" si="17"/>
        <v>100</v>
      </c>
      <c r="J47" s="11">
        <v>6547</v>
      </c>
      <c r="K47" s="11">
        <v>6547</v>
      </c>
      <c r="L47" s="11">
        <f t="shared" si="7"/>
        <v>0</v>
      </c>
      <c r="M47" s="11">
        <f t="shared" si="18"/>
        <v>100</v>
      </c>
    </row>
    <row r="48" spans="1:13" ht="30" customHeight="1">
      <c r="A48" s="46"/>
      <c r="B48" s="25"/>
      <c r="C48" s="25">
        <v>165</v>
      </c>
      <c r="D48" s="842" t="s">
        <v>644</v>
      </c>
      <c r="E48" s="11">
        <v>20.100000000000001</v>
      </c>
      <c r="F48" s="11">
        <v>20.100000000000001</v>
      </c>
      <c r="G48" s="11">
        <v>20.030999999999999</v>
      </c>
      <c r="H48" s="11">
        <f t="shared" si="6"/>
        <v>6.9000000000002615E-2</v>
      </c>
      <c r="I48" s="11">
        <f t="shared" si="17"/>
        <v>99.656716417910431</v>
      </c>
      <c r="J48" s="11">
        <v>20.100000000000001</v>
      </c>
      <c r="K48" s="11">
        <v>20.030999999999999</v>
      </c>
      <c r="L48" s="11">
        <f t="shared" si="7"/>
        <v>6.9000000000002615E-2</v>
      </c>
      <c r="M48" s="11">
        <f t="shared" si="18"/>
        <v>99.656716417910431</v>
      </c>
    </row>
    <row r="49" spans="1:13" s="850" customFormat="1" ht="18.75" customHeight="1">
      <c r="A49" s="46"/>
      <c r="B49" s="25"/>
      <c r="C49" s="25">
        <v>168</v>
      </c>
      <c r="D49" s="842" t="s">
        <v>645</v>
      </c>
      <c r="E49" s="11">
        <v>655</v>
      </c>
      <c r="F49" s="11">
        <v>329</v>
      </c>
      <c r="G49" s="11">
        <v>329</v>
      </c>
      <c r="H49" s="11">
        <f t="shared" si="6"/>
        <v>0</v>
      </c>
      <c r="I49" s="11">
        <f t="shared" si="17"/>
        <v>100</v>
      </c>
      <c r="J49" s="11">
        <v>329</v>
      </c>
      <c r="K49" s="11">
        <v>329</v>
      </c>
      <c r="L49" s="11">
        <f t="shared" si="7"/>
        <v>0</v>
      </c>
      <c r="M49" s="11">
        <f t="shared" si="18"/>
        <v>100</v>
      </c>
    </row>
    <row r="50" spans="1:13" ht="16.5" customHeight="1">
      <c r="A50" s="25"/>
      <c r="B50" s="25"/>
      <c r="C50" s="25">
        <v>169</v>
      </c>
      <c r="D50" s="844" t="s">
        <v>22</v>
      </c>
      <c r="E50" s="11">
        <v>63</v>
      </c>
      <c r="F50" s="11">
        <v>0</v>
      </c>
      <c r="G50" s="11">
        <v>0</v>
      </c>
      <c r="H50" s="11">
        <f t="shared" si="6"/>
        <v>0</v>
      </c>
      <c r="I50" s="11">
        <v>0</v>
      </c>
      <c r="J50" s="11">
        <v>0</v>
      </c>
      <c r="K50" s="11">
        <v>0</v>
      </c>
      <c r="L50" s="11">
        <f t="shared" si="7"/>
        <v>0</v>
      </c>
      <c r="M50" s="11">
        <v>0</v>
      </c>
    </row>
    <row r="51" spans="1:13" ht="15">
      <c r="A51" s="37">
        <v>70</v>
      </c>
      <c r="B51" s="38"/>
      <c r="C51" s="38"/>
      <c r="D51" s="39" t="s">
        <v>51</v>
      </c>
      <c r="E51" s="40">
        <f>E52</f>
        <v>1409764</v>
      </c>
      <c r="F51" s="40">
        <f t="shared" ref="F51:H51" si="19">F52</f>
        <v>1409764</v>
      </c>
      <c r="G51" s="40">
        <f t="shared" si="19"/>
        <v>1409763.4639999999</v>
      </c>
      <c r="H51" s="40">
        <f t="shared" si="19"/>
        <v>0.53600000008009374</v>
      </c>
      <c r="I51" s="40">
        <f t="shared" ref="I51:I56" si="20">G51/F51*100</f>
        <v>99.999961979451882</v>
      </c>
      <c r="J51" s="40">
        <f t="shared" ref="J51:L51" si="21">J52</f>
        <v>588252</v>
      </c>
      <c r="K51" s="40">
        <f t="shared" si="21"/>
        <v>559048.90099999995</v>
      </c>
      <c r="L51" s="40">
        <f t="shared" si="21"/>
        <v>29203.099000000046</v>
      </c>
      <c r="M51" s="40">
        <f t="shared" ref="M51:M56" si="22">K51/J51*100</f>
        <v>95.035614158557891</v>
      </c>
    </row>
    <row r="52" spans="1:13" ht="45">
      <c r="A52" s="41"/>
      <c r="B52" s="42">
        <v>100</v>
      </c>
      <c r="C52" s="41"/>
      <c r="D52" s="43" t="s">
        <v>52</v>
      </c>
      <c r="E52" s="44">
        <f>E53+E54</f>
        <v>1409764</v>
      </c>
      <c r="F52" s="44">
        <f t="shared" ref="F52:H52" si="23">F53+F54</f>
        <v>1409764</v>
      </c>
      <c r="G52" s="44">
        <f t="shared" si="23"/>
        <v>1409763.4639999999</v>
      </c>
      <c r="H52" s="44">
        <f t="shared" si="23"/>
        <v>0.53600000008009374</v>
      </c>
      <c r="I52" s="44">
        <f t="shared" si="20"/>
        <v>99.999961979451882</v>
      </c>
      <c r="J52" s="44">
        <f t="shared" ref="J52:L52" si="24">J53+J54</f>
        <v>588252</v>
      </c>
      <c r="K52" s="44">
        <f t="shared" si="24"/>
        <v>559048.90099999995</v>
      </c>
      <c r="L52" s="44">
        <f t="shared" si="24"/>
        <v>29203.099000000046</v>
      </c>
      <c r="M52" s="44">
        <f t="shared" si="22"/>
        <v>95.035614158557891</v>
      </c>
    </row>
    <row r="53" spans="1:13" ht="21" customHeight="1">
      <c r="A53" s="861"/>
      <c r="B53" s="25"/>
      <c r="C53" s="25">
        <v>159</v>
      </c>
      <c r="D53" s="25" t="s">
        <v>29</v>
      </c>
      <c r="E53" s="11">
        <v>1409764</v>
      </c>
      <c r="F53" s="11">
        <v>1409764</v>
      </c>
      <c r="G53" s="11">
        <v>1409763.4639999999</v>
      </c>
      <c r="H53" s="11">
        <f t="shared" ref="H53:H54" si="25">F53-G53</f>
        <v>0.53600000008009374</v>
      </c>
      <c r="I53" s="11">
        <f t="shared" si="20"/>
        <v>99.999961979451882</v>
      </c>
      <c r="J53" s="11">
        <v>588252</v>
      </c>
      <c r="K53" s="11">
        <v>559048.90099999995</v>
      </c>
      <c r="L53" s="11">
        <f t="shared" ref="L53:L54" si="26">J53-K53</f>
        <v>29203.099000000046</v>
      </c>
      <c r="M53" s="11">
        <f t="shared" si="22"/>
        <v>95.035614158557891</v>
      </c>
    </row>
    <row r="54" spans="1:13" ht="33.75" hidden="1" customHeight="1">
      <c r="A54" s="862"/>
      <c r="B54" s="25"/>
      <c r="C54" s="25">
        <v>161</v>
      </c>
      <c r="D54" s="25" t="s">
        <v>50</v>
      </c>
      <c r="E54" s="11">
        <v>0</v>
      </c>
      <c r="F54" s="11">
        <v>0</v>
      </c>
      <c r="G54" s="11">
        <v>0</v>
      </c>
      <c r="H54" s="11">
        <f t="shared" si="25"/>
        <v>0</v>
      </c>
      <c r="I54" s="11" t="e">
        <f t="shared" si="20"/>
        <v>#DIV/0!</v>
      </c>
      <c r="J54" s="11">
        <v>0</v>
      </c>
      <c r="K54" s="11">
        <v>0</v>
      </c>
      <c r="L54" s="11">
        <f t="shared" si="26"/>
        <v>0</v>
      </c>
      <c r="M54" s="11" t="e">
        <f t="shared" si="22"/>
        <v>#DIV/0!</v>
      </c>
    </row>
    <row r="55" spans="1:13" ht="75" hidden="1" customHeight="1">
      <c r="A55" s="41"/>
      <c r="B55" s="42">
        <v>112</v>
      </c>
      <c r="C55" s="41"/>
      <c r="D55" s="43" t="s">
        <v>53</v>
      </c>
      <c r="E55" s="44">
        <f>E56+E57</f>
        <v>0</v>
      </c>
      <c r="F55" s="44">
        <f ca="1">ЦА!F57+'СВОД терр'!F57</f>
        <v>0</v>
      </c>
      <c r="G55" s="44">
        <f ca="1">ЦА!G57+'СВОД терр'!G57</f>
        <v>0</v>
      </c>
      <c r="H55" s="44">
        <f ca="1">ЦА!H57+'СВОД терр'!H57</f>
        <v>0</v>
      </c>
      <c r="I55" s="44" t="e">
        <f t="shared" ca="1" si="20"/>
        <v>#DIV/0!</v>
      </c>
      <c r="J55" s="44">
        <f t="shared" ref="J55:L55" si="27">J56+J57</f>
        <v>0</v>
      </c>
      <c r="K55" s="44">
        <f t="shared" si="27"/>
        <v>0</v>
      </c>
      <c r="L55" s="44">
        <f t="shared" si="27"/>
        <v>0</v>
      </c>
      <c r="M55" s="44" t="e">
        <f t="shared" si="22"/>
        <v>#DIV/0!</v>
      </c>
    </row>
    <row r="56" spans="1:13" ht="30" hidden="1" customHeight="1">
      <c r="A56" s="25"/>
      <c r="B56" s="25"/>
      <c r="C56" s="25">
        <v>418</v>
      </c>
      <c r="D56" s="26" t="s">
        <v>54</v>
      </c>
      <c r="E56" s="11">
        <v>0</v>
      </c>
      <c r="F56" s="11">
        <v>0</v>
      </c>
      <c r="G56" s="11">
        <v>0</v>
      </c>
      <c r="H56" s="11">
        <f t="shared" ref="H56:H57" si="28">F56-G56</f>
        <v>0</v>
      </c>
      <c r="I56" s="11" t="e">
        <f t="shared" si="20"/>
        <v>#DIV/0!</v>
      </c>
      <c r="J56" s="11">
        <v>0</v>
      </c>
      <c r="K56" s="11">
        <v>0</v>
      </c>
      <c r="L56" s="11">
        <f t="shared" ref="L56:L57" si="29">J56-K56</f>
        <v>0</v>
      </c>
      <c r="M56" s="11" t="e">
        <f t="shared" si="22"/>
        <v>#DIV/0!</v>
      </c>
    </row>
    <row r="57" spans="1:13" ht="30" hidden="1">
      <c r="A57" s="45"/>
      <c r="B57" s="45"/>
      <c r="C57" s="46">
        <v>423</v>
      </c>
      <c r="D57" s="799" t="s">
        <v>35</v>
      </c>
      <c r="E57" s="11">
        <v>0</v>
      </c>
      <c r="F57" s="11">
        <v>0</v>
      </c>
      <c r="G57" s="11">
        <v>0</v>
      </c>
      <c r="H57" s="11">
        <f t="shared" si="28"/>
        <v>0</v>
      </c>
      <c r="I57" s="11">
        <f>ЦА!I59</f>
        <v>0</v>
      </c>
      <c r="J57" s="11">
        <v>0</v>
      </c>
      <c r="K57" s="11">
        <v>0</v>
      </c>
      <c r="L57" s="11">
        <f t="shared" si="29"/>
        <v>0</v>
      </c>
      <c r="M57" s="11">
        <f>ЦА!N59</f>
        <v>0</v>
      </c>
    </row>
    <row r="58" spans="1:13" ht="43.5">
      <c r="A58" s="567">
        <v>138</v>
      </c>
      <c r="B58" s="567">
        <v>0</v>
      </c>
      <c r="C58" s="49"/>
      <c r="D58" s="50" t="s">
        <v>55</v>
      </c>
      <c r="E58" s="51">
        <f>E59</f>
        <v>4010</v>
      </c>
      <c r="F58" s="51">
        <f t="shared" ref="F58:H58" si="30">F59</f>
        <v>4010</v>
      </c>
      <c r="G58" s="51">
        <f t="shared" si="30"/>
        <v>4010</v>
      </c>
      <c r="H58" s="51">
        <f t="shared" si="30"/>
        <v>0</v>
      </c>
      <c r="I58" s="51">
        <f>G58/F58*100</f>
        <v>100</v>
      </c>
      <c r="J58" s="51">
        <f t="shared" ref="J58:L58" si="31">J59</f>
        <v>2005</v>
      </c>
      <c r="K58" s="51">
        <f t="shared" si="31"/>
        <v>1042.5999999999999</v>
      </c>
      <c r="L58" s="51">
        <f t="shared" si="31"/>
        <v>962.40000000000009</v>
      </c>
      <c r="M58" s="51">
        <f>K58/J58*100</f>
        <v>51.999999999999993</v>
      </c>
    </row>
    <row r="59" spans="1:13" ht="19.5" customHeight="1">
      <c r="A59" s="25"/>
      <c r="B59" s="25"/>
      <c r="C59" s="25">
        <v>159</v>
      </c>
      <c r="D59" s="25" t="s">
        <v>29</v>
      </c>
      <c r="E59" s="11">
        <v>4010</v>
      </c>
      <c r="F59" s="11">
        <v>4010</v>
      </c>
      <c r="G59" s="11">
        <v>4010</v>
      </c>
      <c r="H59" s="11">
        <f t="shared" ref="H59" si="32">F59-G59</f>
        <v>0</v>
      </c>
      <c r="I59" s="11">
        <f t="shared" ref="I59" si="33">G59/F59*100</f>
        <v>100</v>
      </c>
      <c r="J59" s="11">
        <v>2005</v>
      </c>
      <c r="K59" s="11">
        <v>1042.5999999999999</v>
      </c>
      <c r="L59" s="11">
        <f t="shared" ref="L59" si="34">J59-K59</f>
        <v>962.40000000000009</v>
      </c>
      <c r="M59" s="975">
        <f>K59/J59*100</f>
        <v>51.999999999999993</v>
      </c>
    </row>
    <row r="60" spans="1:13" ht="12.75"/>
    <row r="61" spans="1:13" ht="12.75"/>
    <row r="62" spans="1:13" ht="12.75"/>
    <row r="63" spans="1:13" ht="12.75"/>
    <row r="64" spans="1:13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</sheetData>
  <mergeCells count="12">
    <mergeCell ref="A1:M1"/>
    <mergeCell ref="A31:A47"/>
    <mergeCell ref="A53:A54"/>
    <mergeCell ref="A11:A15"/>
    <mergeCell ref="A2:L2"/>
    <mergeCell ref="A4:A6"/>
    <mergeCell ref="B4:B6"/>
    <mergeCell ref="C4:C6"/>
    <mergeCell ref="D4:D6"/>
    <mergeCell ref="E4:E6"/>
    <mergeCell ref="F5:H5"/>
    <mergeCell ref="J5:L5"/>
  </mergeCells>
  <printOptions horizontalCentered="1" gridLines="1"/>
  <pageMargins left="0.7" right="0.7" top="0.75" bottom="0.75" header="0" footer="0"/>
  <pageSetup paperSize="9" scale="58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002"/>
  <sheetViews>
    <sheetView workbookViewId="0">
      <selection sqref="A1:M2"/>
    </sheetView>
  </sheetViews>
  <sheetFormatPr defaultColWidth="12.5703125" defaultRowHeight="15.75" customHeight="1"/>
  <cols>
    <col min="1" max="1" width="4.7109375" customWidth="1"/>
    <col min="2" max="2" width="5.140625" customWidth="1"/>
    <col min="3" max="3" width="5.42578125" customWidth="1"/>
    <col min="4" max="4" width="41.5703125" customWidth="1"/>
    <col min="9" max="9" width="8.5703125" customWidth="1"/>
    <col min="10" max="10" width="29.42578125" customWidth="1"/>
    <col min="14" max="14" width="10.140625" customWidth="1"/>
    <col min="15" max="15" width="28.85546875" customWidth="1"/>
    <col min="23" max="23" width="32.5703125" customWidth="1"/>
  </cols>
  <sheetData>
    <row r="1" spans="1:25" ht="18">
      <c r="A1" s="871" t="s">
        <v>0</v>
      </c>
      <c r="B1" s="865"/>
      <c r="C1" s="865"/>
      <c r="D1" s="865"/>
      <c r="E1" s="865"/>
      <c r="F1" s="865"/>
      <c r="G1" s="865"/>
      <c r="H1" s="865"/>
      <c r="I1" s="865"/>
      <c r="J1" s="865"/>
      <c r="K1" s="865"/>
      <c r="L1" s="865"/>
      <c r="M1" s="865"/>
      <c r="N1" s="61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2" spans="1:25" ht="18.75">
      <c r="A2" s="872" t="s">
        <v>74</v>
      </c>
      <c r="B2" s="873"/>
      <c r="C2" s="873"/>
      <c r="D2" s="873"/>
      <c r="E2" s="873"/>
      <c r="F2" s="873"/>
      <c r="G2" s="873"/>
      <c r="H2" s="873"/>
      <c r="I2" s="873"/>
      <c r="J2" s="873"/>
      <c r="K2" s="873"/>
      <c r="L2" s="873"/>
      <c r="M2" s="873"/>
      <c r="N2" s="63"/>
      <c r="O2" s="63"/>
      <c r="P2" s="62"/>
      <c r="Q2" s="62"/>
      <c r="R2" s="62"/>
      <c r="S2" s="62"/>
      <c r="T2" s="62"/>
      <c r="U2" s="62"/>
      <c r="V2" s="62"/>
      <c r="W2" s="62"/>
      <c r="X2" s="62"/>
      <c r="Y2" s="62"/>
    </row>
    <row r="3" spans="1:25" ht="12.7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2"/>
      <c r="Q3" s="62"/>
      <c r="R3" s="62"/>
      <c r="S3" s="62"/>
      <c r="T3" s="62"/>
      <c r="U3" s="62"/>
      <c r="V3" s="62"/>
      <c r="W3" s="62"/>
      <c r="X3" s="62"/>
      <c r="Y3" s="62"/>
    </row>
    <row r="4" spans="1:25" ht="12.75">
      <c r="A4" s="874" t="s">
        <v>1</v>
      </c>
      <c r="B4" s="875" t="s">
        <v>2</v>
      </c>
      <c r="C4" s="875" t="s">
        <v>3</v>
      </c>
      <c r="D4" s="878" t="s">
        <v>4</v>
      </c>
      <c r="E4" s="875" t="s">
        <v>5</v>
      </c>
      <c r="F4" s="66"/>
      <c r="G4" s="66"/>
      <c r="H4" s="66"/>
      <c r="I4" s="66"/>
      <c r="J4" s="66"/>
      <c r="K4" s="66"/>
      <c r="L4" s="66"/>
      <c r="M4" s="66"/>
      <c r="N4" s="66"/>
      <c r="O4" s="66"/>
      <c r="P4" s="62"/>
      <c r="Q4" s="62"/>
      <c r="R4" s="62"/>
      <c r="S4" s="62"/>
      <c r="T4" s="62"/>
      <c r="U4" s="62"/>
      <c r="V4" s="62"/>
      <c r="W4" s="62"/>
      <c r="X4" s="62"/>
      <c r="Y4" s="62"/>
    </row>
    <row r="5" spans="1:25" ht="15">
      <c r="A5" s="863"/>
      <c r="B5" s="876"/>
      <c r="C5" s="876"/>
      <c r="D5" s="876"/>
      <c r="E5" s="876"/>
      <c r="F5" s="879" t="s">
        <v>6</v>
      </c>
      <c r="G5" s="873"/>
      <c r="H5" s="877"/>
      <c r="I5" s="66"/>
      <c r="J5" s="66"/>
      <c r="K5" s="879" t="s">
        <v>7</v>
      </c>
      <c r="L5" s="873"/>
      <c r="M5" s="877"/>
      <c r="N5" s="66"/>
      <c r="O5" s="66"/>
      <c r="P5" s="62"/>
      <c r="Q5" s="62"/>
      <c r="R5" s="62"/>
      <c r="S5" s="62"/>
      <c r="T5" s="62"/>
      <c r="U5" s="62"/>
      <c r="V5" s="62"/>
      <c r="W5" s="62"/>
      <c r="X5" s="62"/>
      <c r="Y5" s="62"/>
    </row>
    <row r="6" spans="1:25" ht="60">
      <c r="A6" s="862"/>
      <c r="B6" s="877"/>
      <c r="C6" s="877"/>
      <c r="D6" s="877"/>
      <c r="E6" s="877"/>
      <c r="F6" s="67" t="s">
        <v>8</v>
      </c>
      <c r="G6" s="67" t="s">
        <v>9</v>
      </c>
      <c r="H6" s="68" t="s">
        <v>10</v>
      </c>
      <c r="I6" s="67" t="s">
        <v>11</v>
      </c>
      <c r="J6" s="67" t="s">
        <v>12</v>
      </c>
      <c r="K6" s="67" t="s">
        <v>8</v>
      </c>
      <c r="L6" s="67" t="s">
        <v>13</v>
      </c>
      <c r="M6" s="68" t="s">
        <v>10</v>
      </c>
      <c r="N6" s="67" t="s">
        <v>11</v>
      </c>
      <c r="O6" s="67" t="s">
        <v>12</v>
      </c>
      <c r="P6" s="62"/>
      <c r="Q6" s="62"/>
      <c r="R6" s="62"/>
      <c r="S6" s="62"/>
      <c r="T6" s="62"/>
      <c r="U6" s="62"/>
      <c r="V6" s="62"/>
      <c r="W6" s="62"/>
      <c r="X6" s="62"/>
      <c r="Y6" s="62"/>
    </row>
    <row r="7" spans="1:25" ht="15">
      <c r="A7" s="69">
        <v>1</v>
      </c>
      <c r="B7" s="70">
        <v>2</v>
      </c>
      <c r="C7" s="68">
        <v>3</v>
      </c>
      <c r="D7" s="70">
        <v>4</v>
      </c>
      <c r="E7" s="70">
        <v>5</v>
      </c>
      <c r="F7" s="70">
        <v>6</v>
      </c>
      <c r="G7" s="70">
        <v>7</v>
      </c>
      <c r="H7" s="70">
        <v>8</v>
      </c>
      <c r="I7" s="70">
        <v>9</v>
      </c>
      <c r="J7" s="70">
        <v>10</v>
      </c>
      <c r="K7" s="70">
        <v>11</v>
      </c>
      <c r="L7" s="70">
        <v>12</v>
      </c>
      <c r="M7" s="70">
        <v>13</v>
      </c>
      <c r="N7" s="70">
        <v>14</v>
      </c>
      <c r="O7" s="70">
        <v>15</v>
      </c>
      <c r="P7" s="62"/>
      <c r="Q7" s="62"/>
      <c r="R7" s="62"/>
      <c r="S7" s="62"/>
      <c r="T7" s="62"/>
      <c r="U7" s="62"/>
      <c r="V7" s="62"/>
      <c r="W7" s="62"/>
      <c r="X7" s="62"/>
      <c r="Y7" s="62"/>
    </row>
    <row r="8" spans="1:25" ht="15">
      <c r="A8" s="64"/>
      <c r="B8" s="65"/>
      <c r="C8" s="65"/>
      <c r="D8" s="71" t="s">
        <v>14</v>
      </c>
      <c r="E8" s="72">
        <f ca="1">IFERROR(__xludf.DUMMYFUNCTION("IMPORTRANGE(""https://docs.google.com/spreadsheets/d/1PsUKG3ee57b5sx42omjfZd9CYxuRONokMWtiORmUc0s/edit#gid=1568135178"",""СВОД!E8:Y85"")"),42218709.7999999)</f>
        <v>42218709.7999999</v>
      </c>
      <c r="F8" s="72">
        <f ca="1">IFERROR(__xludf.DUMMYFUNCTION("""COMPUTED_VALUE"""),31381834.7999999)</f>
        <v>31381834.7999999</v>
      </c>
      <c r="G8" s="72">
        <f ca="1">IFERROR(__xludf.DUMMYFUNCTION("""COMPUTED_VALUE"""),31145743.28498)</f>
        <v>31145743.284979999</v>
      </c>
      <c r="H8" s="72">
        <f ca="1">IFERROR(__xludf.DUMMYFUNCTION("""COMPUTED_VALUE"""),236091.51501999)</f>
        <v>236091.51501999001</v>
      </c>
      <c r="I8" s="72">
        <f ca="1">IFERROR(__xludf.DUMMYFUNCTION("""COMPUTED_VALUE"""),99.2476809704575)</f>
        <v>99.247680970457495</v>
      </c>
      <c r="J8" s="72"/>
      <c r="K8" s="72">
        <f ca="1">IFERROR(__xludf.DUMMYFUNCTION("""COMPUTED_VALUE"""),20273207.5969999)</f>
        <v>20273207.596999899</v>
      </c>
      <c r="L8" s="72">
        <f ca="1">IFERROR(__xludf.DUMMYFUNCTION("""COMPUTED_VALUE"""),20267400.5790399)</f>
        <v>20267400.579039901</v>
      </c>
      <c r="M8" s="72">
        <f ca="1">IFERROR(__xludf.DUMMYFUNCTION("""COMPUTED_VALUE"""),5807.01796000078)</f>
        <v>5807.0179600007796</v>
      </c>
      <c r="N8" s="72">
        <f ca="1">IFERROR(__xludf.DUMMYFUNCTION("""COMPUTED_VALUE"""),99.9713561954504)</f>
        <v>99.971356195450397</v>
      </c>
      <c r="O8" s="73"/>
      <c r="P8" s="62"/>
      <c r="Q8" s="74">
        <f ca="1">IFERROR(__xludf.DUMMYFUNCTION("""COMPUTED_VALUE"""),21951309.2209599)</f>
        <v>21951309.220959902</v>
      </c>
      <c r="R8" s="62"/>
      <c r="S8" s="62"/>
      <c r="T8" s="62"/>
      <c r="U8" s="62"/>
      <c r="V8" s="62"/>
      <c r="W8" s="62"/>
      <c r="X8" s="62"/>
      <c r="Y8" s="62"/>
    </row>
    <row r="9" spans="1:25" ht="42.75">
      <c r="A9" s="75">
        <v>1</v>
      </c>
      <c r="B9" s="76"/>
      <c r="C9" s="76"/>
      <c r="D9" s="77" t="s">
        <v>15</v>
      </c>
      <c r="E9" s="78">
        <f ca="1">IFERROR(__xludf.DUMMYFUNCTION("""COMPUTED_VALUE"""),23836014)</f>
        <v>23836014</v>
      </c>
      <c r="F9" s="78">
        <f ca="1">IFERROR(__xludf.DUMMYFUNCTION("""COMPUTED_VALUE"""),13017205.5999999)</f>
        <v>13017205.599999901</v>
      </c>
      <c r="G9" s="78">
        <f ca="1">IFERROR(__xludf.DUMMYFUNCTION("""COMPUTED_VALUE"""),12784827.55672)</f>
        <v>12784827.55672</v>
      </c>
      <c r="H9" s="78">
        <f ca="1">IFERROR(__xludf.DUMMYFUNCTION("""COMPUTED_VALUE"""),232378.043279998)</f>
        <v>232378.043279998</v>
      </c>
      <c r="I9" s="78">
        <f ca="1">IFERROR(__xludf.DUMMYFUNCTION("""COMPUTED_VALUE"""),98.2148392641198)</f>
        <v>98.214839264119803</v>
      </c>
      <c r="J9" s="78"/>
      <c r="K9" s="78">
        <f ca="1">IFERROR(__xludf.DUMMYFUNCTION("""COMPUTED_VALUE"""),12399136.3969999)</f>
        <v>12399136.396999899</v>
      </c>
      <c r="L9" s="78">
        <f ca="1">IFERROR(__xludf.DUMMYFUNCTION("""COMPUTED_VALUE"""),12393332.5575899)</f>
        <v>12393332.5575899</v>
      </c>
      <c r="M9" s="78">
        <f ca="1">IFERROR(__xludf.DUMMYFUNCTION("""COMPUTED_VALUE"""),5803.83940999954)</f>
        <v>5803.8394099995403</v>
      </c>
      <c r="N9" s="78">
        <f ca="1">IFERROR(__xludf.DUMMYFUNCTION("""COMPUTED_VALUE"""),99.9531915834767)</f>
        <v>99.953191583476695</v>
      </c>
      <c r="O9" s="79"/>
      <c r="P9" s="62"/>
      <c r="Q9" s="74">
        <f ca="1">IFERROR(__xludf.DUMMYFUNCTION("""COMPUTED_VALUE"""),11442681.44241)</f>
        <v>11442681.44241</v>
      </c>
      <c r="R9" s="62"/>
      <c r="S9" s="62"/>
      <c r="T9" s="62"/>
      <c r="U9" s="62"/>
      <c r="V9" s="62"/>
      <c r="W9" s="62"/>
      <c r="X9" s="62"/>
      <c r="Y9" s="62"/>
    </row>
    <row r="10" spans="1:25" ht="42.75">
      <c r="A10" s="80"/>
      <c r="B10" s="81">
        <v>100</v>
      </c>
      <c r="C10" s="81"/>
      <c r="D10" s="82" t="s">
        <v>16</v>
      </c>
      <c r="E10" s="83">
        <f ca="1">IFERROR(__xludf.DUMMYFUNCTION("""COMPUTED_VALUE"""),2747413.79999999)</f>
        <v>2747413.79999999</v>
      </c>
      <c r="F10" s="83">
        <f ca="1">IFERROR(__xludf.DUMMYFUNCTION("""COMPUTED_VALUE"""),1454913.5)</f>
        <v>1454913.5</v>
      </c>
      <c r="G10" s="83">
        <f ca="1">IFERROR(__xludf.DUMMYFUNCTION("""COMPUTED_VALUE"""),1453577.66569)</f>
        <v>1453577.6656899999</v>
      </c>
      <c r="H10" s="83">
        <f ca="1">IFERROR(__xludf.DUMMYFUNCTION("""COMPUTED_VALUE"""),1335.83431000006)</f>
        <v>1335.83431000006</v>
      </c>
      <c r="I10" s="83">
        <f ca="1">IFERROR(__xludf.DUMMYFUNCTION("""COMPUTED_VALUE"""),99.908184623347)</f>
        <v>99.908184623346997</v>
      </c>
      <c r="J10" s="83"/>
      <c r="K10" s="83">
        <f ca="1">IFERROR(__xludf.DUMMYFUNCTION("""COMPUTED_VALUE"""),1452406.5)</f>
        <v>1452406.5</v>
      </c>
      <c r="L10" s="83">
        <f ca="1">IFERROR(__xludf.DUMMYFUNCTION("""COMPUTED_VALUE"""),1452145.26669)</f>
        <v>1452145.26669</v>
      </c>
      <c r="M10" s="83">
        <f ca="1">IFERROR(__xludf.DUMMYFUNCTION("""COMPUTED_VALUE"""),261.233310000039)</f>
        <v>261.23331000003901</v>
      </c>
      <c r="N10" s="83">
        <f ca="1">IFERROR(__xludf.DUMMYFUNCTION("""COMPUTED_VALUE"""),99.9820137606104)</f>
        <v>99.9820137606104</v>
      </c>
      <c r="O10" s="83"/>
      <c r="P10" s="62"/>
      <c r="Q10" s="74">
        <f ca="1">IFERROR(__xludf.DUMMYFUNCTION("""COMPUTED_VALUE"""),1295268.53330999)</f>
        <v>1295268.5333099901</v>
      </c>
      <c r="R10" s="62"/>
      <c r="S10" s="62"/>
      <c r="T10" s="62"/>
      <c r="U10" s="62"/>
      <c r="V10" s="62"/>
      <c r="W10" s="62"/>
      <c r="X10" s="62"/>
      <c r="Y10" s="62"/>
    </row>
    <row r="11" spans="1:25" ht="15">
      <c r="A11" s="870"/>
      <c r="B11" s="65"/>
      <c r="C11" s="84">
        <v>131</v>
      </c>
      <c r="D11" s="85" t="s">
        <v>17</v>
      </c>
      <c r="E11" s="86">
        <f ca="1">IFERROR(__xludf.DUMMYFUNCTION("""COMPUTED_VALUE"""),2401063.19999999)</f>
        <v>2401063.1999999899</v>
      </c>
      <c r="F11" s="86">
        <f ca="1">IFERROR(__xludf.DUMMYFUNCTION("""COMPUTED_VALUE"""),1292028.2)</f>
        <v>1292028.2</v>
      </c>
      <c r="G11" s="86">
        <f ca="1">IFERROR(__xludf.DUMMYFUNCTION("""COMPUTED_VALUE"""),1291946.71467)</f>
        <v>1291946.7146699999</v>
      </c>
      <c r="H11" s="72">
        <f ca="1">IFERROR(__xludf.DUMMYFUNCTION("""COMPUTED_VALUE"""),81.485330000054)</f>
        <v>81.485330000054006</v>
      </c>
      <c r="I11" s="72">
        <f ca="1">IFERROR(__xludf.DUMMYFUNCTION("""COMPUTED_VALUE"""),99.9936932235689)</f>
        <v>99.993693223568897</v>
      </c>
      <c r="J11" s="86"/>
      <c r="K11" s="86">
        <f ca="1">IFERROR(__xludf.DUMMYFUNCTION("""COMPUTED_VALUE"""),1292028.2)</f>
        <v>1292028.2</v>
      </c>
      <c r="L11" s="86">
        <f ca="1">IFERROR(__xludf.DUMMYFUNCTION("""COMPUTED_VALUE"""),1291946.71467)</f>
        <v>1291946.7146699999</v>
      </c>
      <c r="M11" s="72">
        <f ca="1">IFERROR(__xludf.DUMMYFUNCTION("""COMPUTED_VALUE"""),81.485330000054)</f>
        <v>81.485330000054006</v>
      </c>
      <c r="N11" s="72">
        <f ca="1">IFERROR(__xludf.DUMMYFUNCTION("""COMPUTED_VALUE"""),99.9936932235689)</f>
        <v>99.993693223568897</v>
      </c>
      <c r="O11" s="87"/>
      <c r="P11" s="62"/>
      <c r="Q11" s="74">
        <f ca="1">IFERROR(__xludf.DUMMYFUNCTION("""COMPUTED_VALUE"""),1109116.48532999)</f>
        <v>1109116.48532999</v>
      </c>
      <c r="R11" s="62"/>
      <c r="S11" s="62"/>
      <c r="T11" s="62"/>
      <c r="U11" s="62"/>
      <c r="V11" s="62"/>
      <c r="W11" s="62"/>
      <c r="X11" s="62"/>
      <c r="Y11" s="62"/>
    </row>
    <row r="12" spans="1:25" ht="15">
      <c r="A12" s="863"/>
      <c r="B12" s="65"/>
      <c r="C12" s="84">
        <v>135</v>
      </c>
      <c r="D12" s="85" t="s">
        <v>18</v>
      </c>
      <c r="E12" s="86">
        <f ca="1">IFERROR(__xludf.DUMMYFUNCTION("""COMPUTED_VALUE"""),303994.8)</f>
        <v>303994.8</v>
      </c>
      <c r="F12" s="86">
        <f ca="1">IFERROR(__xludf.DUMMYFUNCTION("""COMPUTED_VALUE"""),140834.9)</f>
        <v>140834.9</v>
      </c>
      <c r="G12" s="86">
        <f ca="1">IFERROR(__xludf.DUMMYFUNCTION("""COMPUTED_VALUE"""),140789.83037)</f>
        <v>140789.83037000001</v>
      </c>
      <c r="H12" s="72">
        <f ca="1">IFERROR(__xludf.DUMMYFUNCTION("""COMPUTED_VALUE"""),45.0696300000126)</f>
        <v>45.069630000012602</v>
      </c>
      <c r="I12" s="72">
        <f ca="1">IFERROR(__xludf.DUMMYFUNCTION("""COMPUTED_VALUE"""),99.9679982518537)</f>
        <v>99.9679982518537</v>
      </c>
      <c r="J12" s="86"/>
      <c r="K12" s="86">
        <f ca="1">IFERROR(__xludf.DUMMYFUNCTION("""COMPUTED_VALUE"""),140834.9)</f>
        <v>140834.9</v>
      </c>
      <c r="L12" s="86">
        <f ca="1">IFERROR(__xludf.DUMMYFUNCTION("""COMPUTED_VALUE"""),140789.83037)</f>
        <v>140789.83037000001</v>
      </c>
      <c r="M12" s="72">
        <f ca="1">IFERROR(__xludf.DUMMYFUNCTION("""COMPUTED_VALUE"""),45.0696300000126)</f>
        <v>45.069630000012602</v>
      </c>
      <c r="N12" s="72">
        <f ca="1">IFERROR(__xludf.DUMMYFUNCTION("""COMPUTED_VALUE"""),99.9679982518537)</f>
        <v>99.9679982518537</v>
      </c>
      <c r="O12" s="87"/>
      <c r="P12" s="62"/>
      <c r="Q12" s="74">
        <f ca="1">IFERROR(__xludf.DUMMYFUNCTION("""COMPUTED_VALUE"""),163204.969629999)</f>
        <v>163204.96962999899</v>
      </c>
      <c r="R12" s="62"/>
      <c r="S12" s="62"/>
      <c r="T12" s="62"/>
      <c r="U12" s="62"/>
      <c r="V12" s="62"/>
      <c r="W12" s="62"/>
      <c r="X12" s="62"/>
      <c r="Y12" s="62"/>
    </row>
    <row r="13" spans="1:25" ht="29.25">
      <c r="A13" s="863"/>
      <c r="B13" s="65"/>
      <c r="C13" s="84">
        <v>136</v>
      </c>
      <c r="D13" s="88" t="s">
        <v>19</v>
      </c>
      <c r="E13" s="86">
        <f ca="1">IFERROR(__xludf.DUMMYFUNCTION("""COMPUTED_VALUE"""),14633.8)</f>
        <v>14633.8</v>
      </c>
      <c r="F13" s="86">
        <f ca="1">IFERROR(__xludf.DUMMYFUNCTION("""COMPUTED_VALUE"""),14533.8)</f>
        <v>14533.8</v>
      </c>
      <c r="G13" s="86">
        <f ca="1">IFERROR(__xludf.DUMMYFUNCTION("""COMPUTED_VALUE"""),14435.0569999999)</f>
        <v>14435.056999999901</v>
      </c>
      <c r="H13" s="72">
        <f ca="1">IFERROR(__xludf.DUMMYFUNCTION("""COMPUTED_VALUE"""),98.7430000000004)</f>
        <v>98.743000000000393</v>
      </c>
      <c r="I13" s="72">
        <f ca="1">IFERROR(__xludf.DUMMYFUNCTION("""COMPUTED_VALUE"""),99.3205975037498)</f>
        <v>99.320597503749795</v>
      </c>
      <c r="J13" s="86"/>
      <c r="K13" s="86">
        <f ca="1">IFERROR(__xludf.DUMMYFUNCTION("""COMPUTED_VALUE"""),14533.8)</f>
        <v>14533.8</v>
      </c>
      <c r="L13" s="86">
        <f ca="1">IFERROR(__xludf.DUMMYFUNCTION("""COMPUTED_VALUE"""),14435.0569999999)</f>
        <v>14435.056999999901</v>
      </c>
      <c r="M13" s="72">
        <f ca="1">IFERROR(__xludf.DUMMYFUNCTION("""COMPUTED_VALUE"""),98.7430000000004)</f>
        <v>98.743000000000393</v>
      </c>
      <c r="N13" s="72">
        <f ca="1">IFERROR(__xludf.DUMMYFUNCTION("""COMPUTED_VALUE"""),99.3205975037498)</f>
        <v>99.320597503749795</v>
      </c>
      <c r="O13" s="87"/>
      <c r="P13" s="62"/>
      <c r="Q13" s="74">
        <f ca="1">IFERROR(__xludf.DUMMYFUNCTION("""COMPUTED_VALUE"""),198.743)</f>
        <v>198.74299999999999</v>
      </c>
      <c r="R13" s="62"/>
      <c r="S13" s="62"/>
      <c r="T13" s="62"/>
      <c r="U13" s="62"/>
      <c r="V13" s="62"/>
      <c r="W13" s="62"/>
      <c r="X13" s="62"/>
      <c r="Y13" s="62"/>
    </row>
    <row r="14" spans="1:25" ht="29.25">
      <c r="A14" s="863"/>
      <c r="B14" s="65"/>
      <c r="C14" s="84">
        <v>157</v>
      </c>
      <c r="D14" s="88" t="s">
        <v>75</v>
      </c>
      <c r="E14" s="86">
        <f ca="1">IFERROR(__xludf.DUMMYFUNCTION("""COMPUTED_VALUE"""),0)</f>
        <v>0</v>
      </c>
      <c r="F14" s="86">
        <f ca="1">IFERROR(__xludf.DUMMYFUNCTION("""COMPUTED_VALUE"""),0)</f>
        <v>0</v>
      </c>
      <c r="G14" s="86">
        <f ca="1">IFERROR(__xludf.DUMMYFUNCTION("""COMPUTED_VALUE"""),0)</f>
        <v>0</v>
      </c>
      <c r="H14" s="72">
        <f ca="1">IFERROR(__xludf.DUMMYFUNCTION("""COMPUTED_VALUE"""),0)</f>
        <v>0</v>
      </c>
      <c r="I14" s="72" t="str">
        <f ca="1">IFERROR(__xludf.DUMMYFUNCTION("""COMPUTED_VALUE"""),"#DIV/0!")</f>
        <v>#DIV/0!</v>
      </c>
      <c r="J14" s="86"/>
      <c r="K14" s="86">
        <f ca="1">IFERROR(__xludf.DUMMYFUNCTION("""COMPUTED_VALUE"""),0)</f>
        <v>0</v>
      </c>
      <c r="L14" s="86">
        <f ca="1">IFERROR(__xludf.DUMMYFUNCTION("""COMPUTED_VALUE"""),0)</f>
        <v>0</v>
      </c>
      <c r="M14" s="72">
        <f ca="1">IFERROR(__xludf.DUMMYFUNCTION("""COMPUTED_VALUE"""),0)</f>
        <v>0</v>
      </c>
      <c r="N14" s="72" t="str">
        <f ca="1">IFERROR(__xludf.DUMMYFUNCTION("""COMPUTED_VALUE"""),"#DIV/0!")</f>
        <v>#DIV/0!</v>
      </c>
      <c r="O14" s="87"/>
      <c r="P14" s="62"/>
      <c r="Q14" s="74">
        <f ca="1">IFERROR(__xludf.DUMMYFUNCTION("""COMPUTED_VALUE"""),0)</f>
        <v>0</v>
      </c>
      <c r="R14" s="62"/>
      <c r="S14" s="62"/>
      <c r="T14" s="62"/>
      <c r="U14" s="62"/>
      <c r="V14" s="62"/>
      <c r="W14" s="62"/>
      <c r="X14" s="62"/>
      <c r="Y14" s="62"/>
    </row>
    <row r="15" spans="1:25" ht="15">
      <c r="A15" s="862"/>
      <c r="B15" s="65"/>
      <c r="C15" s="84">
        <v>159</v>
      </c>
      <c r="D15" s="85" t="s">
        <v>21</v>
      </c>
      <c r="E15" s="86">
        <f ca="1">IFERROR(__xludf.DUMMYFUNCTION("""COMPUTED_VALUE"""),26899.7)</f>
        <v>26899.7</v>
      </c>
      <c r="F15" s="86">
        <f ca="1">IFERROR(__xludf.DUMMYFUNCTION("""COMPUTED_VALUE"""),6694.29999999999)</f>
        <v>6694.2999999999902</v>
      </c>
      <c r="G15" s="86">
        <f ca="1">IFERROR(__xludf.DUMMYFUNCTION("""COMPUTED_VALUE"""),5591.73093999999)</f>
        <v>5591.7309399999904</v>
      </c>
      <c r="H15" s="72">
        <f ca="1">IFERROR(__xludf.DUMMYFUNCTION("""COMPUTED_VALUE"""),1102.56905999999)</f>
        <v>1102.56905999999</v>
      </c>
      <c r="I15" s="72">
        <f ca="1">IFERROR(__xludf.DUMMYFUNCTION("""COMPUTED_VALUE"""),83.5297333552425)</f>
        <v>83.529733355242499</v>
      </c>
      <c r="J15" s="86"/>
      <c r="K15" s="86">
        <f ca="1">IFERROR(__xludf.DUMMYFUNCTION("""COMPUTED_VALUE"""),4187.29999999999)</f>
        <v>4187.2999999999902</v>
      </c>
      <c r="L15" s="86">
        <f ca="1">IFERROR(__xludf.DUMMYFUNCTION("""COMPUTED_VALUE"""),4159.33194)</f>
        <v>4159.33194</v>
      </c>
      <c r="M15" s="72">
        <f ca="1">IFERROR(__xludf.DUMMYFUNCTION("""COMPUTED_VALUE"""),27.9680599999983)</f>
        <v>27.9680599999983</v>
      </c>
      <c r="N15" s="72">
        <f ca="1">IFERROR(__xludf.DUMMYFUNCTION("""COMPUTED_VALUE"""),99.3320741289136)</f>
        <v>99.332074128913604</v>
      </c>
      <c r="O15" s="87"/>
      <c r="P15" s="62"/>
      <c r="Q15" s="74">
        <f ca="1">IFERROR(__xludf.DUMMYFUNCTION("""COMPUTED_VALUE"""),22740.36806)</f>
        <v>22740.368060000001</v>
      </c>
      <c r="R15" s="62"/>
      <c r="S15" s="62"/>
      <c r="T15" s="62"/>
      <c r="U15" s="62"/>
      <c r="V15" s="62"/>
      <c r="W15" s="62"/>
      <c r="X15" s="62"/>
      <c r="Y15" s="62"/>
    </row>
    <row r="16" spans="1:25" ht="15">
      <c r="A16" s="64"/>
      <c r="B16" s="65"/>
      <c r="C16" s="84">
        <v>169</v>
      </c>
      <c r="D16" s="85" t="s">
        <v>22</v>
      </c>
      <c r="E16" s="86">
        <f ca="1">IFERROR(__xludf.DUMMYFUNCTION("""COMPUTED_VALUE"""),517.3)</f>
        <v>517.29999999999995</v>
      </c>
      <c r="F16" s="86">
        <f ca="1">IFERROR(__xludf.DUMMYFUNCTION("""COMPUTED_VALUE"""),517.3)</f>
        <v>517.29999999999995</v>
      </c>
      <c r="G16" s="86">
        <f ca="1">IFERROR(__xludf.DUMMYFUNCTION("""COMPUTED_VALUE"""),510.00271)</f>
        <v>510.00270999999998</v>
      </c>
      <c r="H16" s="72">
        <f ca="1">IFERROR(__xludf.DUMMYFUNCTION("""COMPUTED_VALUE"""),7.29728999999997)</f>
        <v>7.2972899999999701</v>
      </c>
      <c r="I16" s="72">
        <f ca="1">IFERROR(__xludf.DUMMYFUNCTION("""COMPUTED_VALUE"""),98.589350473613)</f>
        <v>98.589350473612996</v>
      </c>
      <c r="J16" s="86"/>
      <c r="K16" s="86">
        <f ca="1">IFERROR(__xludf.DUMMYFUNCTION("""COMPUTED_VALUE"""),517.3)</f>
        <v>517.29999999999995</v>
      </c>
      <c r="L16" s="86">
        <f ca="1">IFERROR(__xludf.DUMMYFUNCTION("""COMPUTED_VALUE"""),510.00271)</f>
        <v>510.00270999999998</v>
      </c>
      <c r="M16" s="72">
        <f ca="1">IFERROR(__xludf.DUMMYFUNCTION("""COMPUTED_VALUE"""),7.29728999999997)</f>
        <v>7.2972899999999701</v>
      </c>
      <c r="N16" s="72">
        <f ca="1">IFERROR(__xludf.DUMMYFUNCTION("""COMPUTED_VALUE"""),98.589350473613)</f>
        <v>98.589350473612996</v>
      </c>
      <c r="O16" s="87"/>
      <c r="P16" s="62"/>
      <c r="Q16" s="74">
        <f ca="1">IFERROR(__xludf.DUMMYFUNCTION("""COMPUTED_VALUE"""),7.29728999999997)</f>
        <v>7.2972899999999701</v>
      </c>
      <c r="R16" s="62"/>
      <c r="S16" s="62"/>
      <c r="T16" s="62"/>
      <c r="U16" s="62"/>
      <c r="V16" s="62"/>
      <c r="W16" s="62"/>
      <c r="X16" s="62"/>
      <c r="Y16" s="62"/>
    </row>
    <row r="17" spans="1:25" ht="15">
      <c r="A17" s="64"/>
      <c r="B17" s="65"/>
      <c r="C17" s="84">
        <v>322</v>
      </c>
      <c r="D17" s="85" t="s">
        <v>23</v>
      </c>
      <c r="E17" s="86">
        <f ca="1">IFERROR(__xludf.DUMMYFUNCTION("""COMPUTED_VALUE"""),305)</f>
        <v>305</v>
      </c>
      <c r="F17" s="86">
        <f ca="1">IFERROR(__xludf.DUMMYFUNCTION("""COMPUTED_VALUE"""),305)</f>
        <v>305</v>
      </c>
      <c r="G17" s="86">
        <f ca="1">IFERROR(__xludf.DUMMYFUNCTION("""COMPUTED_VALUE"""),304.33)</f>
        <v>304.33</v>
      </c>
      <c r="H17" s="72">
        <f ca="1">IFERROR(__xludf.DUMMYFUNCTION("""COMPUTED_VALUE"""),0.670000000000015)</f>
        <v>0.67000000000001503</v>
      </c>
      <c r="I17" s="72">
        <f ca="1">IFERROR(__xludf.DUMMYFUNCTION("""COMPUTED_VALUE"""),99.7803278688524)</f>
        <v>99.780327868852396</v>
      </c>
      <c r="J17" s="86"/>
      <c r="K17" s="86">
        <f ca="1">IFERROR(__xludf.DUMMYFUNCTION("""COMPUTED_VALUE"""),305)</f>
        <v>305</v>
      </c>
      <c r="L17" s="86">
        <f ca="1">IFERROR(__xludf.DUMMYFUNCTION("""COMPUTED_VALUE"""),304.33)</f>
        <v>304.33</v>
      </c>
      <c r="M17" s="72">
        <f ca="1">IFERROR(__xludf.DUMMYFUNCTION("""COMPUTED_VALUE"""),0.670000000000015)</f>
        <v>0.67000000000001503</v>
      </c>
      <c r="N17" s="72">
        <f ca="1">IFERROR(__xludf.DUMMYFUNCTION("""COMPUTED_VALUE"""),99.7803278688524)</f>
        <v>99.780327868852396</v>
      </c>
      <c r="O17" s="87"/>
      <c r="P17" s="62"/>
      <c r="Q17" s="74">
        <f ca="1">IFERROR(__xludf.DUMMYFUNCTION("""COMPUTED_VALUE"""),0.670000000000015)</f>
        <v>0.67000000000001503</v>
      </c>
      <c r="R17" s="62"/>
      <c r="S17" s="62"/>
      <c r="T17" s="62"/>
      <c r="U17" s="62"/>
      <c r="V17" s="62"/>
      <c r="W17" s="62"/>
      <c r="X17" s="62"/>
      <c r="Y17" s="62"/>
    </row>
    <row r="18" spans="1:25" ht="42.75">
      <c r="A18" s="64"/>
      <c r="B18" s="65"/>
      <c r="C18" s="89">
        <v>414</v>
      </c>
      <c r="D18" s="90" t="s">
        <v>24</v>
      </c>
      <c r="E18" s="91">
        <f ca="1">IFERROR(__xludf.DUMMYFUNCTION("""COMPUTED_VALUE"""),0)</f>
        <v>0</v>
      </c>
      <c r="F18" s="91">
        <f ca="1">IFERROR(__xludf.DUMMYFUNCTION("""COMPUTED_VALUE"""),0)</f>
        <v>0</v>
      </c>
      <c r="G18" s="91">
        <f ca="1">IFERROR(__xludf.DUMMYFUNCTION("""COMPUTED_VALUE"""),0)</f>
        <v>0</v>
      </c>
      <c r="H18" s="92">
        <f ca="1">IFERROR(__xludf.DUMMYFUNCTION("""COMPUTED_VALUE"""),0)</f>
        <v>0</v>
      </c>
      <c r="I18" s="92" t="str">
        <f ca="1">IFERROR(__xludf.DUMMYFUNCTION("""COMPUTED_VALUE"""),"#DIV/0!")</f>
        <v>#DIV/0!</v>
      </c>
      <c r="J18" s="91"/>
      <c r="K18" s="91">
        <f ca="1">IFERROR(__xludf.DUMMYFUNCTION("""COMPUTED_VALUE"""),0)</f>
        <v>0</v>
      </c>
      <c r="L18" s="91">
        <f ca="1">IFERROR(__xludf.DUMMYFUNCTION("""COMPUTED_VALUE"""),0)</f>
        <v>0</v>
      </c>
      <c r="M18" s="92">
        <f ca="1">IFERROR(__xludf.DUMMYFUNCTION("""COMPUTED_VALUE"""),0)</f>
        <v>0</v>
      </c>
      <c r="N18" s="92" t="str">
        <f ca="1">IFERROR(__xludf.DUMMYFUNCTION("""COMPUTED_VALUE"""),"#DIV/0!")</f>
        <v>#DIV/0!</v>
      </c>
      <c r="O18" s="87"/>
      <c r="P18" s="62"/>
      <c r="Q18" s="74">
        <f ca="1">IFERROR(__xludf.DUMMYFUNCTION("""COMPUTED_VALUE"""),0)</f>
        <v>0</v>
      </c>
      <c r="R18" s="62"/>
      <c r="S18" s="62"/>
      <c r="T18" s="62"/>
      <c r="U18" s="62"/>
      <c r="V18" s="62"/>
      <c r="W18" s="62"/>
      <c r="X18" s="62"/>
      <c r="Y18" s="62"/>
    </row>
    <row r="19" spans="1:25" ht="75">
      <c r="A19" s="80"/>
      <c r="B19" s="81">
        <v>104</v>
      </c>
      <c r="C19" s="68"/>
      <c r="D19" s="93" t="s">
        <v>25</v>
      </c>
      <c r="E19" s="94">
        <f ca="1">IFERROR(__xludf.DUMMYFUNCTION("""COMPUTED_VALUE"""),0)</f>
        <v>0</v>
      </c>
      <c r="F19" s="91">
        <f ca="1">IFERROR(__xludf.DUMMYFUNCTION("""COMPUTED_VALUE"""),0)</f>
        <v>0</v>
      </c>
      <c r="G19" s="94">
        <f ca="1">IFERROR(__xludf.DUMMYFUNCTION("""COMPUTED_VALUE"""),0)</f>
        <v>0</v>
      </c>
      <c r="H19" s="95">
        <f ca="1">IFERROR(__xludf.DUMMYFUNCTION("""COMPUTED_VALUE"""),0)</f>
        <v>0</v>
      </c>
      <c r="I19" s="95" t="str">
        <f ca="1">IFERROR(__xludf.DUMMYFUNCTION("""COMPUTED_VALUE"""),"#DIV/0!")</f>
        <v>#DIV/0!</v>
      </c>
      <c r="J19" s="94"/>
      <c r="K19" s="94">
        <f ca="1">IFERROR(__xludf.DUMMYFUNCTION("""COMPUTED_VALUE"""),0)</f>
        <v>0</v>
      </c>
      <c r="L19" s="94">
        <f ca="1">IFERROR(__xludf.DUMMYFUNCTION("""COMPUTED_VALUE"""),0)</f>
        <v>0</v>
      </c>
      <c r="M19" s="95">
        <f ca="1">IFERROR(__xludf.DUMMYFUNCTION("""COMPUTED_VALUE"""),0)</f>
        <v>0</v>
      </c>
      <c r="N19" s="95" t="str">
        <f ca="1">IFERROR(__xludf.DUMMYFUNCTION("""COMPUTED_VALUE"""),"#DIV/0!")</f>
        <v>#DIV/0!</v>
      </c>
      <c r="O19" s="96"/>
      <c r="P19" s="62"/>
      <c r="Q19" s="74">
        <f ca="1">IFERROR(__xludf.DUMMYFUNCTION("""COMPUTED_VALUE"""),0)</f>
        <v>0</v>
      </c>
      <c r="R19" s="62"/>
      <c r="S19" s="62"/>
      <c r="T19" s="62"/>
      <c r="U19" s="62"/>
      <c r="V19" s="62"/>
      <c r="W19" s="62"/>
      <c r="X19" s="62"/>
      <c r="Y19" s="62"/>
    </row>
    <row r="20" spans="1:25" ht="15">
      <c r="A20" s="64"/>
      <c r="B20" s="65"/>
      <c r="C20" s="84">
        <v>149</v>
      </c>
      <c r="D20" s="85" t="s">
        <v>26</v>
      </c>
      <c r="E20" s="86">
        <f ca="1">IFERROR(__xludf.DUMMYFUNCTION("""COMPUTED_VALUE"""),0)</f>
        <v>0</v>
      </c>
      <c r="F20" s="86">
        <f ca="1">IFERROR(__xludf.DUMMYFUNCTION("""COMPUTED_VALUE"""),0)</f>
        <v>0</v>
      </c>
      <c r="G20" s="86">
        <f ca="1">IFERROR(__xludf.DUMMYFUNCTION("""COMPUTED_VALUE"""),0)</f>
        <v>0</v>
      </c>
      <c r="H20" s="72">
        <f ca="1">IFERROR(__xludf.DUMMYFUNCTION("""COMPUTED_VALUE"""),0)</f>
        <v>0</v>
      </c>
      <c r="I20" s="72" t="str">
        <f ca="1">IFERROR(__xludf.DUMMYFUNCTION("""COMPUTED_VALUE"""),"#DIV/0!")</f>
        <v>#DIV/0!</v>
      </c>
      <c r="J20" s="86"/>
      <c r="K20" s="86">
        <f ca="1">IFERROR(__xludf.DUMMYFUNCTION("""COMPUTED_VALUE"""),0)</f>
        <v>0</v>
      </c>
      <c r="L20" s="86">
        <f ca="1">IFERROR(__xludf.DUMMYFUNCTION("""COMPUTED_VALUE"""),0)</f>
        <v>0</v>
      </c>
      <c r="M20" s="72">
        <f ca="1">IFERROR(__xludf.DUMMYFUNCTION("""COMPUTED_VALUE"""),0)</f>
        <v>0</v>
      </c>
      <c r="N20" s="72" t="str">
        <f ca="1">IFERROR(__xludf.DUMMYFUNCTION("""COMPUTED_VALUE"""),"#DIV/0!")</f>
        <v>#DIV/0!</v>
      </c>
      <c r="O20" s="87"/>
      <c r="P20" s="62"/>
      <c r="Q20" s="74">
        <f ca="1">IFERROR(__xludf.DUMMYFUNCTION("""COMPUTED_VALUE"""),0)</f>
        <v>0</v>
      </c>
      <c r="R20" s="62"/>
      <c r="S20" s="62"/>
      <c r="T20" s="62"/>
      <c r="U20" s="62"/>
      <c r="V20" s="62"/>
      <c r="W20" s="62"/>
      <c r="X20" s="62"/>
      <c r="Y20" s="62"/>
    </row>
    <row r="21" spans="1:25" ht="15">
      <c r="A21" s="64"/>
      <c r="B21" s="65"/>
      <c r="C21" s="84">
        <v>152</v>
      </c>
      <c r="D21" s="85" t="s">
        <v>28</v>
      </c>
      <c r="E21" s="86">
        <f ca="1">IFERROR(__xludf.DUMMYFUNCTION("""COMPUTED_VALUE"""),0)</f>
        <v>0</v>
      </c>
      <c r="F21" s="86">
        <f ca="1">IFERROR(__xludf.DUMMYFUNCTION("""COMPUTED_VALUE"""),0)</f>
        <v>0</v>
      </c>
      <c r="G21" s="86">
        <f ca="1">IFERROR(__xludf.DUMMYFUNCTION("""COMPUTED_VALUE"""),0)</f>
        <v>0</v>
      </c>
      <c r="H21" s="72">
        <f ca="1">IFERROR(__xludf.DUMMYFUNCTION("""COMPUTED_VALUE"""),0)</f>
        <v>0</v>
      </c>
      <c r="I21" s="72" t="str">
        <f ca="1">IFERROR(__xludf.DUMMYFUNCTION("""COMPUTED_VALUE"""),"#DIV/0!")</f>
        <v>#DIV/0!</v>
      </c>
      <c r="J21" s="86"/>
      <c r="K21" s="86">
        <f ca="1">IFERROR(__xludf.DUMMYFUNCTION("""COMPUTED_VALUE"""),0)</f>
        <v>0</v>
      </c>
      <c r="L21" s="86">
        <f ca="1">IFERROR(__xludf.DUMMYFUNCTION("""COMPUTED_VALUE"""),0)</f>
        <v>0</v>
      </c>
      <c r="M21" s="72">
        <f ca="1">IFERROR(__xludf.DUMMYFUNCTION("""COMPUTED_VALUE"""),0)</f>
        <v>0</v>
      </c>
      <c r="N21" s="72" t="str">
        <f ca="1">IFERROR(__xludf.DUMMYFUNCTION("""COMPUTED_VALUE"""),"#DIV/0!")</f>
        <v>#DIV/0!</v>
      </c>
      <c r="O21" s="87"/>
      <c r="P21" s="62"/>
      <c r="Q21" s="74">
        <f ca="1">IFERROR(__xludf.DUMMYFUNCTION("""COMPUTED_VALUE"""),0)</f>
        <v>0</v>
      </c>
      <c r="R21" s="62"/>
      <c r="S21" s="62"/>
      <c r="T21" s="62"/>
      <c r="U21" s="62"/>
      <c r="V21" s="62"/>
      <c r="W21" s="62"/>
      <c r="X21" s="62"/>
      <c r="Y21" s="62"/>
    </row>
    <row r="22" spans="1:25" ht="15">
      <c r="A22" s="64"/>
      <c r="B22" s="65"/>
      <c r="C22" s="84">
        <v>159</v>
      </c>
      <c r="D22" s="85" t="s">
        <v>29</v>
      </c>
      <c r="E22" s="86">
        <f ca="1">IFERROR(__xludf.DUMMYFUNCTION("""COMPUTED_VALUE"""),0)</f>
        <v>0</v>
      </c>
      <c r="F22" s="86">
        <f ca="1">IFERROR(__xludf.DUMMYFUNCTION("""COMPUTED_VALUE"""),0)</f>
        <v>0</v>
      </c>
      <c r="G22" s="86">
        <f ca="1">IFERROR(__xludf.DUMMYFUNCTION("""COMPUTED_VALUE"""),0)</f>
        <v>0</v>
      </c>
      <c r="H22" s="72">
        <f ca="1">IFERROR(__xludf.DUMMYFUNCTION("""COMPUTED_VALUE"""),0)</f>
        <v>0</v>
      </c>
      <c r="I22" s="72" t="str">
        <f ca="1">IFERROR(__xludf.DUMMYFUNCTION("""COMPUTED_VALUE"""),"#DIV/0!")</f>
        <v>#DIV/0!</v>
      </c>
      <c r="J22" s="86"/>
      <c r="K22" s="86">
        <f ca="1">IFERROR(__xludf.DUMMYFUNCTION("""COMPUTED_VALUE"""),0)</f>
        <v>0</v>
      </c>
      <c r="L22" s="86">
        <f ca="1">IFERROR(__xludf.DUMMYFUNCTION("""COMPUTED_VALUE"""),0)</f>
        <v>0</v>
      </c>
      <c r="M22" s="72">
        <f ca="1">IFERROR(__xludf.DUMMYFUNCTION("""COMPUTED_VALUE"""),0)</f>
        <v>0</v>
      </c>
      <c r="N22" s="72" t="str">
        <f ca="1">IFERROR(__xludf.DUMMYFUNCTION("""COMPUTED_VALUE"""),"#DIV/0!")</f>
        <v>#DIV/0!</v>
      </c>
      <c r="O22" s="87"/>
      <c r="P22" s="62"/>
      <c r="Q22" s="74">
        <f ca="1">IFERROR(__xludf.DUMMYFUNCTION("""COMPUTED_VALUE"""),0)</f>
        <v>0</v>
      </c>
      <c r="R22" s="62"/>
      <c r="S22" s="62"/>
      <c r="T22" s="62"/>
      <c r="U22" s="62"/>
      <c r="V22" s="62"/>
      <c r="W22" s="62"/>
      <c r="X22" s="62"/>
      <c r="Y22" s="62"/>
    </row>
    <row r="23" spans="1:25" ht="45">
      <c r="A23" s="97"/>
      <c r="B23" s="98">
        <v>111</v>
      </c>
      <c r="C23" s="99"/>
      <c r="D23" s="100" t="s">
        <v>30</v>
      </c>
      <c r="E23" s="101">
        <f ca="1">IFERROR(__xludf.DUMMYFUNCTION("""COMPUTED_VALUE"""),131077.199999999)</f>
        <v>131077.19999999899</v>
      </c>
      <c r="F23" s="101">
        <f ca="1">IFERROR(__xludf.DUMMYFUNCTION("""COMPUTED_VALUE"""),107114.4)</f>
        <v>107114.4</v>
      </c>
      <c r="G23" s="101">
        <f ca="1">IFERROR(__xludf.DUMMYFUNCTION("""COMPUTED_VALUE"""),28303.1613)</f>
        <v>28303.1613</v>
      </c>
      <c r="H23" s="101">
        <f ca="1">IFERROR(__xludf.DUMMYFUNCTION("""COMPUTED_VALUE"""),78811.2387)</f>
        <v>78811.238700000002</v>
      </c>
      <c r="I23" s="101">
        <f ca="1">IFERROR(__xludf.DUMMYFUNCTION("""COMPUTED_VALUE"""),26.423301908987)</f>
        <v>26.423301908987</v>
      </c>
      <c r="J23" s="102"/>
      <c r="K23" s="101">
        <f ca="1">IFERROR(__xludf.DUMMYFUNCTION("""COMPUTED_VALUE"""),25773.1)</f>
        <v>25773.1</v>
      </c>
      <c r="L23" s="101">
        <f ca="1">IFERROR(__xludf.DUMMYFUNCTION("""COMPUTED_VALUE"""),23003.4636699999)</f>
        <v>23003.463669999899</v>
      </c>
      <c r="M23" s="101">
        <f ca="1">IFERROR(__xludf.DUMMYFUNCTION("""COMPUTED_VALUE"""),2769.63633)</f>
        <v>2769.6363299999998</v>
      </c>
      <c r="N23" s="101">
        <f ca="1">IFERROR(__xludf.DUMMYFUNCTION("""COMPUTED_VALUE"""),89.2537710636283)</f>
        <v>89.253771063628307</v>
      </c>
      <c r="O23" s="103"/>
      <c r="P23" s="62"/>
      <c r="Q23" s="74">
        <f ca="1">IFERROR(__xludf.DUMMYFUNCTION("""COMPUTED_VALUE"""),108073.736329999)</f>
        <v>108073.736329999</v>
      </c>
      <c r="R23" s="62"/>
      <c r="S23" s="62"/>
      <c r="T23" s="62"/>
      <c r="U23" s="62"/>
      <c r="V23" s="62"/>
      <c r="W23" s="62"/>
      <c r="X23" s="62"/>
      <c r="Y23" s="62"/>
    </row>
    <row r="24" spans="1:25" ht="29.25">
      <c r="A24" s="64"/>
      <c r="B24" s="65"/>
      <c r="C24" s="84">
        <v>412</v>
      </c>
      <c r="D24" s="88" t="s">
        <v>31</v>
      </c>
      <c r="E24" s="104">
        <f ca="1">IFERROR(__xludf.DUMMYFUNCTION("""COMPUTED_VALUE"""),0)</f>
        <v>0</v>
      </c>
      <c r="F24" s="104">
        <f ca="1">IFERROR(__xludf.DUMMYFUNCTION("""COMPUTED_VALUE"""),0)</f>
        <v>0</v>
      </c>
      <c r="G24" s="104">
        <f ca="1">IFERROR(__xludf.DUMMYFUNCTION("""COMPUTED_VALUE"""),0)</f>
        <v>0</v>
      </c>
      <c r="H24" s="105">
        <f ca="1">IFERROR(__xludf.DUMMYFUNCTION("""COMPUTED_VALUE"""),0)</f>
        <v>0</v>
      </c>
      <c r="I24" s="105" t="str">
        <f ca="1">IFERROR(__xludf.DUMMYFUNCTION("""COMPUTED_VALUE"""),"#DIV/0!")</f>
        <v>#DIV/0!</v>
      </c>
      <c r="J24" s="104"/>
      <c r="K24" s="104">
        <f ca="1">IFERROR(__xludf.DUMMYFUNCTION("""COMPUTED_VALUE"""),0)</f>
        <v>0</v>
      </c>
      <c r="L24" s="104">
        <f ca="1">IFERROR(__xludf.DUMMYFUNCTION("""COMPUTED_VALUE"""),0)</f>
        <v>0</v>
      </c>
      <c r="M24" s="105">
        <f ca="1">IFERROR(__xludf.DUMMYFUNCTION("""COMPUTED_VALUE"""),0)</f>
        <v>0</v>
      </c>
      <c r="N24" s="105" t="str">
        <f ca="1">IFERROR(__xludf.DUMMYFUNCTION("""COMPUTED_VALUE"""),"#DIV/0!")</f>
        <v>#DIV/0!</v>
      </c>
      <c r="O24" s="87"/>
      <c r="P24" s="62"/>
      <c r="Q24" s="74">
        <f ca="1">IFERROR(__xludf.DUMMYFUNCTION("""COMPUTED_VALUE"""),0)</f>
        <v>0</v>
      </c>
      <c r="R24" s="62"/>
      <c r="S24" s="62"/>
      <c r="T24" s="62"/>
      <c r="U24" s="62"/>
      <c r="V24" s="62"/>
      <c r="W24" s="62"/>
      <c r="X24" s="62"/>
      <c r="Y24" s="62"/>
    </row>
    <row r="25" spans="1:25" ht="15">
      <c r="A25" s="64"/>
      <c r="B25" s="65"/>
      <c r="C25" s="84">
        <v>413</v>
      </c>
      <c r="D25" s="85" t="s">
        <v>32</v>
      </c>
      <c r="E25" s="86">
        <f ca="1">IFERROR(__xludf.DUMMYFUNCTION("""COMPUTED_VALUE"""),0)</f>
        <v>0</v>
      </c>
      <c r="F25" s="86">
        <f ca="1">IFERROR(__xludf.DUMMYFUNCTION("""COMPUTED_VALUE"""),0)</f>
        <v>0</v>
      </c>
      <c r="G25" s="86">
        <f ca="1">IFERROR(__xludf.DUMMYFUNCTION("""COMPUTED_VALUE"""),0)</f>
        <v>0</v>
      </c>
      <c r="H25" s="72">
        <f ca="1">IFERROR(__xludf.DUMMYFUNCTION("""COMPUTED_VALUE"""),0)</f>
        <v>0</v>
      </c>
      <c r="I25" s="72" t="str">
        <f ca="1">IFERROR(__xludf.DUMMYFUNCTION("""COMPUTED_VALUE"""),"#DIV/0!")</f>
        <v>#DIV/0!</v>
      </c>
      <c r="J25" s="86"/>
      <c r="K25" s="86">
        <f ca="1">IFERROR(__xludf.DUMMYFUNCTION("""COMPUTED_VALUE"""),0)</f>
        <v>0</v>
      </c>
      <c r="L25" s="86">
        <f ca="1">IFERROR(__xludf.DUMMYFUNCTION("""COMPUTED_VALUE"""),0)</f>
        <v>0</v>
      </c>
      <c r="M25" s="72">
        <f ca="1">IFERROR(__xludf.DUMMYFUNCTION("""COMPUTED_VALUE"""),0)</f>
        <v>0</v>
      </c>
      <c r="N25" s="72" t="str">
        <f ca="1">IFERROR(__xludf.DUMMYFUNCTION("""COMPUTED_VALUE"""),"#DIV/0!")</f>
        <v>#DIV/0!</v>
      </c>
      <c r="O25" s="87"/>
      <c r="P25" s="62"/>
      <c r="Q25" s="74">
        <f ca="1">IFERROR(__xludf.DUMMYFUNCTION("""COMPUTED_VALUE"""),0)</f>
        <v>0</v>
      </c>
      <c r="R25" s="62"/>
      <c r="S25" s="62"/>
      <c r="T25" s="62"/>
      <c r="U25" s="62"/>
      <c r="V25" s="62"/>
      <c r="W25" s="62"/>
      <c r="X25" s="62"/>
      <c r="Y25" s="62"/>
    </row>
    <row r="26" spans="1:25" ht="43.5">
      <c r="A26" s="64"/>
      <c r="B26" s="65"/>
      <c r="C26" s="84">
        <v>414</v>
      </c>
      <c r="D26" s="88" t="s">
        <v>24</v>
      </c>
      <c r="E26" s="86">
        <f ca="1">IFERROR(__xludf.DUMMYFUNCTION("""COMPUTED_VALUE"""),121988.9)</f>
        <v>121988.9</v>
      </c>
      <c r="F26" s="86">
        <f ca="1">IFERROR(__xludf.DUMMYFUNCTION("""COMPUTED_VALUE"""),100723.7)</f>
        <v>100723.7</v>
      </c>
      <c r="G26" s="86">
        <f ca="1">IFERROR(__xludf.DUMMYFUNCTION("""COMPUTED_VALUE"""),24505.0994)</f>
        <v>24505.099399999999</v>
      </c>
      <c r="H26" s="72">
        <f ca="1">IFERROR(__xludf.DUMMYFUNCTION("""COMPUTED_VALUE"""),76218.6006)</f>
        <v>76218.600600000005</v>
      </c>
      <c r="I26" s="72">
        <f ca="1">IFERROR(__xludf.DUMMYFUNCTION("""COMPUTED_VALUE"""),24.3290302083819)</f>
        <v>24.329030208381901</v>
      </c>
      <c r="J26" s="86"/>
      <c r="K26" s="86">
        <f ca="1">IFERROR(__xludf.DUMMYFUNCTION("""COMPUTED_VALUE"""),24088.2)</f>
        <v>24088.2</v>
      </c>
      <c r="L26" s="86">
        <f ca="1">IFERROR(__xludf.DUMMYFUNCTION("""COMPUTED_VALUE"""),21864.0454)</f>
        <v>21864.045399999999</v>
      </c>
      <c r="M26" s="72">
        <f ca="1">IFERROR(__xludf.DUMMYFUNCTION("""COMPUTED_VALUE"""),2224.1546)</f>
        <v>2224.1545999999998</v>
      </c>
      <c r="N26" s="72">
        <f ca="1">IFERROR(__xludf.DUMMYFUNCTION("""COMPUTED_VALUE"""),90.7666218314361)</f>
        <v>90.766621831436098</v>
      </c>
      <c r="O26" s="87"/>
      <c r="P26" s="62"/>
      <c r="Q26" s="74">
        <f ca="1">IFERROR(__xludf.DUMMYFUNCTION("""COMPUTED_VALUE"""),100124.854599999)</f>
        <v>100124.854599999</v>
      </c>
      <c r="R26" s="62"/>
      <c r="S26" s="62"/>
      <c r="T26" s="62"/>
      <c r="U26" s="62"/>
      <c r="V26" s="62"/>
      <c r="W26" s="62"/>
      <c r="X26" s="62"/>
      <c r="Y26" s="62"/>
    </row>
    <row r="27" spans="1:25" ht="15">
      <c r="A27" s="64"/>
      <c r="B27" s="65"/>
      <c r="C27" s="84">
        <v>416</v>
      </c>
      <c r="D27" s="85" t="s">
        <v>33</v>
      </c>
      <c r="E27" s="86">
        <f ca="1">IFERROR(__xludf.DUMMYFUNCTION("""COMPUTED_VALUE"""),0)</f>
        <v>0</v>
      </c>
      <c r="F27" s="86">
        <f ca="1">IFERROR(__xludf.DUMMYFUNCTION("""COMPUTED_VALUE"""),0)</f>
        <v>0</v>
      </c>
      <c r="G27" s="86">
        <f ca="1">IFERROR(__xludf.DUMMYFUNCTION("""COMPUTED_VALUE"""),0)</f>
        <v>0</v>
      </c>
      <c r="H27" s="72">
        <f ca="1">IFERROR(__xludf.DUMMYFUNCTION("""COMPUTED_VALUE"""),0)</f>
        <v>0</v>
      </c>
      <c r="I27" s="72" t="str">
        <f ca="1">IFERROR(__xludf.DUMMYFUNCTION("""COMPUTED_VALUE"""),"#DIV/0!")</f>
        <v>#DIV/0!</v>
      </c>
      <c r="J27" s="86"/>
      <c r="K27" s="86">
        <f ca="1">IFERROR(__xludf.DUMMYFUNCTION("""COMPUTED_VALUE"""),0)</f>
        <v>0</v>
      </c>
      <c r="L27" s="86">
        <f ca="1">IFERROR(__xludf.DUMMYFUNCTION("""COMPUTED_VALUE"""),0)</f>
        <v>0</v>
      </c>
      <c r="M27" s="72">
        <f ca="1">IFERROR(__xludf.DUMMYFUNCTION("""COMPUTED_VALUE"""),0)</f>
        <v>0</v>
      </c>
      <c r="N27" s="72" t="str">
        <f ca="1">IFERROR(__xludf.DUMMYFUNCTION("""COMPUTED_VALUE"""),"#DIV/0!")</f>
        <v>#DIV/0!</v>
      </c>
      <c r="O27" s="87"/>
      <c r="P27" s="62"/>
      <c r="Q27" s="74">
        <f ca="1">IFERROR(__xludf.DUMMYFUNCTION("""COMPUTED_VALUE"""),0)</f>
        <v>0</v>
      </c>
      <c r="R27" s="62"/>
      <c r="S27" s="62"/>
      <c r="T27" s="62"/>
      <c r="U27" s="62"/>
      <c r="V27" s="62"/>
      <c r="W27" s="62"/>
      <c r="X27" s="62"/>
      <c r="Y27" s="62"/>
    </row>
    <row r="28" spans="1:25" ht="15">
      <c r="A28" s="64"/>
      <c r="B28" s="65"/>
      <c r="C28" s="84">
        <v>419</v>
      </c>
      <c r="D28" s="85" t="s">
        <v>34</v>
      </c>
      <c r="E28" s="86">
        <f ca="1">IFERROR(__xludf.DUMMYFUNCTION("""COMPUTED_VALUE"""),0)</f>
        <v>0</v>
      </c>
      <c r="F28" s="86">
        <f ca="1">IFERROR(__xludf.DUMMYFUNCTION("""COMPUTED_VALUE"""),0)</f>
        <v>0</v>
      </c>
      <c r="G28" s="86">
        <f ca="1">IFERROR(__xludf.DUMMYFUNCTION("""COMPUTED_VALUE"""),0)</f>
        <v>0</v>
      </c>
      <c r="H28" s="72">
        <f ca="1">IFERROR(__xludf.DUMMYFUNCTION("""COMPUTED_VALUE"""),0)</f>
        <v>0</v>
      </c>
      <c r="I28" s="72" t="str">
        <f ca="1">IFERROR(__xludf.DUMMYFUNCTION("""COMPUTED_VALUE"""),"#DIV/0!")</f>
        <v>#DIV/0!</v>
      </c>
      <c r="J28" s="86"/>
      <c r="K28" s="86">
        <f ca="1">IFERROR(__xludf.DUMMYFUNCTION("""COMPUTED_VALUE"""),0)</f>
        <v>0</v>
      </c>
      <c r="L28" s="86">
        <f ca="1">IFERROR(__xludf.DUMMYFUNCTION("""COMPUTED_VALUE"""),0)</f>
        <v>0</v>
      </c>
      <c r="M28" s="72">
        <f ca="1">IFERROR(__xludf.DUMMYFUNCTION("""COMPUTED_VALUE"""),0)</f>
        <v>0</v>
      </c>
      <c r="N28" s="72" t="str">
        <f ca="1">IFERROR(__xludf.DUMMYFUNCTION("""COMPUTED_VALUE"""),"#DIV/0!")</f>
        <v>#DIV/0!</v>
      </c>
      <c r="O28" s="87"/>
      <c r="P28" s="62"/>
      <c r="Q28" s="74">
        <f ca="1">IFERROR(__xludf.DUMMYFUNCTION("""COMPUTED_VALUE"""),0)</f>
        <v>0</v>
      </c>
      <c r="R28" s="62"/>
      <c r="S28" s="62"/>
      <c r="T28" s="62"/>
      <c r="U28" s="62"/>
      <c r="V28" s="62"/>
      <c r="W28" s="62"/>
      <c r="X28" s="62"/>
      <c r="Y28" s="62"/>
    </row>
    <row r="29" spans="1:25" ht="43.5">
      <c r="A29" s="64"/>
      <c r="B29" s="65"/>
      <c r="C29" s="84">
        <v>421</v>
      </c>
      <c r="D29" s="88" t="s">
        <v>35</v>
      </c>
      <c r="E29" s="86">
        <f ca="1">IFERROR(__xludf.DUMMYFUNCTION("""COMPUTED_VALUE"""),9088.3)</f>
        <v>9088.2999999999993</v>
      </c>
      <c r="F29" s="86">
        <f ca="1">IFERROR(__xludf.DUMMYFUNCTION("""COMPUTED_VALUE"""),6390.7)</f>
        <v>6390.7</v>
      </c>
      <c r="G29" s="86">
        <f ca="1">IFERROR(__xludf.DUMMYFUNCTION("""COMPUTED_VALUE"""),3798.0619)</f>
        <v>3798.0619000000002</v>
      </c>
      <c r="H29" s="72">
        <f ca="1">IFERROR(__xludf.DUMMYFUNCTION("""COMPUTED_VALUE"""),2592.6381)</f>
        <v>2592.6381000000001</v>
      </c>
      <c r="I29" s="72">
        <f ca="1">IFERROR(__xludf.DUMMYFUNCTION("""COMPUTED_VALUE"""),59.431077972679)</f>
        <v>59.431077972678999</v>
      </c>
      <c r="J29" s="86"/>
      <c r="K29" s="86">
        <f ca="1">IFERROR(__xludf.DUMMYFUNCTION("""COMPUTED_VALUE"""),1684.9)</f>
        <v>1684.9</v>
      </c>
      <c r="L29" s="86">
        <f ca="1">IFERROR(__xludf.DUMMYFUNCTION("""COMPUTED_VALUE"""),1139.41827)</f>
        <v>1139.4182699999999</v>
      </c>
      <c r="M29" s="72">
        <f ca="1">IFERROR(__xludf.DUMMYFUNCTION("""COMPUTED_VALUE"""),545.48173)</f>
        <v>545.48172999999997</v>
      </c>
      <c r="N29" s="72">
        <f ca="1">IFERROR(__xludf.DUMMYFUNCTION("""COMPUTED_VALUE"""),67.6252756840168)</f>
        <v>67.625275684016799</v>
      </c>
      <c r="O29" s="87"/>
      <c r="P29" s="62"/>
      <c r="Q29" s="74">
        <f ca="1">IFERROR(__xludf.DUMMYFUNCTION("""COMPUTED_VALUE"""),7948.88173)</f>
        <v>7948.8817300000001</v>
      </c>
      <c r="R29" s="62"/>
      <c r="S29" s="62"/>
      <c r="T29" s="62"/>
      <c r="U29" s="62"/>
      <c r="V29" s="62"/>
      <c r="W29" s="62"/>
      <c r="X29" s="62"/>
      <c r="Y29" s="62"/>
    </row>
    <row r="30" spans="1:25" ht="15">
      <c r="A30" s="80"/>
      <c r="B30" s="81">
        <v>123</v>
      </c>
      <c r="C30" s="81"/>
      <c r="D30" s="106" t="s">
        <v>36</v>
      </c>
      <c r="E30" s="107">
        <f ca="1">IFERROR(__xludf.DUMMYFUNCTION("""COMPUTED_VALUE"""),20957523)</f>
        <v>20957523</v>
      </c>
      <c r="F30" s="107">
        <f ca="1">IFERROR(__xludf.DUMMYFUNCTION("""COMPUTED_VALUE"""),11455177.6999999)</f>
        <v>11455177.699999901</v>
      </c>
      <c r="G30" s="107">
        <f ca="1">IFERROR(__xludf.DUMMYFUNCTION("""COMPUTED_VALUE"""),11302946.7297299)</f>
        <v>11302946.7297299</v>
      </c>
      <c r="H30" s="83">
        <f ca="1">IFERROR(__xludf.DUMMYFUNCTION("""COMPUTED_VALUE"""),152230.970269998)</f>
        <v>152230.97026999801</v>
      </c>
      <c r="I30" s="83">
        <f ca="1">IFERROR(__xludf.DUMMYFUNCTION("""COMPUTED_VALUE"""),98.6710728174038)</f>
        <v>98.671072817403797</v>
      </c>
      <c r="J30" s="96"/>
      <c r="K30" s="107">
        <f ca="1">IFERROR(__xludf.DUMMYFUNCTION("""COMPUTED_VALUE"""),10920956.7969999)</f>
        <v>10920956.7969999</v>
      </c>
      <c r="L30" s="107">
        <f ca="1">IFERROR(__xludf.DUMMYFUNCTION("""COMPUTED_VALUE"""),10918183.8272299)</f>
        <v>10918183.8272299</v>
      </c>
      <c r="M30" s="83">
        <f ca="1">IFERROR(__xludf.DUMMYFUNCTION("""COMPUTED_VALUE"""),2772.96976999938)</f>
        <v>2772.9697699993799</v>
      </c>
      <c r="N30" s="83">
        <f ca="1">IFERROR(__xludf.DUMMYFUNCTION("""COMPUTED_VALUE"""),99.9746087286897)</f>
        <v>99.974608728689702</v>
      </c>
      <c r="O30" s="96"/>
      <c r="P30" s="62"/>
      <c r="Q30" s="74">
        <f ca="1">IFERROR(__xludf.DUMMYFUNCTION("""COMPUTED_VALUE"""),10039339.17277)</f>
        <v>10039339.172769999</v>
      </c>
      <c r="R30" s="62"/>
      <c r="S30" s="62"/>
      <c r="T30" s="62"/>
      <c r="U30" s="62"/>
      <c r="V30" s="62"/>
      <c r="W30" s="62"/>
      <c r="X30" s="62"/>
      <c r="Y30" s="62"/>
    </row>
    <row r="31" spans="1:25" ht="15">
      <c r="A31" s="870"/>
      <c r="B31" s="65"/>
      <c r="C31" s="84">
        <v>111</v>
      </c>
      <c r="D31" s="85" t="s">
        <v>37</v>
      </c>
      <c r="E31" s="86">
        <f ca="1">IFERROR(__xludf.DUMMYFUNCTION("""COMPUTED_VALUE"""),11591960.2)</f>
        <v>11591960.199999999</v>
      </c>
      <c r="F31" s="86">
        <f ca="1">IFERROR(__xludf.DUMMYFUNCTION("""COMPUTED_VALUE"""),5256882.7)</f>
        <v>5256882.7</v>
      </c>
      <c r="G31" s="86">
        <f ca="1">IFERROR(__xludf.DUMMYFUNCTION("""COMPUTED_VALUE"""),5256879.76484999)</f>
        <v>5256879.7648499897</v>
      </c>
      <c r="H31" s="72">
        <f ca="1">IFERROR(__xludf.DUMMYFUNCTION("""COMPUTED_VALUE"""),2.93515000119805)</f>
        <v>2.9351500011980498</v>
      </c>
      <c r="I31" s="72">
        <f ca="1">IFERROR(__xludf.DUMMYFUNCTION("""COMPUTED_VALUE"""),99.9999441655793)</f>
        <v>99.999944165579294</v>
      </c>
      <c r="J31" s="86"/>
      <c r="K31" s="86">
        <f ca="1">IFERROR(__xludf.DUMMYFUNCTION("""COMPUTED_VALUE"""),5256882.7)</f>
        <v>5256882.7</v>
      </c>
      <c r="L31" s="86">
        <f ca="1">IFERROR(__xludf.DUMMYFUNCTION("""COMPUTED_VALUE"""),5256879.76584999)</f>
        <v>5256879.7658499898</v>
      </c>
      <c r="M31" s="72">
        <f ca="1">IFERROR(__xludf.DUMMYFUNCTION("""COMPUTED_VALUE"""),2.93415000103414)</f>
        <v>2.9341500010341401</v>
      </c>
      <c r="N31" s="72">
        <f ca="1">IFERROR(__xludf.DUMMYFUNCTION("""COMPUTED_VALUE"""),99.999944184602)</f>
        <v>99.999944184602001</v>
      </c>
      <c r="O31" s="87"/>
      <c r="P31" s="62"/>
      <c r="Q31" s="74">
        <f ca="1">IFERROR(__xludf.DUMMYFUNCTION("""COMPUTED_VALUE"""),6335080.43415)</f>
        <v>6335080.4341500001</v>
      </c>
      <c r="R31" s="62"/>
      <c r="S31" s="62"/>
      <c r="T31" s="62"/>
      <c r="U31" s="62"/>
      <c r="V31" s="62"/>
      <c r="W31" s="62"/>
      <c r="X31" s="62"/>
      <c r="Y31" s="62"/>
    </row>
    <row r="32" spans="1:25" ht="15">
      <c r="A32" s="863"/>
      <c r="B32" s="65"/>
      <c r="C32" s="84">
        <v>112</v>
      </c>
      <c r="D32" s="85" t="s">
        <v>38</v>
      </c>
      <c r="E32" s="86">
        <f ca="1">IFERROR(__xludf.DUMMYFUNCTION("""COMPUTED_VALUE"""),2967808.09999999)</f>
        <v>2967808.0999999898</v>
      </c>
      <c r="F32" s="86">
        <f ca="1">IFERROR(__xludf.DUMMYFUNCTION("""COMPUTED_VALUE"""),2989032.9)</f>
        <v>2989032.9</v>
      </c>
      <c r="G32" s="86">
        <f ca="1">IFERROR(__xludf.DUMMYFUNCTION("""COMPUTED_VALUE"""),2988636.76571999)</f>
        <v>2988636.7657199898</v>
      </c>
      <c r="H32" s="72">
        <f ca="1">IFERROR(__xludf.DUMMYFUNCTION("""COMPUTED_VALUE"""),396.134280000347)</f>
        <v>396.13428000034702</v>
      </c>
      <c r="I32" s="72">
        <f ca="1">IFERROR(__xludf.DUMMYFUNCTION("""COMPUTED_VALUE"""),99.9867470752831)</f>
        <v>99.986747075283105</v>
      </c>
      <c r="J32" s="86"/>
      <c r="K32" s="86">
        <f ca="1">IFERROR(__xludf.DUMMYFUNCTION("""COMPUTED_VALUE"""),2989032.9)</f>
        <v>2989032.9</v>
      </c>
      <c r="L32" s="86">
        <f ca="1">IFERROR(__xludf.DUMMYFUNCTION("""COMPUTED_VALUE"""),2988636.76471999)</f>
        <v>2988636.7647199901</v>
      </c>
      <c r="M32" s="72">
        <f ca="1">IFERROR(__xludf.DUMMYFUNCTION("""COMPUTED_VALUE"""),396.135280000511)</f>
        <v>396.13528000051099</v>
      </c>
      <c r="N32" s="72">
        <f ca="1">IFERROR(__xludf.DUMMYFUNCTION("""COMPUTED_VALUE"""),99.9867470418274)</f>
        <v>99.9867470418274</v>
      </c>
      <c r="O32" s="87"/>
      <c r="P32" s="62"/>
      <c r="Q32" s="74">
        <f ca="1">IFERROR(__xludf.DUMMYFUNCTION("""COMPUTED_VALUE"""),-20828.6647199997)</f>
        <v>-20828.664719999699</v>
      </c>
      <c r="R32" s="62"/>
      <c r="S32" s="62"/>
      <c r="T32" s="62"/>
      <c r="U32" s="62"/>
      <c r="V32" s="62"/>
      <c r="W32" s="62"/>
      <c r="X32" s="62"/>
      <c r="Y32" s="62"/>
    </row>
    <row r="33" spans="1:26" ht="15">
      <c r="A33" s="863"/>
      <c r="B33" s="65"/>
      <c r="C33" s="84">
        <v>113</v>
      </c>
      <c r="D33" s="85" t="s">
        <v>39</v>
      </c>
      <c r="E33" s="86">
        <f ca="1">IFERROR(__xludf.DUMMYFUNCTION("""COMPUTED_VALUE"""),2131358.9)</f>
        <v>2131358.9</v>
      </c>
      <c r="F33" s="86">
        <f ca="1">IFERROR(__xludf.DUMMYFUNCTION("""COMPUTED_VALUE"""),859727.2)</f>
        <v>859727.2</v>
      </c>
      <c r="G33" s="86">
        <f ca="1">IFERROR(__xludf.DUMMYFUNCTION("""COMPUTED_VALUE"""),859688.413)</f>
        <v>859688.41299999994</v>
      </c>
      <c r="H33" s="72">
        <f ca="1">IFERROR(__xludf.DUMMYFUNCTION("""COMPUTED_VALUE"""),38.7869999998947)</f>
        <v>38.786999999894697</v>
      </c>
      <c r="I33" s="72">
        <f ca="1">IFERROR(__xludf.DUMMYFUNCTION("""COMPUTED_VALUE"""),99.9954884526161)</f>
        <v>99.995488452616101</v>
      </c>
      <c r="J33" s="86"/>
      <c r="K33" s="86">
        <f ca="1">IFERROR(__xludf.DUMMYFUNCTION("""COMPUTED_VALUE"""),859727.2)</f>
        <v>859727.2</v>
      </c>
      <c r="L33" s="86">
        <f ca="1">IFERROR(__xludf.DUMMYFUNCTION("""COMPUTED_VALUE"""),859688.413)</f>
        <v>859688.41299999994</v>
      </c>
      <c r="M33" s="72">
        <f ca="1">IFERROR(__xludf.DUMMYFUNCTION("""COMPUTED_VALUE"""),38.7869999998947)</f>
        <v>38.786999999894697</v>
      </c>
      <c r="N33" s="72">
        <f ca="1">IFERROR(__xludf.DUMMYFUNCTION("""COMPUTED_VALUE"""),99.9954884526161)</f>
        <v>99.995488452616101</v>
      </c>
      <c r="O33" s="87"/>
      <c r="P33" s="62"/>
      <c r="Q33" s="74">
        <f ca="1">IFERROR(__xludf.DUMMYFUNCTION("""COMPUTED_VALUE"""),1271670.48699999)</f>
        <v>1271670.48699999</v>
      </c>
      <c r="R33" s="62"/>
      <c r="S33" s="62"/>
      <c r="T33" s="62"/>
      <c r="U33" s="62"/>
      <c r="V33" s="62"/>
      <c r="W33" s="62"/>
      <c r="X33" s="62"/>
      <c r="Y33" s="62"/>
    </row>
    <row r="34" spans="1:26" ht="15">
      <c r="A34" s="863"/>
      <c r="B34" s="65"/>
      <c r="C34" s="108">
        <v>116</v>
      </c>
      <c r="D34" s="109" t="s">
        <v>40</v>
      </c>
      <c r="E34" s="86">
        <f ca="1">IFERROR(__xludf.DUMMYFUNCTION("""COMPUTED_VALUE"""),0)</f>
        <v>0</v>
      </c>
      <c r="F34" s="86">
        <f ca="1">IFERROR(__xludf.DUMMYFUNCTION("""COMPUTED_VALUE"""),0)</f>
        <v>0</v>
      </c>
      <c r="G34" s="86">
        <f ca="1">IFERROR(__xludf.DUMMYFUNCTION("""COMPUTED_VALUE"""),0)</f>
        <v>0</v>
      </c>
      <c r="H34" s="72">
        <f ca="1">IFERROR(__xludf.DUMMYFUNCTION("""COMPUTED_VALUE"""),0)</f>
        <v>0</v>
      </c>
      <c r="I34" s="72" t="str">
        <f ca="1">IFERROR(__xludf.DUMMYFUNCTION("""COMPUTED_VALUE"""),"#DIV/0!")</f>
        <v>#DIV/0!</v>
      </c>
      <c r="J34" s="86"/>
      <c r="K34" s="86">
        <f ca="1">IFERROR(__xludf.DUMMYFUNCTION("""COMPUTED_VALUE"""),0)</f>
        <v>0</v>
      </c>
      <c r="L34" s="86">
        <f ca="1">IFERROR(__xludf.DUMMYFUNCTION("""COMPUTED_VALUE"""),0)</f>
        <v>0</v>
      </c>
      <c r="M34" s="72">
        <f ca="1">IFERROR(__xludf.DUMMYFUNCTION("""COMPUTED_VALUE"""),0)</f>
        <v>0</v>
      </c>
      <c r="N34" s="72" t="str">
        <f ca="1">IFERROR(__xludf.DUMMYFUNCTION("""COMPUTED_VALUE"""),"#DIV/0!")</f>
        <v>#DIV/0!</v>
      </c>
      <c r="O34" s="87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110"/>
    </row>
    <row r="35" spans="1:26" ht="15">
      <c r="A35" s="863"/>
      <c r="B35" s="65"/>
      <c r="C35" s="84">
        <v>121</v>
      </c>
      <c r="D35" s="85" t="s">
        <v>41</v>
      </c>
      <c r="E35" s="86">
        <f ca="1">IFERROR(__xludf.DUMMYFUNCTION("""COMPUTED_VALUE"""),785544.2)</f>
        <v>785544.2</v>
      </c>
      <c r="F35" s="86">
        <f ca="1">IFERROR(__xludf.DUMMYFUNCTION("""COMPUTED_VALUE"""),457222.2)</f>
        <v>457222.2</v>
      </c>
      <c r="G35" s="86">
        <f ca="1">IFERROR(__xludf.DUMMYFUNCTION("""COMPUTED_VALUE"""),457221.87823)</f>
        <v>457221.87822999997</v>
      </c>
      <c r="H35" s="72">
        <f ca="1">IFERROR(__xludf.DUMMYFUNCTION("""COMPUTED_VALUE"""),0.32176999998046)</f>
        <v>0.32176999998046002</v>
      </c>
      <c r="I35" s="72">
        <f ca="1">IFERROR(__xludf.DUMMYFUNCTION("""COMPUTED_VALUE"""),99.9999296250269)</f>
        <v>99.999929625026894</v>
      </c>
      <c r="J35" s="86"/>
      <c r="K35" s="86">
        <f ca="1">IFERROR(__xludf.DUMMYFUNCTION("""COMPUTED_VALUE"""),457222.2)</f>
        <v>457222.2</v>
      </c>
      <c r="L35" s="86">
        <f ca="1">IFERROR(__xludf.DUMMYFUNCTION("""COMPUTED_VALUE"""),457221.87723)</f>
        <v>457221.87722999998</v>
      </c>
      <c r="M35" s="72">
        <f ca="1">IFERROR(__xludf.DUMMYFUNCTION("""COMPUTED_VALUE"""),0.32276999996975)</f>
        <v>0.32276999996974998</v>
      </c>
      <c r="N35" s="72">
        <f ca="1">IFERROR(__xludf.DUMMYFUNCTION("""COMPUTED_VALUE"""),99.9999294063149)</f>
        <v>99.999929406314905</v>
      </c>
      <c r="O35" s="87"/>
      <c r="P35" s="62"/>
      <c r="Q35" s="74">
        <f ca="1">IFERROR(__xludf.DUMMYFUNCTION("""COMPUTED_VALUE"""),328322.322769999)</f>
        <v>328322.32276999898</v>
      </c>
      <c r="R35" s="62"/>
      <c r="S35" s="62"/>
      <c r="T35" s="62"/>
      <c r="U35" s="62"/>
      <c r="V35" s="62"/>
      <c r="W35" s="62"/>
      <c r="X35" s="62"/>
      <c r="Y35" s="62"/>
    </row>
    <row r="36" spans="1:26" ht="15">
      <c r="A36" s="863"/>
      <c r="B36" s="65"/>
      <c r="C36" s="84">
        <v>122</v>
      </c>
      <c r="D36" s="85" t="s">
        <v>42</v>
      </c>
      <c r="E36" s="86">
        <f ca="1">IFERROR(__xludf.DUMMYFUNCTION("""COMPUTED_VALUE"""),434497.3)</f>
        <v>434497.3</v>
      </c>
      <c r="F36" s="86">
        <f ca="1">IFERROR(__xludf.DUMMYFUNCTION("""COMPUTED_VALUE"""),232268.199999999)</f>
        <v>232268.19999999899</v>
      </c>
      <c r="G36" s="86">
        <f ca="1">IFERROR(__xludf.DUMMYFUNCTION("""COMPUTED_VALUE"""),231980.469999999)</f>
        <v>231980.46999999901</v>
      </c>
      <c r="H36" s="72">
        <f ca="1">IFERROR(__xludf.DUMMYFUNCTION("""COMPUTED_VALUE"""),287.73000000001)</f>
        <v>287.73000000001002</v>
      </c>
      <c r="I36" s="72">
        <f ca="1">IFERROR(__xludf.DUMMYFUNCTION("""COMPUTED_VALUE"""),99.8761216559132)</f>
        <v>99.876121655913195</v>
      </c>
      <c r="J36" s="86"/>
      <c r="K36" s="86">
        <f ca="1">IFERROR(__xludf.DUMMYFUNCTION("""COMPUTED_VALUE"""),232268.199999999)</f>
        <v>232268.19999999899</v>
      </c>
      <c r="L36" s="86">
        <f ca="1">IFERROR(__xludf.DUMMYFUNCTION("""COMPUTED_VALUE"""),231980.469999999)</f>
        <v>231980.46999999901</v>
      </c>
      <c r="M36" s="72">
        <f ca="1">IFERROR(__xludf.DUMMYFUNCTION("""COMPUTED_VALUE"""),287.73000000001)</f>
        <v>287.73000000001002</v>
      </c>
      <c r="N36" s="72">
        <f ca="1">IFERROR(__xludf.DUMMYFUNCTION("""COMPUTED_VALUE"""),99.8761216559132)</f>
        <v>99.876121655913195</v>
      </c>
      <c r="O36" s="87"/>
      <c r="P36" s="62"/>
      <c r="Q36" s="74">
        <f ca="1">IFERROR(__xludf.DUMMYFUNCTION("""COMPUTED_VALUE"""),202516.83)</f>
        <v>202516.83</v>
      </c>
      <c r="R36" s="62"/>
      <c r="S36" s="62"/>
      <c r="T36" s="62"/>
      <c r="U36" s="62"/>
      <c r="V36" s="62"/>
      <c r="W36" s="62"/>
      <c r="X36" s="62"/>
      <c r="Y36" s="62"/>
    </row>
    <row r="37" spans="1:26" ht="15">
      <c r="A37" s="863"/>
      <c r="B37" s="65"/>
      <c r="C37" s="84">
        <v>123</v>
      </c>
      <c r="D37" s="85" t="s">
        <v>43</v>
      </c>
      <c r="E37" s="86">
        <f ca="1">IFERROR(__xludf.DUMMYFUNCTION("""COMPUTED_VALUE"""),9321.1)</f>
        <v>9321.1</v>
      </c>
      <c r="F37" s="86">
        <f ca="1">IFERROR(__xludf.DUMMYFUNCTION("""COMPUTED_VALUE"""),5082.5)</f>
        <v>5082.5</v>
      </c>
      <c r="G37" s="86">
        <f ca="1">IFERROR(__xludf.DUMMYFUNCTION("""COMPUTED_VALUE"""),4711.7751)</f>
        <v>4711.7750999999998</v>
      </c>
      <c r="H37" s="72">
        <f ca="1">IFERROR(__xludf.DUMMYFUNCTION("""COMPUTED_VALUE"""),370.7249)</f>
        <v>370.72489999999999</v>
      </c>
      <c r="I37" s="72">
        <f ca="1">IFERROR(__xludf.DUMMYFUNCTION("""COMPUTED_VALUE"""),92.7058553861288)</f>
        <v>92.705855386128803</v>
      </c>
      <c r="J37" s="86"/>
      <c r="K37" s="86">
        <f ca="1">IFERROR(__xludf.DUMMYFUNCTION("""COMPUTED_VALUE"""),4665.5)</f>
        <v>4665.5</v>
      </c>
      <c r="L37" s="86">
        <f ca="1">IFERROR(__xludf.DUMMYFUNCTION("""COMPUTED_VALUE"""),4597.51709999999)</f>
        <v>4597.51709999999</v>
      </c>
      <c r="M37" s="72">
        <f ca="1">IFERROR(__xludf.DUMMYFUNCTION("""COMPUTED_VALUE"""),67.9829000000008)</f>
        <v>67.982900000000797</v>
      </c>
      <c r="N37" s="72">
        <f ca="1">IFERROR(__xludf.DUMMYFUNCTION("""COMPUTED_VALUE"""),98.5428592862501)</f>
        <v>98.542859286250106</v>
      </c>
      <c r="O37" s="87"/>
      <c r="P37" s="62"/>
      <c r="Q37" s="74">
        <f ca="1">IFERROR(__xludf.DUMMYFUNCTION("""COMPUTED_VALUE"""),4723.5829)</f>
        <v>4723.5829000000003</v>
      </c>
      <c r="R37" s="62"/>
      <c r="S37" s="62"/>
      <c r="T37" s="62"/>
      <c r="U37" s="62"/>
      <c r="V37" s="62"/>
      <c r="W37" s="62"/>
      <c r="X37" s="62"/>
      <c r="Y37" s="62"/>
    </row>
    <row r="38" spans="1:26" ht="29.25">
      <c r="A38" s="863"/>
      <c r="B38" s="65"/>
      <c r="C38" s="84">
        <v>124</v>
      </c>
      <c r="D38" s="88" t="s">
        <v>44</v>
      </c>
      <c r="E38" s="86">
        <f ca="1">IFERROR(__xludf.DUMMYFUNCTION("""COMPUTED_VALUE"""),423584.3)</f>
        <v>423584.3</v>
      </c>
      <c r="F38" s="86">
        <f ca="1">IFERROR(__xludf.DUMMYFUNCTION("""COMPUTED_VALUE"""),227976.5)</f>
        <v>227976.5</v>
      </c>
      <c r="G38" s="86">
        <f ca="1">IFERROR(__xludf.DUMMYFUNCTION("""COMPUTED_VALUE"""),227742.713)</f>
        <v>227742.71299999999</v>
      </c>
      <c r="H38" s="72">
        <f ca="1">IFERROR(__xludf.DUMMYFUNCTION("""COMPUTED_VALUE"""),233.786999999982)</f>
        <v>233.78699999998199</v>
      </c>
      <c r="I38" s="72">
        <f ca="1">IFERROR(__xludf.DUMMYFUNCTION("""COMPUTED_VALUE"""),99.8974512723899)</f>
        <v>99.897451272389901</v>
      </c>
      <c r="J38" s="86"/>
      <c r="K38" s="86">
        <f ca="1">IFERROR(__xludf.DUMMYFUNCTION("""COMPUTED_VALUE"""),227976.5)</f>
        <v>227976.5</v>
      </c>
      <c r="L38" s="86">
        <f ca="1">IFERROR(__xludf.DUMMYFUNCTION("""COMPUTED_VALUE"""),227742.703)</f>
        <v>227742.70300000001</v>
      </c>
      <c r="M38" s="72">
        <f ca="1">IFERROR(__xludf.DUMMYFUNCTION("""COMPUTED_VALUE"""),233.796999999991)</f>
        <v>233.79699999999099</v>
      </c>
      <c r="N38" s="72">
        <f ca="1">IFERROR(__xludf.DUMMYFUNCTION("""COMPUTED_VALUE"""),99.8974468859729)</f>
        <v>99.897446885972897</v>
      </c>
      <c r="O38" s="87"/>
      <c r="P38" s="62"/>
      <c r="Q38" s="74">
        <f ca="1">IFERROR(__xludf.DUMMYFUNCTION("""COMPUTED_VALUE"""),195841.597)</f>
        <v>195841.59700000001</v>
      </c>
      <c r="R38" s="62"/>
      <c r="S38" s="62"/>
      <c r="T38" s="62"/>
      <c r="U38" s="62"/>
      <c r="V38" s="62"/>
      <c r="W38" s="62"/>
      <c r="X38" s="62"/>
      <c r="Y38" s="62"/>
    </row>
    <row r="39" spans="1:26" ht="43.5">
      <c r="A39" s="863"/>
      <c r="B39" s="65"/>
      <c r="C39" s="84">
        <v>142</v>
      </c>
      <c r="D39" s="88" t="s">
        <v>45</v>
      </c>
      <c r="E39" s="86">
        <f ca="1">IFERROR(__xludf.DUMMYFUNCTION("""COMPUTED_VALUE"""),661221.5)</f>
        <v>661221.5</v>
      </c>
      <c r="F39" s="86">
        <f ca="1">IFERROR(__xludf.DUMMYFUNCTION("""COMPUTED_VALUE"""),93073.9)</f>
        <v>93073.9</v>
      </c>
      <c r="G39" s="86">
        <f ca="1">IFERROR(__xludf.DUMMYFUNCTION("""COMPUTED_VALUE"""),5813.74)</f>
        <v>5813.74</v>
      </c>
      <c r="H39" s="72">
        <f ca="1">IFERROR(__xludf.DUMMYFUNCTION("""COMPUTED_VALUE"""),87260.1599999999)</f>
        <v>87260.159999999902</v>
      </c>
      <c r="I39" s="72">
        <f ca="1">IFERROR(__xludf.DUMMYFUNCTION("""COMPUTED_VALUE"""),6.24636982011068)</f>
        <v>6.2463698201106803</v>
      </c>
      <c r="J39" s="86"/>
      <c r="K39" s="86">
        <f ca="1">IFERROR(__xludf.DUMMYFUNCTION("""COMPUTED_VALUE"""),2702.4)</f>
        <v>2702.4</v>
      </c>
      <c r="L39" s="86">
        <f ca="1">IFERROR(__xludf.DUMMYFUNCTION("""COMPUTED_VALUE"""),2692.54)</f>
        <v>2692.54</v>
      </c>
      <c r="M39" s="72">
        <f ca="1">IFERROR(__xludf.DUMMYFUNCTION("""COMPUTED_VALUE"""),9.86000000000012)</f>
        <v>9.8600000000001202</v>
      </c>
      <c r="N39" s="72">
        <f ca="1">IFERROR(__xludf.DUMMYFUNCTION("""COMPUTED_VALUE"""),99.6351391355831)</f>
        <v>99.635139135583103</v>
      </c>
      <c r="O39" s="87"/>
      <c r="P39" s="62"/>
      <c r="Q39" s="74">
        <f ca="1">IFERROR(__xludf.DUMMYFUNCTION("""COMPUTED_VALUE"""),658528.96)</f>
        <v>658528.96</v>
      </c>
      <c r="R39" s="62"/>
      <c r="S39" s="62"/>
      <c r="T39" s="62"/>
      <c r="U39" s="62"/>
      <c r="V39" s="62"/>
      <c r="W39" s="62"/>
      <c r="X39" s="62"/>
      <c r="Y39" s="62"/>
    </row>
    <row r="40" spans="1:26" ht="15">
      <c r="A40" s="863"/>
      <c r="B40" s="65"/>
      <c r="C40" s="84"/>
      <c r="D40" s="88"/>
      <c r="E40" s="86">
        <f ca="1">IFERROR(__xludf.DUMMYFUNCTION("""COMPUTED_VALUE"""),2080)</f>
        <v>2080</v>
      </c>
      <c r="F40" s="86">
        <f ca="1">IFERROR(__xludf.DUMMYFUNCTION("""COMPUTED_VALUE"""),558)</f>
        <v>558</v>
      </c>
      <c r="G40" s="86">
        <f ca="1">IFERROR(__xludf.DUMMYFUNCTION("""COMPUTED_VALUE"""),557.4)</f>
        <v>557.4</v>
      </c>
      <c r="H40" s="72"/>
      <c r="I40" s="72"/>
      <c r="J40" s="86"/>
      <c r="K40" s="86">
        <f ca="1">IFERROR(__xludf.DUMMYFUNCTION("""COMPUTED_VALUE"""),0)</f>
        <v>0</v>
      </c>
      <c r="L40" s="86">
        <f ca="1">IFERROR(__xludf.DUMMYFUNCTION("""COMPUTED_VALUE"""),0)</f>
        <v>0</v>
      </c>
      <c r="M40" s="72"/>
      <c r="N40" s="72"/>
      <c r="O40" s="87"/>
      <c r="P40" s="62"/>
      <c r="Q40" s="74"/>
      <c r="R40" s="62"/>
      <c r="S40" s="62"/>
      <c r="T40" s="62"/>
      <c r="U40" s="62"/>
      <c r="V40" s="62"/>
      <c r="W40" s="62"/>
      <c r="X40" s="62"/>
      <c r="Y40" s="62"/>
    </row>
    <row r="41" spans="1:26" ht="29.25">
      <c r="A41" s="863"/>
      <c r="B41" s="65"/>
      <c r="C41" s="84">
        <v>144</v>
      </c>
      <c r="D41" s="88" t="s">
        <v>46</v>
      </c>
      <c r="E41" s="86">
        <f ca="1">IFERROR(__xludf.DUMMYFUNCTION("""COMPUTED_VALUE"""),270926.3)</f>
        <v>270926.3</v>
      </c>
      <c r="F41" s="86">
        <f ca="1">IFERROR(__xludf.DUMMYFUNCTION("""COMPUTED_VALUE"""),216302.1)</f>
        <v>216302.1</v>
      </c>
      <c r="G41" s="86">
        <f ca="1">IFERROR(__xludf.DUMMYFUNCTION("""COMPUTED_VALUE"""),197858.118899999)</f>
        <v>197858.11889999901</v>
      </c>
      <c r="H41" s="72">
        <f ca="1">IFERROR(__xludf.DUMMYFUNCTION("""COMPUTED_VALUE"""),18443.9811)</f>
        <v>18443.981100000001</v>
      </c>
      <c r="I41" s="72">
        <f ca="1">IFERROR(__xludf.DUMMYFUNCTION("""COMPUTED_VALUE"""),91.4730457540633)</f>
        <v>91.473045754063307</v>
      </c>
      <c r="J41" s="86"/>
      <c r="K41" s="86">
        <f ca="1">IFERROR(__xludf.DUMMYFUNCTION("""COMPUTED_VALUE"""),161378.9)</f>
        <v>161378.9</v>
      </c>
      <c r="L41" s="86">
        <f ca="1">IFERROR(__xludf.DUMMYFUNCTION("""COMPUTED_VALUE"""),161058.47318)</f>
        <v>161058.47318</v>
      </c>
      <c r="M41" s="72">
        <f ca="1">IFERROR(__xludf.DUMMYFUNCTION("""COMPUTED_VALUE"""),320.426819999993)</f>
        <v>320.42681999999297</v>
      </c>
      <c r="N41" s="72">
        <f ca="1">IFERROR(__xludf.DUMMYFUNCTION("""COMPUTED_VALUE"""),99.8014444143565)</f>
        <v>99.801444414356496</v>
      </c>
      <c r="O41" s="87"/>
      <c r="P41" s="62"/>
      <c r="Q41" s="74">
        <f ca="1">IFERROR(__xludf.DUMMYFUNCTION("""COMPUTED_VALUE"""),109867.82682)</f>
        <v>109867.82682</v>
      </c>
      <c r="R41" s="62"/>
      <c r="S41" s="62"/>
      <c r="T41" s="62"/>
      <c r="U41" s="62"/>
      <c r="V41" s="62"/>
      <c r="W41" s="62"/>
      <c r="X41" s="62"/>
      <c r="Y41" s="62"/>
    </row>
    <row r="42" spans="1:26" ht="15">
      <c r="A42" s="863"/>
      <c r="B42" s="65"/>
      <c r="C42" s="84">
        <v>149</v>
      </c>
      <c r="D42" s="85" t="s">
        <v>26</v>
      </c>
      <c r="E42" s="86">
        <f ca="1">IFERROR(__xludf.DUMMYFUNCTION("""COMPUTED_VALUE"""),251782.4)</f>
        <v>251782.39999999999</v>
      </c>
      <c r="F42" s="86">
        <f ca="1">IFERROR(__xludf.DUMMYFUNCTION("""COMPUTED_VALUE"""),135693)</f>
        <v>135693</v>
      </c>
      <c r="G42" s="86">
        <f ca="1">IFERROR(__xludf.DUMMYFUNCTION("""COMPUTED_VALUE"""),126030.10241)</f>
        <v>126030.10241000001</v>
      </c>
      <c r="H42" s="72">
        <f ca="1">IFERROR(__xludf.DUMMYFUNCTION("""COMPUTED_VALUE"""),9662.89759000002)</f>
        <v>9662.8975900000205</v>
      </c>
      <c r="I42" s="72">
        <f ca="1">IFERROR(__xludf.DUMMYFUNCTION("""COMPUTED_VALUE"""),92.8788533012019)</f>
        <v>92.8788533012019</v>
      </c>
      <c r="J42" s="86"/>
      <c r="K42" s="86">
        <f ca="1">IFERROR(__xludf.DUMMYFUNCTION("""COMPUTED_VALUE"""),123222)</f>
        <v>123222</v>
      </c>
      <c r="L42" s="86">
        <f ca="1">IFERROR(__xludf.DUMMYFUNCTION("""COMPUTED_VALUE"""),122997.92709)</f>
        <v>122997.92709</v>
      </c>
      <c r="M42" s="72">
        <f ca="1">IFERROR(__xludf.DUMMYFUNCTION("""COMPUTED_VALUE"""),224.072910000002)</f>
        <v>224.072910000002</v>
      </c>
      <c r="N42" s="72">
        <f ca="1">IFERROR(__xludf.DUMMYFUNCTION("""COMPUTED_VALUE"""),99.8181551102887)</f>
        <v>99.8181551102887</v>
      </c>
      <c r="O42" s="87"/>
      <c r="P42" s="62"/>
      <c r="Q42" s="74">
        <f ca="1">IFERROR(__xludf.DUMMYFUNCTION("""COMPUTED_VALUE"""),128784.47291)</f>
        <v>128784.47291</v>
      </c>
      <c r="R42" s="62"/>
      <c r="S42" s="62"/>
      <c r="T42" s="62"/>
      <c r="U42" s="62"/>
      <c r="V42" s="62"/>
      <c r="W42" s="62"/>
      <c r="X42" s="62"/>
      <c r="Y42" s="62"/>
    </row>
    <row r="43" spans="1:26" ht="15">
      <c r="A43" s="863"/>
      <c r="B43" s="65"/>
      <c r="C43" s="84">
        <v>151</v>
      </c>
      <c r="D43" s="85" t="s">
        <v>47</v>
      </c>
      <c r="E43" s="86">
        <f ca="1">IFERROR(__xludf.DUMMYFUNCTION("""COMPUTED_VALUE"""),338477.7)</f>
        <v>338477.7</v>
      </c>
      <c r="F43" s="86">
        <f ca="1">IFERROR(__xludf.DUMMYFUNCTION("""COMPUTED_VALUE"""),203300.1)</f>
        <v>203300.1</v>
      </c>
      <c r="G43" s="86">
        <f ca="1">IFERROR(__xludf.DUMMYFUNCTION("""COMPUTED_VALUE"""),201373.89958)</f>
        <v>201373.89958</v>
      </c>
      <c r="H43" s="72">
        <f ca="1">IFERROR(__xludf.DUMMYFUNCTION("""COMPUTED_VALUE"""),1926.20042)</f>
        <v>1926.2004199999999</v>
      </c>
      <c r="I43" s="72">
        <f ca="1">IFERROR(__xludf.DUMMYFUNCTION("""COMPUTED_VALUE"""),99.0525334616165)</f>
        <v>99.052533461616505</v>
      </c>
      <c r="J43" s="86"/>
      <c r="K43" s="86">
        <f ca="1">IFERROR(__xludf.DUMMYFUNCTION("""COMPUTED_VALUE"""),202365.1)</f>
        <v>202365.1</v>
      </c>
      <c r="L43" s="86">
        <f ca="1">IFERROR(__xludf.DUMMYFUNCTION("""COMPUTED_VALUE"""),201373.89958)</f>
        <v>201373.89958</v>
      </c>
      <c r="M43" s="72">
        <f ca="1">IFERROR(__xludf.DUMMYFUNCTION("""COMPUTED_VALUE"""),991.200420000008)</f>
        <v>991.20042000000797</v>
      </c>
      <c r="N43" s="72">
        <f ca="1">IFERROR(__xludf.DUMMYFUNCTION("""COMPUTED_VALUE"""),99.5101920143344)</f>
        <v>99.510192014334393</v>
      </c>
      <c r="O43" s="87"/>
      <c r="P43" s="62"/>
      <c r="Q43" s="74">
        <f ca="1">IFERROR(__xludf.DUMMYFUNCTION("""COMPUTED_VALUE"""),137103.80042)</f>
        <v>137103.80042000001</v>
      </c>
      <c r="R43" s="62"/>
      <c r="S43" s="62"/>
      <c r="T43" s="62"/>
      <c r="U43" s="62"/>
      <c r="V43" s="62"/>
      <c r="W43" s="62"/>
      <c r="X43" s="62"/>
      <c r="Y43" s="62"/>
    </row>
    <row r="44" spans="1:26" ht="15">
      <c r="A44" s="863"/>
      <c r="B44" s="65"/>
      <c r="C44" s="84">
        <v>152</v>
      </c>
      <c r="D44" s="85" t="s">
        <v>28</v>
      </c>
      <c r="E44" s="86">
        <f ca="1">IFERROR(__xludf.DUMMYFUNCTION("""COMPUTED_VALUE"""),49566.1)</f>
        <v>49566.1</v>
      </c>
      <c r="F44" s="86">
        <f ca="1">IFERROR(__xludf.DUMMYFUNCTION("""COMPUTED_VALUE"""),45134.7)</f>
        <v>45134.7</v>
      </c>
      <c r="G44" s="86">
        <f ca="1">IFERROR(__xludf.DUMMYFUNCTION("""COMPUTED_VALUE"""),44416.8018799999)</f>
        <v>44416.801879999897</v>
      </c>
      <c r="H44" s="72">
        <f ca="1">IFERROR(__xludf.DUMMYFUNCTION("""COMPUTED_VALUE"""),717.898120000005)</f>
        <v>717.89812000000495</v>
      </c>
      <c r="I44" s="72">
        <f ca="1">IFERROR(__xludf.DUMMYFUNCTION("""COMPUTED_VALUE"""),98.4094319448229)</f>
        <v>98.409431944822899</v>
      </c>
      <c r="J44" s="86"/>
      <c r="K44" s="86">
        <f ca="1">IFERROR(__xludf.DUMMYFUNCTION("""COMPUTED_VALUE"""),17692.5)</f>
        <v>17692.5</v>
      </c>
      <c r="L44" s="86">
        <f ca="1">IFERROR(__xludf.DUMMYFUNCTION("""COMPUTED_VALUE"""),17637.33792)</f>
        <v>17637.337920000002</v>
      </c>
      <c r="M44" s="72">
        <f ca="1">IFERROR(__xludf.DUMMYFUNCTION("""COMPUTED_VALUE"""),55.1620799999982)</f>
        <v>55.162079999998198</v>
      </c>
      <c r="N44" s="72">
        <f ca="1">IFERROR(__xludf.DUMMYFUNCTION("""COMPUTED_VALUE"""),99.6882177193726)</f>
        <v>99.688217719372602</v>
      </c>
      <c r="O44" s="87"/>
      <c r="P44" s="62"/>
      <c r="Q44" s="74">
        <f ca="1">IFERROR(__xludf.DUMMYFUNCTION("""COMPUTED_VALUE"""),31928.7620799999)</f>
        <v>31928.762079999899</v>
      </c>
      <c r="R44" s="62"/>
      <c r="S44" s="62"/>
      <c r="T44" s="62"/>
      <c r="U44" s="62"/>
      <c r="V44" s="62"/>
      <c r="W44" s="62"/>
      <c r="X44" s="62"/>
      <c r="Y44" s="62"/>
    </row>
    <row r="45" spans="1:26" ht="15">
      <c r="A45" s="863"/>
      <c r="B45" s="65"/>
      <c r="C45" s="84">
        <v>153</v>
      </c>
      <c r="D45" s="85" t="s">
        <v>48</v>
      </c>
      <c r="E45" s="86">
        <f ca="1">IFERROR(__xludf.DUMMYFUNCTION("""COMPUTED_VALUE"""),174855)</f>
        <v>174855</v>
      </c>
      <c r="F45" s="86">
        <f ca="1">IFERROR(__xludf.DUMMYFUNCTION("""COMPUTED_VALUE"""),140923.9)</f>
        <v>140923.9</v>
      </c>
      <c r="G45" s="86">
        <f ca="1">IFERROR(__xludf.DUMMYFUNCTION("""COMPUTED_VALUE"""),133020.259)</f>
        <v>133020.25899999999</v>
      </c>
      <c r="H45" s="72">
        <f ca="1">IFERROR(__xludf.DUMMYFUNCTION("""COMPUTED_VALUE"""),7903.641)</f>
        <v>7903.6409999999996</v>
      </c>
      <c r="I45" s="72">
        <f ca="1">IFERROR(__xludf.DUMMYFUNCTION("""COMPUTED_VALUE"""),94.3915538812082)</f>
        <v>94.391553881208196</v>
      </c>
      <c r="J45" s="86"/>
      <c r="K45" s="86">
        <f ca="1">IFERROR(__xludf.DUMMYFUNCTION("""COMPUTED_VALUE"""),52604.0999999999)</f>
        <v>52604.099999999897</v>
      </c>
      <c r="L45" s="86">
        <f ca="1">IFERROR(__xludf.DUMMYFUNCTION("""COMPUTED_VALUE"""),52603.7922399999)</f>
        <v>52603.792239999901</v>
      </c>
      <c r="M45" s="72">
        <f ca="1">IFERROR(__xludf.DUMMYFUNCTION("""COMPUTED_VALUE"""),0.307759999996051)</f>
        <v>0.30775999999605103</v>
      </c>
      <c r="N45" s="72">
        <f ca="1">IFERROR(__xludf.DUMMYFUNCTION("""COMPUTED_VALUE"""),99.9994149505456)</f>
        <v>99.999414950545599</v>
      </c>
      <c r="O45" s="87"/>
      <c r="P45" s="62"/>
      <c r="Q45" s="74">
        <f ca="1">IFERROR(__xludf.DUMMYFUNCTION("""COMPUTED_VALUE"""),122251.20776)</f>
        <v>122251.20776</v>
      </c>
      <c r="R45" s="62"/>
      <c r="S45" s="62"/>
      <c r="T45" s="62"/>
      <c r="U45" s="62"/>
      <c r="V45" s="62"/>
      <c r="W45" s="62"/>
      <c r="X45" s="62"/>
      <c r="Y45" s="62"/>
    </row>
    <row r="46" spans="1:26" ht="15">
      <c r="A46" s="863"/>
      <c r="B46" s="65"/>
      <c r="C46" s="84">
        <v>154</v>
      </c>
      <c r="D46" s="85" t="s">
        <v>49</v>
      </c>
      <c r="E46" s="86">
        <f ca="1">IFERROR(__xludf.DUMMYFUNCTION("""COMPUTED_VALUE"""),0)</f>
        <v>0</v>
      </c>
      <c r="F46" s="86">
        <f ca="1">IFERROR(__xludf.DUMMYFUNCTION("""COMPUTED_VALUE"""),0)</f>
        <v>0</v>
      </c>
      <c r="G46" s="86">
        <f ca="1">IFERROR(__xludf.DUMMYFUNCTION("""COMPUTED_VALUE"""),0)</f>
        <v>0</v>
      </c>
      <c r="H46" s="72">
        <f ca="1">IFERROR(__xludf.DUMMYFUNCTION("""COMPUTED_VALUE"""),0)</f>
        <v>0</v>
      </c>
      <c r="I46" s="72" t="str">
        <f ca="1">IFERROR(__xludf.DUMMYFUNCTION("""COMPUTED_VALUE"""),"#DIV/0!")</f>
        <v>#DIV/0!</v>
      </c>
      <c r="J46" s="86"/>
      <c r="K46" s="86">
        <f ca="1">IFERROR(__xludf.DUMMYFUNCTION("""COMPUTED_VALUE"""),0)</f>
        <v>0</v>
      </c>
      <c r="L46" s="86">
        <f ca="1">IFERROR(__xludf.DUMMYFUNCTION("""COMPUTED_VALUE"""),0)</f>
        <v>0</v>
      </c>
      <c r="M46" s="72">
        <f ca="1">IFERROR(__xludf.DUMMYFUNCTION("""COMPUTED_VALUE"""),0)</f>
        <v>0</v>
      </c>
      <c r="N46" s="72" t="str">
        <f ca="1">IFERROR(__xludf.DUMMYFUNCTION("""COMPUTED_VALUE"""),"#DIV/0!")</f>
        <v>#DIV/0!</v>
      </c>
      <c r="O46" s="87"/>
      <c r="P46" s="62"/>
      <c r="Q46" s="74">
        <f ca="1">IFERROR(__xludf.DUMMYFUNCTION("""COMPUTED_VALUE"""),0)</f>
        <v>0</v>
      </c>
      <c r="R46" s="62"/>
      <c r="S46" s="62"/>
      <c r="T46" s="62"/>
      <c r="U46" s="62"/>
      <c r="V46" s="62"/>
      <c r="W46" s="62"/>
      <c r="X46" s="62"/>
      <c r="Y46" s="62"/>
    </row>
    <row r="47" spans="1:26" ht="15">
      <c r="A47" s="863"/>
      <c r="B47" s="65"/>
      <c r="C47" s="84">
        <v>159</v>
      </c>
      <c r="D47" s="85" t="s">
        <v>21</v>
      </c>
      <c r="E47" s="86">
        <f ca="1">IFERROR(__xludf.DUMMYFUNCTION("""COMPUTED_VALUE"""),522265.3)</f>
        <v>522265.3</v>
      </c>
      <c r="F47" s="86">
        <f ca="1">IFERROR(__xludf.DUMMYFUNCTION("""COMPUTED_VALUE"""),469011.6)</f>
        <v>469011.6</v>
      </c>
      <c r="G47" s="86">
        <f ca="1">IFERROR(__xludf.DUMMYFUNCTION("""COMPUTED_VALUE"""),449614.13856)</f>
        <v>449614.13855999999</v>
      </c>
      <c r="H47" s="72">
        <f ca="1">IFERROR(__xludf.DUMMYFUNCTION("""COMPUTED_VALUE"""),19397.4614399999)</f>
        <v>19397.461439999901</v>
      </c>
      <c r="I47" s="72">
        <f ca="1">IFERROR(__xludf.DUMMYFUNCTION("""COMPUTED_VALUE"""),95.864183009546)</f>
        <v>95.864183009545997</v>
      </c>
      <c r="J47" s="86"/>
      <c r="K47" s="86">
        <f ca="1">IFERROR(__xludf.DUMMYFUNCTION("""COMPUTED_VALUE"""),215697.9)</f>
        <v>215697.9</v>
      </c>
      <c r="L47" s="86">
        <f ca="1">IFERROR(__xludf.DUMMYFUNCTION("""COMPUTED_VALUE"""),215671.86682)</f>
        <v>215671.86682</v>
      </c>
      <c r="M47" s="72">
        <f ca="1">IFERROR(__xludf.DUMMYFUNCTION("""COMPUTED_VALUE"""),26.0331799999403)</f>
        <v>26.033179999940302</v>
      </c>
      <c r="N47" s="72">
        <f ca="1">IFERROR(__xludf.DUMMYFUNCTION("""COMPUTED_VALUE"""),99.987930721625)</f>
        <v>99.987930721625006</v>
      </c>
      <c r="O47" s="87"/>
      <c r="P47" s="62"/>
      <c r="Q47" s="74">
        <f ca="1">IFERROR(__xludf.DUMMYFUNCTION("""COMPUTED_VALUE"""),306593.433179999)</f>
        <v>306593.433179999</v>
      </c>
      <c r="R47" s="62"/>
      <c r="S47" s="62"/>
      <c r="T47" s="62"/>
      <c r="U47" s="62"/>
      <c r="V47" s="62"/>
      <c r="W47" s="62"/>
      <c r="X47" s="62"/>
      <c r="Y47" s="62"/>
    </row>
    <row r="48" spans="1:26" ht="15">
      <c r="A48" s="862"/>
      <c r="B48" s="65"/>
      <c r="C48" s="84">
        <v>161</v>
      </c>
      <c r="D48" s="85" t="s">
        <v>50</v>
      </c>
      <c r="E48" s="86">
        <f ca="1">IFERROR(__xludf.DUMMYFUNCTION("""COMPUTED_VALUE"""),320257.699999999)</f>
        <v>320257.69999999902</v>
      </c>
      <c r="F48" s="86">
        <f ca="1">IFERROR(__xludf.DUMMYFUNCTION("""COMPUTED_VALUE"""),108698.299999999)</f>
        <v>108698.299999999</v>
      </c>
      <c r="G48" s="86">
        <f ca="1">IFERROR(__xludf.DUMMYFUNCTION("""COMPUTED_VALUE"""),108627.398999999)</f>
        <v>108627.398999999</v>
      </c>
      <c r="H48" s="72">
        <f ca="1">IFERROR(__xludf.DUMMYFUNCTION("""COMPUTED_VALUE"""),70.900999999998)</f>
        <v>70.900999999998007</v>
      </c>
      <c r="I48" s="72">
        <f ca="1">IFERROR(__xludf.DUMMYFUNCTION("""COMPUTED_VALUE"""),99.9347726689377)</f>
        <v>99.934772668937697</v>
      </c>
      <c r="J48" s="86"/>
      <c r="K48" s="86">
        <f ca="1">IFERROR(__xludf.DUMMYFUNCTION("""COMPUTED_VALUE"""),108698.299999999)</f>
        <v>108698.299999999</v>
      </c>
      <c r="L48" s="86">
        <f ca="1">IFERROR(__xludf.DUMMYFUNCTION("""COMPUTED_VALUE"""),108627.389)</f>
        <v>108627.389</v>
      </c>
      <c r="M48" s="72">
        <f ca="1">IFERROR(__xludf.DUMMYFUNCTION("""COMPUTED_VALUE"""),70.9109999999927)</f>
        <v>70.910999999992697</v>
      </c>
      <c r="N48" s="72">
        <f ca="1">IFERROR(__xludf.DUMMYFUNCTION("""COMPUTED_VALUE"""),99.9347634691619)</f>
        <v>99.934763469161894</v>
      </c>
      <c r="O48" s="87"/>
      <c r="P48" s="62"/>
      <c r="Q48" s="74">
        <f ca="1">IFERROR(__xludf.DUMMYFUNCTION("""COMPUTED_VALUE"""),211630.310999999)</f>
        <v>211630.310999999</v>
      </c>
      <c r="R48" s="62"/>
      <c r="S48" s="62"/>
      <c r="T48" s="62"/>
      <c r="U48" s="62"/>
      <c r="V48" s="62"/>
      <c r="W48" s="62"/>
      <c r="X48" s="62"/>
      <c r="Y48" s="62"/>
    </row>
    <row r="49" spans="1:25" ht="29.25">
      <c r="A49" s="111"/>
      <c r="B49" s="65"/>
      <c r="C49" s="84">
        <v>165</v>
      </c>
      <c r="D49" s="88" t="s">
        <v>20</v>
      </c>
      <c r="E49" s="86">
        <f ca="1">IFERROR(__xludf.DUMMYFUNCTION("""COMPUTED_VALUE"""),1162)</f>
        <v>1162</v>
      </c>
      <c r="F49" s="86">
        <f ca="1">IFERROR(__xludf.DUMMYFUNCTION("""COMPUTED_VALUE"""),1164)</f>
        <v>1164</v>
      </c>
      <c r="G49" s="86">
        <f ca="1">IFERROR(__xludf.DUMMYFUNCTION("""COMPUTED_VALUE"""),1163.3895)</f>
        <v>1163.3895</v>
      </c>
      <c r="H49" s="72">
        <f ca="1">IFERROR(__xludf.DUMMYFUNCTION("""COMPUTED_VALUE"""),0.610500000000001)</f>
        <v>0.61050000000000104</v>
      </c>
      <c r="I49" s="72">
        <f ca="1">IFERROR(__xludf.DUMMYFUNCTION("""COMPUTED_VALUE"""),99.9475515463917)</f>
        <v>99.947551546391693</v>
      </c>
      <c r="J49" s="86"/>
      <c r="K49" s="86">
        <f ca="1">IFERROR(__xludf.DUMMYFUNCTION("""COMPUTED_VALUE"""),1164)</f>
        <v>1164</v>
      </c>
      <c r="L49" s="86">
        <f ca="1">IFERROR(__xludf.DUMMYFUNCTION("""COMPUTED_VALUE"""),1163.3895)</f>
        <v>1163.3895</v>
      </c>
      <c r="M49" s="72">
        <f ca="1">IFERROR(__xludf.DUMMYFUNCTION("""COMPUTED_VALUE"""),0.610500000000001)</f>
        <v>0.61050000000000104</v>
      </c>
      <c r="N49" s="72">
        <f ca="1">IFERROR(__xludf.DUMMYFUNCTION("""COMPUTED_VALUE"""),99.9475515463917)</f>
        <v>99.947551546391693</v>
      </c>
      <c r="O49" s="87"/>
      <c r="P49" s="62"/>
      <c r="Q49" s="74">
        <f ca="1">IFERROR(__xludf.DUMMYFUNCTION("""COMPUTED_VALUE"""),-1.38949999999999)</f>
        <v>-1.38949999999999</v>
      </c>
      <c r="R49" s="62"/>
      <c r="S49" s="62"/>
      <c r="T49" s="62"/>
      <c r="U49" s="62"/>
      <c r="V49" s="62"/>
      <c r="W49" s="62"/>
      <c r="X49" s="62"/>
      <c r="Y49" s="62"/>
    </row>
    <row r="50" spans="1:25" ht="15">
      <c r="A50" s="64"/>
      <c r="B50" s="65"/>
      <c r="C50" s="84">
        <v>169</v>
      </c>
      <c r="D50" s="85" t="s">
        <v>22</v>
      </c>
      <c r="E50" s="86">
        <f ca="1">IFERROR(__xludf.DUMMYFUNCTION("""COMPUTED_VALUE"""),20854.9)</f>
        <v>20854.900000000001</v>
      </c>
      <c r="F50" s="86">
        <f ca="1">IFERROR(__xludf.DUMMYFUNCTION("""COMPUTED_VALUE"""),13125.9)</f>
        <v>13125.9</v>
      </c>
      <c r="G50" s="86">
        <f ca="1">IFERROR(__xludf.DUMMYFUNCTION("""COMPUTED_VALUE"""),7609.701)</f>
        <v>7609.701</v>
      </c>
      <c r="H50" s="72">
        <f ca="1">IFERROR(__xludf.DUMMYFUNCTION("""COMPUTED_VALUE"""),5516.199)</f>
        <v>5516.1989999999996</v>
      </c>
      <c r="I50" s="72">
        <f ca="1">IFERROR(__xludf.DUMMYFUNCTION("""COMPUTED_VALUE"""),57.9746988777912)</f>
        <v>57.974698877791198</v>
      </c>
      <c r="J50" s="86"/>
      <c r="K50" s="86">
        <f ca="1">IFERROR(__xludf.DUMMYFUNCTION("""COMPUTED_VALUE"""),7656.397)</f>
        <v>7656.3969999999999</v>
      </c>
      <c r="L50" s="86">
        <f ca="1">IFERROR(__xludf.DUMMYFUNCTION("""COMPUTED_VALUE"""),7609.701)</f>
        <v>7609.701</v>
      </c>
      <c r="M50" s="72">
        <f ca="1">IFERROR(__xludf.DUMMYFUNCTION("""COMPUTED_VALUE"""),46.695999999999)</f>
        <v>46.695999999999003</v>
      </c>
      <c r="N50" s="72">
        <f ca="1">IFERROR(__xludf.DUMMYFUNCTION("""COMPUTED_VALUE"""),99.3901047712128)</f>
        <v>99.390104771212805</v>
      </c>
      <c r="O50" s="87"/>
      <c r="P50" s="62"/>
      <c r="Q50" s="74">
        <f ca="1">IFERROR(__xludf.DUMMYFUNCTION("""COMPUTED_VALUE"""),13245.199)</f>
        <v>13245.199000000001</v>
      </c>
      <c r="R50" s="62"/>
      <c r="S50" s="62"/>
      <c r="T50" s="62"/>
      <c r="U50" s="62"/>
      <c r="V50" s="62"/>
      <c r="W50" s="62"/>
      <c r="X50" s="62"/>
      <c r="Y50" s="62"/>
    </row>
    <row r="51" spans="1:25" ht="15">
      <c r="A51" s="64"/>
      <c r="B51" s="65"/>
      <c r="C51" s="84">
        <v>322</v>
      </c>
      <c r="D51" s="85" t="s">
        <v>23</v>
      </c>
      <c r="E51" s="86">
        <f ca="1">IFERROR(__xludf.DUMMYFUNCTION("""COMPUTED_VALUE"""),0)</f>
        <v>0</v>
      </c>
      <c r="F51" s="86">
        <f ca="1">IFERROR(__xludf.DUMMYFUNCTION("""COMPUTED_VALUE"""),0)</f>
        <v>0</v>
      </c>
      <c r="G51" s="86">
        <f ca="1">IFERROR(__xludf.DUMMYFUNCTION("""COMPUTED_VALUE"""),0)</f>
        <v>0</v>
      </c>
      <c r="H51" s="72">
        <f ca="1">IFERROR(__xludf.DUMMYFUNCTION("""COMPUTED_VALUE"""),0)</f>
        <v>0</v>
      </c>
      <c r="I51" s="72" t="str">
        <f ca="1">IFERROR(__xludf.DUMMYFUNCTION("""COMPUTED_VALUE"""),"#DIV/0!")</f>
        <v>#DIV/0!</v>
      </c>
      <c r="J51" s="86"/>
      <c r="K51" s="86">
        <f ca="1">IFERROR(__xludf.DUMMYFUNCTION("""COMPUTED_VALUE"""),0)</f>
        <v>0</v>
      </c>
      <c r="L51" s="86">
        <f ca="1">IFERROR(__xludf.DUMMYFUNCTION("""COMPUTED_VALUE"""),0)</f>
        <v>0</v>
      </c>
      <c r="M51" s="72">
        <f ca="1">IFERROR(__xludf.DUMMYFUNCTION("""COMPUTED_VALUE"""),0)</f>
        <v>0</v>
      </c>
      <c r="N51" s="72" t="str">
        <f ca="1">IFERROR(__xludf.DUMMYFUNCTION("""COMPUTED_VALUE"""),"#DIV/0!")</f>
        <v>#DIV/0!</v>
      </c>
      <c r="O51" s="87"/>
      <c r="P51" s="62"/>
      <c r="Q51" s="74">
        <f ca="1">IFERROR(__xludf.DUMMYFUNCTION("""COMPUTED_VALUE"""),0)</f>
        <v>0</v>
      </c>
      <c r="R51" s="62"/>
      <c r="S51" s="62"/>
      <c r="T51" s="62"/>
      <c r="U51" s="62"/>
      <c r="V51" s="62"/>
      <c r="W51" s="62"/>
      <c r="X51" s="62"/>
      <c r="Y51" s="62"/>
    </row>
    <row r="52" spans="1:25" ht="43.5">
      <c r="A52" s="64"/>
      <c r="B52" s="65"/>
      <c r="C52" s="84">
        <v>143</v>
      </c>
      <c r="D52" s="88" t="s">
        <v>24</v>
      </c>
      <c r="E52" s="86">
        <f ca="1">IFERROR(__xludf.DUMMYFUNCTION("""COMPUTED_VALUE"""),0)</f>
        <v>0</v>
      </c>
      <c r="F52" s="86">
        <f ca="1">IFERROR(__xludf.DUMMYFUNCTION("""COMPUTED_VALUE"""),0)</f>
        <v>0</v>
      </c>
      <c r="G52" s="86">
        <f ca="1">IFERROR(__xludf.DUMMYFUNCTION("""COMPUTED_VALUE"""),0)</f>
        <v>0</v>
      </c>
      <c r="H52" s="86">
        <f ca="1">IFERROR(__xludf.DUMMYFUNCTION("""COMPUTED_VALUE"""),0)</f>
        <v>0</v>
      </c>
      <c r="I52" s="86">
        <f ca="1">IFERROR(__xludf.DUMMYFUNCTION("""COMPUTED_VALUE"""),99.8924731182795)</f>
        <v>99.892473118279497</v>
      </c>
      <c r="J52" s="86"/>
      <c r="K52" s="86">
        <f ca="1">IFERROR(__xludf.DUMMYFUNCTION("""COMPUTED_VALUE"""),0)</f>
        <v>0</v>
      </c>
      <c r="L52" s="86">
        <f ca="1">IFERROR(__xludf.DUMMYFUNCTION("""COMPUTED_VALUE"""),0)</f>
        <v>0</v>
      </c>
      <c r="M52" s="86">
        <f ca="1">IFERROR(__xludf.DUMMYFUNCTION("""COMPUTED_VALUE"""),0)</f>
        <v>0</v>
      </c>
      <c r="N52" s="72" t="str">
        <f ca="1">IFERROR(__xludf.DUMMYFUNCTION("""COMPUTED_VALUE"""),"#DIV/0!")</f>
        <v>#DIV/0!</v>
      </c>
      <c r="O52" s="87"/>
      <c r="P52" s="62"/>
      <c r="Q52" s="74">
        <f ca="1">IFERROR(__xludf.DUMMYFUNCTION("""COMPUTED_VALUE"""),0)</f>
        <v>0</v>
      </c>
      <c r="R52" s="62"/>
      <c r="S52" s="62"/>
      <c r="T52" s="62"/>
      <c r="U52" s="62"/>
      <c r="V52" s="62"/>
      <c r="W52" s="62"/>
      <c r="X52" s="62"/>
      <c r="Y52" s="62"/>
    </row>
    <row r="53" spans="1:25" ht="15">
      <c r="A53" s="112">
        <v>70</v>
      </c>
      <c r="B53" s="113"/>
      <c r="C53" s="113"/>
      <c r="D53" s="114" t="s">
        <v>51</v>
      </c>
      <c r="E53" s="115">
        <f ca="1">IFERROR(__xludf.DUMMYFUNCTION("""COMPUTED_VALUE"""),18305495.9999999)</f>
        <v>18305495.999999899</v>
      </c>
      <c r="F53" s="115">
        <f ca="1">IFERROR(__xludf.DUMMYFUNCTION("""COMPUTED_VALUE"""),18305495.9999999)</f>
        <v>18305495.999999899</v>
      </c>
      <c r="G53" s="115">
        <f ca="1">IFERROR(__xludf.DUMMYFUNCTION("""COMPUTED_VALUE"""),18305494.4482599)</f>
        <v>18305494.448259901</v>
      </c>
      <c r="H53" s="116">
        <f ca="1">IFERROR(__xludf.DUMMYFUNCTION("""COMPUTED_VALUE"""),1.5517399944365)</f>
        <v>1.5517399944365</v>
      </c>
      <c r="I53" s="116">
        <f ca="1">IFERROR(__xludf.DUMMYFUNCTION("""COMPUTED_VALUE"""),99.9999915230923)</f>
        <v>99.999991523092305</v>
      </c>
      <c r="J53" s="117"/>
      <c r="K53" s="118">
        <f ca="1">IFERROR(__xludf.DUMMYFUNCTION("""COMPUTED_VALUE"""),7843213.79999999)</f>
        <v>7843213.7999999896</v>
      </c>
      <c r="L53" s="118">
        <f ca="1">IFERROR(__xludf.DUMMYFUNCTION("""COMPUTED_VALUE"""),7843211.78145)</f>
        <v>7843211.7814499997</v>
      </c>
      <c r="M53" s="118">
        <f ca="1">IFERROR(__xludf.DUMMYFUNCTION("""COMPUTED_VALUE"""),2.01854999992065)</f>
        <v>2.01854999992065</v>
      </c>
      <c r="N53" s="116">
        <f ca="1">IFERROR(__xludf.DUMMYFUNCTION("""COMPUTED_VALUE"""),99.9999742637387)</f>
        <v>99.999974263738693</v>
      </c>
      <c r="O53" s="117"/>
      <c r="P53" s="62"/>
      <c r="Q53" s="74">
        <f ca="1">IFERROR(__xludf.DUMMYFUNCTION("""COMPUTED_VALUE"""),10462284.2185499)</f>
        <v>10462284.2185499</v>
      </c>
      <c r="R53" s="62"/>
      <c r="S53" s="62"/>
      <c r="T53" s="62"/>
      <c r="U53" s="62"/>
      <c r="V53" s="62"/>
      <c r="W53" s="62"/>
      <c r="X53" s="62"/>
      <c r="Y53" s="62"/>
    </row>
    <row r="54" spans="1:25" ht="43.5">
      <c r="A54" s="119"/>
      <c r="B54" s="120">
        <v>100</v>
      </c>
      <c r="C54" s="121"/>
      <c r="D54" s="122" t="s">
        <v>52</v>
      </c>
      <c r="E54" s="118">
        <f ca="1">IFERROR(__xludf.DUMMYFUNCTION("""COMPUTED_VALUE"""),18305495.9999999)</f>
        <v>18305495.999999899</v>
      </c>
      <c r="F54" s="118">
        <f ca="1">IFERROR(__xludf.DUMMYFUNCTION("""COMPUTED_VALUE"""),18305495.9999999)</f>
        <v>18305495.999999899</v>
      </c>
      <c r="G54" s="118">
        <f ca="1">IFERROR(__xludf.DUMMYFUNCTION("""COMPUTED_VALUE"""),18305494.4482599)</f>
        <v>18305494.448259901</v>
      </c>
      <c r="H54" s="118">
        <f ca="1">IFERROR(__xludf.DUMMYFUNCTION("""COMPUTED_VALUE"""),1.55173999990802)</f>
        <v>1.5517399999080199</v>
      </c>
      <c r="I54" s="118">
        <f ca="1">IFERROR(__xludf.DUMMYFUNCTION("""COMPUTED_VALUE"""),2099.99983311451)</f>
        <v>2099.9998331145098</v>
      </c>
      <c r="J54" s="118"/>
      <c r="K54" s="118">
        <f ca="1">IFERROR(__xludf.DUMMYFUNCTION("""COMPUTED_VALUE"""),7843213.79999999)</f>
        <v>7843213.7999999896</v>
      </c>
      <c r="L54" s="118">
        <f ca="1">IFERROR(__xludf.DUMMYFUNCTION("""COMPUTED_VALUE"""),7843211.78245)</f>
        <v>7843211.7824499998</v>
      </c>
      <c r="M54" s="118">
        <f ca="1">IFERROR(__xludf.DUMMYFUNCTION("""COMPUTED_VALUE"""),2.01754999993136)</f>
        <v>2.0175499999313602</v>
      </c>
      <c r="N54" s="118">
        <f ca="1">IFERROR(__xludf.DUMMYFUNCTION("""COMPUTED_VALUE"""),99.9999742764885)</f>
        <v>99.999974276488501</v>
      </c>
      <c r="O54" s="123"/>
      <c r="P54" s="62"/>
      <c r="Q54" s="74">
        <f ca="1">IFERROR(__xludf.DUMMYFUNCTION("""COMPUTED_VALUE"""),10462284.2175499)</f>
        <v>10462284.2175499</v>
      </c>
      <c r="R54" s="62"/>
      <c r="S54" s="62"/>
      <c r="T54" s="62"/>
      <c r="U54" s="62"/>
      <c r="V54" s="62"/>
      <c r="W54" s="62"/>
      <c r="X54" s="62"/>
      <c r="Y54" s="62"/>
    </row>
    <row r="55" spans="1:25" ht="15">
      <c r="A55" s="870"/>
      <c r="B55" s="65"/>
      <c r="C55" s="84">
        <v>159</v>
      </c>
      <c r="D55" s="85" t="s">
        <v>21</v>
      </c>
      <c r="E55" s="86">
        <f ca="1">IFERROR(__xludf.DUMMYFUNCTION("""COMPUTED_VALUE"""),18305495.9999999)</f>
        <v>18305495.999999899</v>
      </c>
      <c r="F55" s="86">
        <f ca="1">IFERROR(__xludf.DUMMYFUNCTION("""COMPUTED_VALUE"""),18305495.9999999)</f>
        <v>18305495.999999899</v>
      </c>
      <c r="G55" s="86">
        <f ca="1">IFERROR(__xludf.DUMMYFUNCTION("""COMPUTED_VALUE"""),18305494.4482599)</f>
        <v>18305494.448259901</v>
      </c>
      <c r="H55" s="72">
        <f ca="1">IFERROR(__xludf.DUMMYFUNCTION("""COMPUTED_VALUE"""),1.5517399944365)</f>
        <v>1.5517399944365</v>
      </c>
      <c r="I55" s="72">
        <f ca="1">IFERROR(__xludf.DUMMYFUNCTION("""COMPUTED_VALUE"""),99.9999915230923)</f>
        <v>99.999991523092305</v>
      </c>
      <c r="J55" s="86"/>
      <c r="K55" s="86">
        <f ca="1">IFERROR(__xludf.DUMMYFUNCTION("""COMPUTED_VALUE"""),7843213.79899999)</f>
        <v>7843213.7989999903</v>
      </c>
      <c r="L55" s="86">
        <f ca="1">IFERROR(__xludf.DUMMYFUNCTION("""COMPUTED_VALUE"""),7843211.78145)</f>
        <v>7843211.7814499997</v>
      </c>
      <c r="M55" s="72">
        <f ca="1">IFERROR(__xludf.DUMMYFUNCTION("""COMPUTED_VALUE"""),2.01754999812692)</f>
        <v>2.01754999812692</v>
      </c>
      <c r="N55" s="72">
        <f ca="1">IFERROR(__xludf.DUMMYFUNCTION("""COMPUTED_VALUE"""),99.9999742764885)</f>
        <v>99.999974276488501</v>
      </c>
      <c r="O55" s="87"/>
      <c r="P55" s="62"/>
      <c r="Q55" s="74">
        <f ca="1">IFERROR(__xludf.DUMMYFUNCTION("""COMPUTED_VALUE"""),10462284.2185499)</f>
        <v>10462284.2185499</v>
      </c>
      <c r="R55" s="62"/>
      <c r="S55" s="62"/>
      <c r="T55" s="62"/>
      <c r="U55" s="62"/>
      <c r="V55" s="62"/>
      <c r="W55" s="62"/>
      <c r="X55" s="62"/>
      <c r="Y55" s="62"/>
    </row>
    <row r="56" spans="1:25" ht="15">
      <c r="A56" s="862"/>
      <c r="B56" s="65"/>
      <c r="C56" s="84">
        <v>161</v>
      </c>
      <c r="D56" s="85" t="s">
        <v>50</v>
      </c>
      <c r="E56" s="86">
        <f ca="1">IFERROR(__xludf.DUMMYFUNCTION("""COMPUTED_VALUE"""),0)</f>
        <v>0</v>
      </c>
      <c r="F56" s="86">
        <f ca="1">IFERROR(__xludf.DUMMYFUNCTION("""COMPUTED_VALUE"""),0)</f>
        <v>0</v>
      </c>
      <c r="G56" s="86">
        <f ca="1">IFERROR(__xludf.DUMMYFUNCTION("""COMPUTED_VALUE"""),0)</f>
        <v>0</v>
      </c>
      <c r="H56" s="72">
        <f ca="1">IFERROR(__xludf.DUMMYFUNCTION("""COMPUTED_VALUE"""),0)</f>
        <v>0</v>
      </c>
      <c r="I56" s="72" t="str">
        <f ca="1">IFERROR(__xludf.DUMMYFUNCTION("""COMPUTED_VALUE"""),"#DIV/0!")</f>
        <v>#DIV/0!</v>
      </c>
      <c r="J56" s="86"/>
      <c r="K56" s="86">
        <f ca="1">IFERROR(__xludf.DUMMYFUNCTION("""COMPUTED_VALUE"""),0)</f>
        <v>0</v>
      </c>
      <c r="L56" s="86">
        <f ca="1">IFERROR(__xludf.DUMMYFUNCTION("""COMPUTED_VALUE"""),0)</f>
        <v>0</v>
      </c>
      <c r="M56" s="72">
        <f ca="1">IFERROR(__xludf.DUMMYFUNCTION("""COMPUTED_VALUE"""),0)</f>
        <v>0</v>
      </c>
      <c r="N56" s="72" t="str">
        <f ca="1">IFERROR(__xludf.DUMMYFUNCTION("""COMPUTED_VALUE"""),"#DIV/0!")</f>
        <v>#DIV/0!</v>
      </c>
      <c r="O56" s="87"/>
      <c r="P56" s="62"/>
      <c r="Q56" s="74">
        <f ca="1">IFERROR(__xludf.DUMMYFUNCTION("""COMPUTED_VALUE"""),0)</f>
        <v>0</v>
      </c>
      <c r="R56" s="62"/>
      <c r="S56" s="62"/>
      <c r="T56" s="62"/>
      <c r="U56" s="62"/>
      <c r="V56" s="62"/>
      <c r="W56" s="62"/>
      <c r="X56" s="62"/>
      <c r="Y56" s="62"/>
    </row>
    <row r="57" spans="1:25" ht="86.25">
      <c r="A57" s="119"/>
      <c r="B57" s="120">
        <v>107</v>
      </c>
      <c r="C57" s="121"/>
      <c r="D57" s="122" t="s">
        <v>53</v>
      </c>
      <c r="E57" s="124">
        <f ca="1">IFERROR(__xludf.DUMMYFUNCTION("""COMPUTED_VALUE"""),0)</f>
        <v>0</v>
      </c>
      <c r="F57" s="124">
        <f ca="1">IFERROR(__xludf.DUMMYFUNCTION("""COMPUTED_VALUE"""),0)</f>
        <v>0</v>
      </c>
      <c r="G57" s="124">
        <f ca="1">IFERROR(__xludf.DUMMYFUNCTION("""COMPUTED_VALUE"""),0)</f>
        <v>0</v>
      </c>
      <c r="H57" s="124">
        <f ca="1">IFERROR(__xludf.DUMMYFUNCTION("""COMPUTED_VALUE"""),0)</f>
        <v>0</v>
      </c>
      <c r="I57" s="124" t="str">
        <f ca="1">IFERROR(__xludf.DUMMYFUNCTION("""COMPUTED_VALUE"""),"#DIV/0!")</f>
        <v>#DIV/0!</v>
      </c>
      <c r="J57" s="125"/>
      <c r="K57" s="124">
        <f ca="1">IFERROR(__xludf.DUMMYFUNCTION("""COMPUTED_VALUE"""),0)</f>
        <v>0</v>
      </c>
      <c r="L57" s="124">
        <f ca="1">IFERROR(__xludf.DUMMYFUNCTION("""COMPUTED_VALUE"""),0)</f>
        <v>0</v>
      </c>
      <c r="M57" s="124">
        <f ca="1">IFERROR(__xludf.DUMMYFUNCTION("""COMPUTED_VALUE"""),0)</f>
        <v>0</v>
      </c>
      <c r="N57" s="124" t="str">
        <f ca="1">IFERROR(__xludf.DUMMYFUNCTION("""COMPUTED_VALUE"""),"#DIV/0!")</f>
        <v>#DIV/0!</v>
      </c>
      <c r="O57" s="126"/>
      <c r="P57" s="62"/>
      <c r="Q57" s="74">
        <f ca="1">IFERROR(__xludf.DUMMYFUNCTION("""COMPUTED_VALUE"""),0)</f>
        <v>0</v>
      </c>
      <c r="R57" s="62"/>
      <c r="S57" s="62"/>
      <c r="T57" s="62"/>
      <c r="U57" s="62"/>
      <c r="V57" s="62"/>
      <c r="W57" s="62"/>
      <c r="X57" s="62"/>
      <c r="Y57" s="62"/>
    </row>
    <row r="58" spans="1:25" ht="29.25">
      <c r="A58" s="64"/>
      <c r="B58" s="65"/>
      <c r="C58" s="84">
        <v>418</v>
      </c>
      <c r="D58" s="88" t="s">
        <v>54</v>
      </c>
      <c r="E58" s="91">
        <f ca="1">IFERROR(__xludf.DUMMYFUNCTION("""COMPUTED_VALUE"""),0)</f>
        <v>0</v>
      </c>
      <c r="F58" s="91">
        <f ca="1">IFERROR(__xludf.DUMMYFUNCTION("""COMPUTED_VALUE"""),0)</f>
        <v>0</v>
      </c>
      <c r="G58" s="91">
        <f ca="1">IFERROR(__xludf.DUMMYFUNCTION("""COMPUTED_VALUE"""),0)</f>
        <v>0</v>
      </c>
      <c r="H58" s="92">
        <f ca="1">IFERROR(__xludf.DUMMYFUNCTION("""COMPUTED_VALUE"""),0)</f>
        <v>0</v>
      </c>
      <c r="I58" s="92" t="str">
        <f ca="1">IFERROR(__xludf.DUMMYFUNCTION("""COMPUTED_VALUE"""),"#DIV/0!")</f>
        <v>#DIV/0!</v>
      </c>
      <c r="J58" s="91"/>
      <c r="K58" s="91">
        <f ca="1">IFERROR(__xludf.DUMMYFUNCTION("""COMPUTED_VALUE"""),0)</f>
        <v>0</v>
      </c>
      <c r="L58" s="91">
        <f ca="1">IFERROR(__xludf.DUMMYFUNCTION("""COMPUTED_VALUE"""),0)</f>
        <v>0</v>
      </c>
      <c r="M58" s="92">
        <f ca="1">IFERROR(__xludf.DUMMYFUNCTION("""COMPUTED_VALUE"""),0)</f>
        <v>0</v>
      </c>
      <c r="N58" s="92" t="str">
        <f ca="1">IFERROR(__xludf.DUMMYFUNCTION("""COMPUTED_VALUE"""),"#DIV/0!")</f>
        <v>#DIV/0!</v>
      </c>
      <c r="O58" s="87"/>
      <c r="P58" s="62"/>
      <c r="Q58" s="74">
        <f ca="1">IFERROR(__xludf.DUMMYFUNCTION("""COMPUTED_VALUE"""),0)</f>
        <v>0</v>
      </c>
      <c r="R58" s="62"/>
      <c r="S58" s="62"/>
      <c r="T58" s="62"/>
      <c r="U58" s="62"/>
      <c r="V58" s="62"/>
      <c r="W58" s="62"/>
      <c r="X58" s="62"/>
      <c r="Y58" s="62"/>
    </row>
    <row r="59" spans="1:25" ht="45">
      <c r="A59" s="127">
        <v>138</v>
      </c>
      <c r="B59" s="128">
        <v>0</v>
      </c>
      <c r="C59" s="129"/>
      <c r="D59" s="130" t="s">
        <v>55</v>
      </c>
      <c r="E59" s="131">
        <f ca="1">IFERROR(__xludf.DUMMYFUNCTION("""COMPUTED_VALUE"""),77199.7999999999)</f>
        <v>77199.799999999901</v>
      </c>
      <c r="F59" s="131">
        <f ca="1">IFERROR(__xludf.DUMMYFUNCTION("""COMPUTED_VALUE"""),59133.2)</f>
        <v>59133.2</v>
      </c>
      <c r="G59" s="131">
        <f ca="1">IFERROR(__xludf.DUMMYFUNCTION("""COMPUTED_VALUE"""),55421.2799999999)</f>
        <v>55421.279999999897</v>
      </c>
      <c r="H59" s="131">
        <f ca="1">IFERROR(__xludf.DUMMYFUNCTION("""COMPUTED_VALUE"""),3711.92000000001)</f>
        <v>3711.9200000000101</v>
      </c>
      <c r="I59" s="131">
        <f ca="1">IFERROR(__xludf.DUMMYFUNCTION("""COMPUTED_VALUE"""),93.7227817875575)</f>
        <v>93.722781787557494</v>
      </c>
      <c r="J59" s="131"/>
      <c r="K59" s="131">
        <f ca="1">IFERROR(__xludf.DUMMYFUNCTION("""COMPUTED_VALUE"""),30857.3999999999)</f>
        <v>30857.3999999999</v>
      </c>
      <c r="L59" s="131">
        <f ca="1">IFERROR(__xludf.DUMMYFUNCTION("""COMPUTED_VALUE"""),30856.24)</f>
        <v>30856.240000000002</v>
      </c>
      <c r="M59" s="131">
        <f ca="1">IFERROR(__xludf.DUMMYFUNCTION("""COMPUTED_VALUE"""),1.15999999999621)</f>
        <v>1.1599999999962101</v>
      </c>
      <c r="N59" s="131">
        <f ca="1">IFERROR(__xludf.DUMMYFUNCTION("""COMPUTED_VALUE"""),99.9962407720676)</f>
        <v>99.996240772067594</v>
      </c>
      <c r="O59" s="132"/>
      <c r="P59" s="62"/>
      <c r="Q59" s="74">
        <f ca="1">IFERROR(__xludf.DUMMYFUNCTION("""COMPUTED_VALUE"""),46343.5599999999)</f>
        <v>46343.559999999903</v>
      </c>
      <c r="R59" s="62"/>
      <c r="S59" s="62"/>
      <c r="T59" s="62"/>
      <c r="U59" s="62"/>
      <c r="V59" s="62"/>
      <c r="W59" s="62"/>
      <c r="X59" s="62"/>
      <c r="Y59" s="62"/>
    </row>
    <row r="60" spans="1:25" ht="15">
      <c r="A60" s="64"/>
      <c r="B60" s="65"/>
      <c r="C60" s="84">
        <v>159</v>
      </c>
      <c r="D60" s="85" t="s">
        <v>29</v>
      </c>
      <c r="E60" s="86">
        <f ca="1">IFERROR(__xludf.DUMMYFUNCTION("""COMPUTED_VALUE"""),77199.7999999999)</f>
        <v>77199.799999999901</v>
      </c>
      <c r="F60" s="86">
        <f ca="1">IFERROR(__xludf.DUMMYFUNCTION("""COMPUTED_VALUE"""),59133.2)</f>
        <v>59133.2</v>
      </c>
      <c r="G60" s="86">
        <f ca="1">IFERROR(__xludf.DUMMYFUNCTION("""COMPUTED_VALUE"""),55421.2799999999)</f>
        <v>55421.279999999897</v>
      </c>
      <c r="H60" s="72">
        <f ca="1">IFERROR(__xludf.DUMMYFUNCTION("""COMPUTED_VALUE"""),3711.92000000001)</f>
        <v>3711.9200000000101</v>
      </c>
      <c r="I60" s="72">
        <f ca="1">IFERROR(__xludf.DUMMYFUNCTION("""COMPUTED_VALUE"""),93.7227817875575)</f>
        <v>93.722781787557494</v>
      </c>
      <c r="J60" s="86"/>
      <c r="K60" s="86">
        <f ca="1">IFERROR(__xludf.DUMMYFUNCTION("""COMPUTED_VALUE"""),30857.3999999999)</f>
        <v>30857.3999999999</v>
      </c>
      <c r="L60" s="86">
        <f ca="1">IFERROR(__xludf.DUMMYFUNCTION("""COMPUTED_VALUE"""),30856.24)</f>
        <v>30856.240000000002</v>
      </c>
      <c r="M60" s="72">
        <f ca="1">IFERROR(__xludf.DUMMYFUNCTION("""COMPUTED_VALUE"""),1.15999999999621)</f>
        <v>1.1599999999962101</v>
      </c>
      <c r="N60" s="72">
        <f ca="1">IFERROR(__xludf.DUMMYFUNCTION("""COMPUTED_VALUE"""),99.9962407720676)</f>
        <v>99.996240772067594</v>
      </c>
      <c r="O60" s="87"/>
      <c r="P60" s="63"/>
      <c r="Q60" s="133">
        <f ca="1">IFERROR(__xludf.DUMMYFUNCTION("""COMPUTED_VALUE"""),46343.5599999999)</f>
        <v>46343.559999999903</v>
      </c>
      <c r="R60" s="63"/>
      <c r="S60" s="63"/>
      <c r="T60" s="63"/>
      <c r="U60" s="63"/>
      <c r="V60" s="63"/>
      <c r="W60" s="63"/>
      <c r="X60" s="63"/>
      <c r="Y60" s="63"/>
    </row>
    <row r="61" spans="1:25" ht="12.75">
      <c r="A61" s="62"/>
      <c r="B61" s="62"/>
      <c r="C61" s="62"/>
      <c r="D61" s="62"/>
      <c r="E61" s="134"/>
      <c r="F61" s="134"/>
      <c r="G61" s="134"/>
      <c r="H61" s="134"/>
      <c r="I61" s="134"/>
      <c r="J61" s="135"/>
      <c r="K61" s="73"/>
      <c r="L61" s="73"/>
      <c r="M61" s="73"/>
      <c r="N61" s="73"/>
      <c r="O61" s="73"/>
      <c r="P61" s="136" t="str">
        <f ca="1">IFERROR(__xludf.DUMMYFUNCTION("""COMPUTED_VALUE"""),"001-100")</f>
        <v>001-100</v>
      </c>
      <c r="Q61" s="136" t="str">
        <f ca="1">IFERROR(__xludf.DUMMYFUNCTION("""COMPUTED_VALUE"""),"001-104")</f>
        <v>001-104</v>
      </c>
      <c r="R61" s="65" t="str">
        <f ca="1">IFERROR(__xludf.DUMMYFUNCTION("""COMPUTED_VALUE"""),"001-111")</f>
        <v>001-111</v>
      </c>
      <c r="S61" s="136" t="str">
        <f ca="1">IFERROR(__xludf.DUMMYFUNCTION("""COMPUTED_VALUE"""),"001-100")</f>
        <v>001-100</v>
      </c>
      <c r="T61" s="136" t="str">
        <f ca="1">IFERROR(__xludf.DUMMYFUNCTION("""COMPUTED_VALUE"""),"001-104")</f>
        <v>001-104</v>
      </c>
      <c r="U61" s="65" t="str">
        <f ca="1">IFERROR(__xludf.DUMMYFUNCTION("""COMPUTED_VALUE"""),"001-111")</f>
        <v>001-111</v>
      </c>
      <c r="V61" s="65" t="str">
        <f ca="1">IFERROR(__xludf.DUMMYFUNCTION("""COMPUTED_VALUE"""),"001-123")</f>
        <v>001-123</v>
      </c>
      <c r="W61" s="65" t="str">
        <f ca="1">IFERROR(__xludf.DUMMYFUNCTION("""COMPUTED_VALUE"""),"070-100")</f>
        <v>070-100</v>
      </c>
      <c r="X61" s="65" t="str">
        <f ca="1">IFERROR(__xludf.DUMMYFUNCTION("""COMPUTED_VALUE"""),"070-112")</f>
        <v>070-112</v>
      </c>
      <c r="Y61" s="65" t="str">
        <f ca="1">IFERROR(__xludf.DUMMYFUNCTION("""COMPUTED_VALUE"""),"138-000")</f>
        <v>138-000</v>
      </c>
    </row>
    <row r="62" spans="1:25" ht="36" customHeight="1">
      <c r="A62" s="62"/>
      <c r="B62" s="62"/>
      <c r="C62" s="62"/>
      <c r="D62" s="62"/>
      <c r="E62" s="62"/>
      <c r="F62" s="62"/>
      <c r="G62" s="62"/>
      <c r="H62" s="62"/>
      <c r="I62" s="62"/>
      <c r="J62" s="137"/>
      <c r="K62" s="880" t="str">
        <f ca="1">IFERROR(__xludf.DUMMYFUNCTION("""COMPUTED_VALUE"""),"Подлежит освоению, в том числе:")</f>
        <v>Подлежит освоению, в том числе:</v>
      </c>
      <c r="L62" s="873"/>
      <c r="M62" s="873"/>
      <c r="N62" s="877"/>
      <c r="O62" s="138">
        <f ca="1">IFERROR(__xludf.DUMMYFUNCTION("""COMPUTED_VALUE"""),5807.01695999953)</f>
        <v>5807.0169599995297</v>
      </c>
      <c r="P62" s="139">
        <f ca="1">IFERROR(__xludf.DUMMYFUNCTION("""COMPUTED_VALUE"""),261.233310000065)</f>
        <v>261.23331000006499</v>
      </c>
      <c r="Q62" s="139">
        <f ca="1">IFERROR(__xludf.DUMMYFUNCTION("""COMPUTED_VALUE"""),0)</f>
        <v>0</v>
      </c>
      <c r="R62" s="139">
        <f ca="1">IFERROR(__xludf.DUMMYFUNCTION("""COMPUTED_VALUE"""),2769.63633)</f>
        <v>2769.6363299999998</v>
      </c>
      <c r="S62" s="139">
        <f ca="1">IFERROR(__xludf.DUMMYFUNCTION("""COMPUTED_VALUE"""),1295268.53330999)</f>
        <v>1295268.5333099901</v>
      </c>
      <c r="T62" s="139">
        <f ca="1">IFERROR(__xludf.DUMMYFUNCTION("""COMPUTED_VALUE"""),0)</f>
        <v>0</v>
      </c>
      <c r="U62" s="139">
        <f ca="1">IFERROR(__xludf.DUMMYFUNCTION("""COMPUTED_VALUE"""),108073.736329999)</f>
        <v>108073.736329999</v>
      </c>
      <c r="V62" s="139" t="str">
        <f ca="1">IFERROR(__xludf.DUMMYFUNCTION("""COMPUTED_VALUE"""),"#REF!")</f>
        <v>#REF!</v>
      </c>
      <c r="W62" s="139" t="str">
        <f ca="1">IFERROR(__xludf.DUMMYFUNCTION("""COMPUTED_VALUE"""),"#REF!")</f>
        <v>#REF!</v>
      </c>
      <c r="X62" s="139">
        <f ca="1">IFERROR(__xludf.DUMMYFUNCTION("""COMPUTED_VALUE"""),0)</f>
        <v>0</v>
      </c>
      <c r="Y62" s="139">
        <f ca="1">IFERROR(__xludf.DUMMYFUNCTION("""COMPUTED_VALUE"""),46343.5599999999)</f>
        <v>46343.559999999903</v>
      </c>
    </row>
    <row r="63" spans="1:25" ht="24.75" customHeight="1">
      <c r="A63" s="62"/>
      <c r="B63" s="62"/>
      <c r="C63" s="62"/>
      <c r="D63" s="62"/>
      <c r="E63" s="62"/>
      <c r="F63" s="62"/>
      <c r="G63" s="62"/>
      <c r="H63" s="62"/>
      <c r="I63" s="62"/>
      <c r="J63" s="137"/>
      <c r="K63" s="881" t="str">
        <f ca="1">IFERROR(__xludf.DUMMYFUNCTION("""COMPUTED_VALUE"""),"по ФОТ")</f>
        <v>по ФОТ</v>
      </c>
      <c r="L63" s="873"/>
      <c r="M63" s="873"/>
      <c r="N63" s="877"/>
      <c r="O63" s="141">
        <f ca="1">IFERROR(__xludf.DUMMYFUNCTION("""COMPUTED_VALUE"""),1086.93116000147)</f>
        <v>1086.9311600014701</v>
      </c>
      <c r="P63" s="142">
        <f ca="1">IFERROR(__xludf.DUMMYFUNCTION("""COMPUTED_VALUE"""),127.224960000066)</f>
        <v>127.22496000006601</v>
      </c>
      <c r="Q63" s="73"/>
      <c r="R63" s="73"/>
      <c r="S63" s="142">
        <f ca="1">IFERROR(__xludf.DUMMYFUNCTION("""COMPUTED_VALUE"""),1272322.12495999)</f>
        <v>1272322.1249599899</v>
      </c>
      <c r="T63" s="73"/>
      <c r="U63" s="73"/>
      <c r="V63" s="141">
        <f ca="1">IFERROR(__xludf.DUMMYFUNCTION("""COMPUTED_VALUE"""),8312603.0062)</f>
        <v>8312603.0061999997</v>
      </c>
      <c r="W63" s="65"/>
      <c r="X63" s="65"/>
      <c r="Y63" s="65"/>
    </row>
    <row r="64" spans="1:25" ht="12.75">
      <c r="A64" s="62"/>
      <c r="B64" s="62"/>
      <c r="C64" s="62"/>
      <c r="D64" s="62"/>
      <c r="E64" s="62"/>
      <c r="F64" s="62"/>
      <c r="G64" s="62"/>
      <c r="H64" s="62"/>
      <c r="I64" s="62"/>
      <c r="J64" s="137"/>
      <c r="K64" s="881" t="str">
        <f ca="1">IFERROR(__xludf.DUMMYFUNCTION("""COMPUTED_VALUE"""),"Командировочные расходы")</f>
        <v>Командировочные расходы</v>
      </c>
      <c r="L64" s="873"/>
      <c r="M64" s="873"/>
      <c r="N64" s="877"/>
      <c r="O64" s="141">
        <f ca="1">IFERROR(__xludf.DUMMYFUNCTION("""COMPUTED_VALUE"""),169.653999999993)</f>
        <v>169.653999999993</v>
      </c>
      <c r="P64" s="142">
        <f ca="1">IFERROR(__xludf.DUMMYFUNCTION("""COMPUTED_VALUE"""),98.7430000000004)</f>
        <v>98.743000000000393</v>
      </c>
      <c r="Q64" s="73"/>
      <c r="R64" s="73"/>
      <c r="S64" s="142">
        <f ca="1">IFERROR(__xludf.DUMMYFUNCTION("""COMPUTED_VALUE"""),198.743)</f>
        <v>198.74299999999999</v>
      </c>
      <c r="T64" s="73"/>
      <c r="U64" s="73"/>
      <c r="V64" s="141">
        <f ca="1">IFERROR(__xludf.DUMMYFUNCTION("""COMPUTED_VALUE"""),211630.310999999)</f>
        <v>211630.310999999</v>
      </c>
      <c r="W64" s="141">
        <f ca="1">IFERROR(__xludf.DUMMYFUNCTION("""COMPUTED_VALUE"""),0)</f>
        <v>0</v>
      </c>
      <c r="X64" s="65"/>
      <c r="Y64" s="65"/>
    </row>
    <row r="65" spans="1:25" ht="18">
      <c r="A65" s="62"/>
      <c r="B65" s="62"/>
      <c r="C65" s="62"/>
      <c r="D65" s="143"/>
      <c r="E65" s="62"/>
      <c r="F65" s="62"/>
      <c r="G65" s="62"/>
      <c r="H65" s="62"/>
      <c r="I65" s="62"/>
      <c r="J65" s="137"/>
      <c r="K65" s="881" t="str">
        <f ca="1">IFERROR(__xludf.DUMMYFUNCTION("""COMPUTED_VALUE"""),"Коммунальные платежи")</f>
        <v>Коммунальные платежи</v>
      </c>
      <c r="L65" s="873"/>
      <c r="M65" s="873"/>
      <c r="N65" s="877"/>
      <c r="O65" s="141">
        <f ca="1">IFERROR(__xludf.DUMMYFUNCTION("""COMPUTED_VALUE"""),991.200420000008)</f>
        <v>991.20042000000797</v>
      </c>
      <c r="P65" s="73"/>
      <c r="Q65" s="73"/>
      <c r="R65" s="73"/>
      <c r="S65" s="73"/>
      <c r="T65" s="73"/>
      <c r="U65" s="73"/>
      <c r="V65" s="141">
        <f ca="1">IFERROR(__xludf.DUMMYFUNCTION("""COMPUTED_VALUE"""),991.200420000008)</f>
        <v>991.20042000000797</v>
      </c>
      <c r="W65" s="65"/>
      <c r="X65" s="65"/>
      <c r="Y65" s="65"/>
    </row>
    <row r="66" spans="1:25" ht="12.75">
      <c r="A66" s="62"/>
      <c r="B66" s="62"/>
      <c r="C66" s="62"/>
      <c r="D66" s="62"/>
      <c r="E66" s="62"/>
      <c r="F66" s="62"/>
      <c r="G66" s="62"/>
      <c r="H66" s="62"/>
      <c r="I66" s="62"/>
      <c r="J66" s="137"/>
      <c r="K66" s="881" t="str">
        <f ca="1">IFERROR(__xludf.DUMMYFUNCTION("""COMPUTED_VALUE"""),"Капитальные расходы (автотранспорт)")</f>
        <v>Капитальные расходы (автотранспорт)</v>
      </c>
      <c r="L66" s="873"/>
      <c r="M66" s="873"/>
      <c r="N66" s="877"/>
      <c r="O66" s="141">
        <f ca="1">IFERROR(__xludf.DUMMYFUNCTION("""COMPUTED_VALUE"""),0)</f>
        <v>0</v>
      </c>
      <c r="P66" s="73"/>
      <c r="Q66" s="73"/>
      <c r="R66" s="141">
        <f ca="1">IFERROR(__xludf.DUMMYFUNCTION("""COMPUTED_VALUE"""),0)</f>
        <v>0</v>
      </c>
      <c r="S66" s="73"/>
      <c r="T66" s="73"/>
      <c r="U66" s="141">
        <f ca="1">IFERROR(__xludf.DUMMYFUNCTION("""COMPUTED_VALUE"""),0)</f>
        <v>0</v>
      </c>
      <c r="V66" s="73"/>
      <c r="W66" s="65"/>
      <c r="X66" s="65"/>
      <c r="Y66" s="65"/>
    </row>
    <row r="67" spans="1:25" ht="12.75">
      <c r="A67" s="62"/>
      <c r="B67" s="62"/>
      <c r="C67" s="62"/>
      <c r="D67" s="144"/>
      <c r="E67" s="62"/>
      <c r="F67" s="62"/>
      <c r="G67" s="62"/>
      <c r="H67" s="62"/>
      <c r="I67" s="62"/>
      <c r="J67" s="137"/>
      <c r="K67" s="881" t="str">
        <f ca="1">IFERROR(__xludf.DUMMYFUNCTION("""COMPUTED_VALUE"""),"Капитальные расходы (ОС)")</f>
        <v>Капитальные расходы (ОС)</v>
      </c>
      <c r="L67" s="873"/>
      <c r="M67" s="873"/>
      <c r="N67" s="877"/>
      <c r="O67" s="141">
        <f ca="1">IFERROR(__xludf.DUMMYFUNCTION("""COMPUTED_VALUE"""),2224.1546)</f>
        <v>2224.1545999999998</v>
      </c>
      <c r="P67" s="73"/>
      <c r="Q67" s="73"/>
      <c r="R67" s="141">
        <f ca="1">IFERROR(__xludf.DUMMYFUNCTION("""COMPUTED_VALUE"""),2224.1546)</f>
        <v>2224.1545999999998</v>
      </c>
      <c r="S67" s="73"/>
      <c r="T67" s="73"/>
      <c r="U67" s="141">
        <f ca="1">IFERROR(__xludf.DUMMYFUNCTION("""COMPUTED_VALUE"""),100124.854599999)</f>
        <v>100124.854599999</v>
      </c>
      <c r="V67" s="73"/>
      <c r="W67" s="65"/>
      <c r="X67" s="65"/>
      <c r="Y67" s="65"/>
    </row>
    <row r="68" spans="1:25" ht="12.75">
      <c r="A68" s="62"/>
      <c r="B68" s="62"/>
      <c r="C68" s="62"/>
      <c r="D68" s="62"/>
      <c r="E68" s="62"/>
      <c r="F68" s="62"/>
      <c r="G68" s="62"/>
      <c r="H68" s="62"/>
      <c r="I68" s="62"/>
      <c r="J68" s="137"/>
      <c r="K68" s="881" t="str">
        <f ca="1">IFERROR(__xludf.DUMMYFUNCTION("""COMPUTED_VALUE"""),"Капитальные расходы (капремонт)")</f>
        <v>Капитальные расходы (капремонт)</v>
      </c>
      <c r="L68" s="873"/>
      <c r="M68" s="873"/>
      <c r="N68" s="877"/>
      <c r="O68" s="141">
        <f ca="1">IFERROR(__xludf.DUMMYFUNCTION("""COMPUTED_VALUE"""),545.48173)</f>
        <v>545.48172999999997</v>
      </c>
      <c r="P68" s="73"/>
      <c r="Q68" s="73"/>
      <c r="R68" s="141">
        <f ca="1">IFERROR(__xludf.DUMMYFUNCTION("""COMPUTED_VALUE"""),545.48173)</f>
        <v>545.48172999999997</v>
      </c>
      <c r="S68" s="73"/>
      <c r="T68" s="73"/>
      <c r="U68" s="141">
        <f ca="1">IFERROR(__xludf.DUMMYFUNCTION("""COMPUTED_VALUE"""),7948.88173)</f>
        <v>7948.8817300000001</v>
      </c>
      <c r="V68" s="73"/>
      <c r="W68" s="65"/>
      <c r="X68" s="65"/>
      <c r="Y68" s="65"/>
    </row>
    <row r="69" spans="1:25" ht="12.75">
      <c r="A69" s="62"/>
      <c r="B69" s="62"/>
      <c r="C69" s="62"/>
      <c r="D69" s="62"/>
      <c r="E69" s="62"/>
      <c r="F69" s="62"/>
      <c r="G69" s="62"/>
      <c r="H69" s="62"/>
      <c r="I69" s="62"/>
      <c r="J69" s="137"/>
      <c r="K69" s="881" t="str">
        <f ca="1">IFERROR(__xludf.DUMMYFUNCTION("""COMPUTED_VALUE"""),"ГСМ")</f>
        <v>ГСМ</v>
      </c>
      <c r="L69" s="873"/>
      <c r="M69" s="873"/>
      <c r="N69" s="877"/>
      <c r="O69" s="141">
        <f ca="1">IFERROR(__xludf.DUMMYFUNCTION("""COMPUTED_VALUE"""),320.426819999993)</f>
        <v>320.42681999999297</v>
      </c>
      <c r="P69" s="73"/>
      <c r="Q69" s="73"/>
      <c r="R69" s="73"/>
      <c r="S69" s="73"/>
      <c r="T69" s="73"/>
      <c r="U69" s="73"/>
      <c r="V69" s="141">
        <f ca="1">IFERROR(__xludf.DUMMYFUNCTION("""COMPUTED_VALUE"""),109867.82682)</f>
        <v>109867.82682</v>
      </c>
      <c r="W69" s="65"/>
      <c r="X69" s="65"/>
      <c r="Y69" s="65"/>
    </row>
    <row r="70" spans="1:25" ht="12.75">
      <c r="A70" s="62"/>
      <c r="B70" s="62"/>
      <c r="C70" s="62"/>
      <c r="D70" s="62"/>
      <c r="E70" s="62"/>
      <c r="F70" s="62"/>
      <c r="G70" s="62"/>
      <c r="H70" s="62"/>
      <c r="I70" s="62"/>
      <c r="J70" s="137"/>
      <c r="K70" s="881" t="str">
        <f ca="1">IFERROR(__xludf.DUMMYFUNCTION("""COMPUTED_VALUE"""),"Запасы")</f>
        <v>Запасы</v>
      </c>
      <c r="L70" s="873"/>
      <c r="M70" s="873"/>
      <c r="N70" s="877"/>
      <c r="O70" s="141">
        <f ca="1">IFERROR(__xludf.DUMMYFUNCTION("""COMPUTED_VALUE"""),224.072910000002)</f>
        <v>224.072910000002</v>
      </c>
      <c r="P70" s="73"/>
      <c r="Q70" s="141">
        <f ca="1">IFERROR(__xludf.DUMMYFUNCTION("""COMPUTED_VALUE"""),0)</f>
        <v>0</v>
      </c>
      <c r="R70" s="73"/>
      <c r="S70" s="73"/>
      <c r="T70" s="141">
        <f ca="1">IFERROR(__xludf.DUMMYFUNCTION("""COMPUTED_VALUE"""),0)</f>
        <v>0</v>
      </c>
      <c r="U70" s="73"/>
      <c r="V70" s="141">
        <f ca="1">IFERROR(__xludf.DUMMYFUNCTION("""COMPUTED_VALUE"""),128784.47291)</f>
        <v>128784.47291</v>
      </c>
      <c r="W70" s="65"/>
      <c r="X70" s="65"/>
      <c r="Y70" s="65"/>
    </row>
    <row r="71" spans="1:25" ht="12.75">
      <c r="A71" s="62"/>
      <c r="B71" s="62"/>
      <c r="C71" s="62"/>
      <c r="D71" s="62"/>
      <c r="E71" s="62"/>
      <c r="F71" s="62"/>
      <c r="G71" s="62"/>
      <c r="H71" s="62"/>
      <c r="I71" s="62"/>
      <c r="J71" s="137"/>
      <c r="K71" s="881" t="str">
        <f ca="1">IFERROR(__xludf.DUMMYFUNCTION("""COMPUTED_VALUE"""),"СИЗЫ")</f>
        <v>СИЗЫ</v>
      </c>
      <c r="L71" s="873"/>
      <c r="M71" s="873"/>
      <c r="N71" s="877"/>
      <c r="O71" s="141">
        <f ca="1">IFERROR(__xludf.DUMMYFUNCTION("""COMPUTED_VALUE"""),9.86000000000012)</f>
        <v>9.8600000000001202</v>
      </c>
      <c r="P71" s="73"/>
      <c r="Q71" s="73"/>
      <c r="R71" s="73"/>
      <c r="S71" s="73"/>
      <c r="T71" s="73"/>
      <c r="U71" s="73"/>
      <c r="V71" s="141" t="str">
        <f ca="1">IFERROR(__xludf.DUMMYFUNCTION("""COMPUTED_VALUE"""),"#REF!")</f>
        <v>#REF!</v>
      </c>
      <c r="W71" s="65"/>
      <c r="X71" s="65"/>
      <c r="Y71" s="65"/>
    </row>
    <row r="72" spans="1:25" ht="12.75">
      <c r="A72" s="62"/>
      <c r="B72" s="62"/>
      <c r="C72" s="62"/>
      <c r="D72" s="62"/>
      <c r="E72" s="62"/>
      <c r="F72" s="62"/>
      <c r="G72" s="62"/>
      <c r="H72" s="62"/>
      <c r="I72" s="62"/>
      <c r="J72" s="137"/>
      <c r="K72" s="881" t="str">
        <f ca="1">IFERROR(__xludf.DUMMYFUNCTION("""COMPUTED_VALUE"""),"Услуги аренды автотранспорта")</f>
        <v>Услуги аренды автотранспорта</v>
      </c>
      <c r="L72" s="873"/>
      <c r="M72" s="873"/>
      <c r="N72" s="877"/>
      <c r="O72" s="141">
        <f ca="1">IFERROR(__xludf.DUMMYFUNCTION("""COMPUTED_VALUE"""),0.307759999996051)</f>
        <v>0.30775999999605103</v>
      </c>
      <c r="P72" s="73"/>
      <c r="Q72" s="73"/>
      <c r="R72" s="73"/>
      <c r="S72" s="73"/>
      <c r="T72" s="73"/>
      <c r="U72" s="73"/>
      <c r="V72" s="141" t="str">
        <f ca="1">IFERROR(__xludf.DUMMYFUNCTION("""COMPUTED_VALUE"""),"#REF!")</f>
        <v>#REF!</v>
      </c>
      <c r="W72" s="65"/>
      <c r="X72" s="65"/>
      <c r="Y72" s="65"/>
    </row>
    <row r="73" spans="1:25" ht="12.75">
      <c r="A73" s="62"/>
      <c r="B73" s="62"/>
      <c r="C73" s="62"/>
      <c r="D73" s="62"/>
      <c r="E73" s="62"/>
      <c r="F73" s="62"/>
      <c r="G73" s="62"/>
      <c r="H73" s="62"/>
      <c r="I73" s="62"/>
      <c r="J73" s="137"/>
      <c r="K73" s="881" t="str">
        <f ca="1">IFERROR(__xludf.DUMMYFUNCTION("""COMPUTED_VALUE"""),"Услуги и работы прочие")</f>
        <v>Услуги и работы прочие</v>
      </c>
      <c r="L73" s="873"/>
      <c r="M73" s="873"/>
      <c r="N73" s="877"/>
      <c r="O73" s="141">
        <f ca="1">IFERROR(__xludf.DUMMYFUNCTION("""COMPUTED_VALUE"""),54.0012399999386)</f>
        <v>54.001239999938598</v>
      </c>
      <c r="P73" s="142">
        <f ca="1">IFERROR(__xludf.DUMMYFUNCTION("""COMPUTED_VALUE"""),27.9680599999983)</f>
        <v>27.9680599999983</v>
      </c>
      <c r="Q73" s="141">
        <f ca="1">IFERROR(__xludf.DUMMYFUNCTION("""COMPUTED_VALUE"""),0)</f>
        <v>0</v>
      </c>
      <c r="R73" s="73"/>
      <c r="S73" s="142">
        <f ca="1">IFERROR(__xludf.DUMMYFUNCTION("""COMPUTED_VALUE"""),22740.36806)</f>
        <v>22740.368060000001</v>
      </c>
      <c r="T73" s="141">
        <f ca="1">IFERROR(__xludf.DUMMYFUNCTION("""COMPUTED_VALUE"""),0)</f>
        <v>0</v>
      </c>
      <c r="U73" s="73"/>
      <c r="V73" s="141">
        <f ca="1">IFERROR(__xludf.DUMMYFUNCTION("""COMPUTED_VALUE"""),306593.433179999)</f>
        <v>306593.433179999</v>
      </c>
      <c r="W73" s="65"/>
      <c r="X73" s="65"/>
      <c r="Y73" s="65"/>
    </row>
    <row r="74" spans="1:25" ht="12.75">
      <c r="A74" s="62"/>
      <c r="B74" s="62"/>
      <c r="C74" s="62"/>
      <c r="D74" s="62"/>
      <c r="E74" s="62"/>
      <c r="F74" s="62"/>
      <c r="G74" s="62"/>
      <c r="H74" s="62"/>
      <c r="I74" s="62"/>
      <c r="J74" s="137"/>
      <c r="K74" s="881" t="str">
        <f ca="1">IFERROR(__xludf.DUMMYFUNCTION("""COMPUTED_VALUE"""),"Услуги связи")</f>
        <v>Услуги связи</v>
      </c>
      <c r="L74" s="873"/>
      <c r="M74" s="873"/>
      <c r="N74" s="877"/>
      <c r="O74" s="141">
        <f ca="1">IFERROR(__xludf.DUMMYFUNCTION("""COMPUTED_VALUE"""),55.1620799999982)</f>
        <v>55.162079999998198</v>
      </c>
      <c r="P74" s="73"/>
      <c r="Q74" s="141">
        <f ca="1">IFERROR(__xludf.DUMMYFUNCTION("""COMPUTED_VALUE"""),0)</f>
        <v>0</v>
      </c>
      <c r="R74" s="73"/>
      <c r="S74" s="73"/>
      <c r="T74" s="141">
        <f ca="1">IFERROR(__xludf.DUMMYFUNCTION("""COMPUTED_VALUE"""),0)</f>
        <v>0</v>
      </c>
      <c r="U74" s="73"/>
      <c r="V74" s="141">
        <f ca="1">IFERROR(__xludf.DUMMYFUNCTION("""COMPUTED_VALUE"""),31928.7620799999)</f>
        <v>31928.762079999899</v>
      </c>
      <c r="W74" s="65"/>
      <c r="X74" s="65"/>
      <c r="Y74" s="65"/>
    </row>
    <row r="75" spans="1:25" ht="12.75">
      <c r="A75" s="62"/>
      <c r="B75" s="62"/>
      <c r="C75" s="62"/>
      <c r="D75" s="62"/>
      <c r="E75" s="62"/>
      <c r="F75" s="62"/>
      <c r="G75" s="62"/>
      <c r="H75" s="62"/>
      <c r="I75" s="62"/>
      <c r="J75" s="137"/>
      <c r="K75" s="881" t="str">
        <f ca="1">IFERROR(__xludf.DUMMYFUNCTION("""COMPUTED_VALUE"""),"Услуги госзаказ")</f>
        <v>Услуги госзаказ</v>
      </c>
      <c r="L75" s="873"/>
      <c r="M75" s="873"/>
      <c r="N75" s="877"/>
      <c r="O75" s="141">
        <f ca="1">IFERROR(__xludf.DUMMYFUNCTION("""COMPUTED_VALUE"""),2.01754999812692)</f>
        <v>2.01754999812692</v>
      </c>
      <c r="P75" s="73"/>
      <c r="Q75" s="73"/>
      <c r="R75" s="73"/>
      <c r="S75" s="73"/>
      <c r="T75" s="73"/>
      <c r="U75" s="73"/>
      <c r="V75" s="73"/>
      <c r="W75" s="141" t="str">
        <f ca="1">IFERROR(__xludf.DUMMYFUNCTION("""COMPUTED_VALUE"""),"#REF!")</f>
        <v>#REF!</v>
      </c>
      <c r="X75" s="65"/>
      <c r="Y75" s="65"/>
    </row>
    <row r="76" spans="1:25" ht="12.75">
      <c r="A76" s="62"/>
      <c r="B76" s="62"/>
      <c r="C76" s="62"/>
      <c r="D76" s="62"/>
      <c r="E76" s="62"/>
      <c r="F76" s="62"/>
      <c r="G76" s="62"/>
      <c r="H76" s="62"/>
      <c r="I76" s="62"/>
      <c r="J76" s="137"/>
      <c r="K76" s="881" t="str">
        <f ca="1">IFERROR(__xludf.DUMMYFUNCTION("""COMPUTED_VALUE"""),"Прочие платежи")</f>
        <v>Прочие платежи</v>
      </c>
      <c r="L76" s="873"/>
      <c r="M76" s="873"/>
      <c r="N76" s="877"/>
      <c r="O76" s="141">
        <f ca="1">IFERROR(__xludf.DUMMYFUNCTION("""COMPUTED_VALUE"""),122.586689999999)</f>
        <v>122.586689999999</v>
      </c>
      <c r="P76" s="142">
        <f ca="1">IFERROR(__xludf.DUMMYFUNCTION("""COMPUTED_VALUE"""),7.29728999999997)</f>
        <v>7.2972899999999701</v>
      </c>
      <c r="Q76" s="73"/>
      <c r="R76" s="73"/>
      <c r="S76" s="142">
        <f ca="1">IFERROR(__xludf.DUMMYFUNCTION("""COMPUTED_VALUE"""),7.29728999999997)</f>
        <v>7.2972899999999701</v>
      </c>
      <c r="T76" s="73"/>
      <c r="U76" s="73"/>
      <c r="V76" s="141">
        <f ca="1">IFERROR(__xludf.DUMMYFUNCTION("""COMPUTED_VALUE"""),122.586689999999)</f>
        <v>122.586689999999</v>
      </c>
      <c r="W76" s="65"/>
      <c r="X76" s="65"/>
      <c r="Y76" s="65"/>
    </row>
    <row r="77" spans="1:25" ht="12.75">
      <c r="A77" s="62"/>
      <c r="B77" s="62"/>
      <c r="C77" s="62"/>
      <c r="D77" s="62"/>
      <c r="E77" s="62"/>
      <c r="F77" s="62"/>
      <c r="G77" s="62"/>
      <c r="H77" s="62"/>
      <c r="I77" s="62"/>
      <c r="J77" s="137"/>
      <c r="K77" s="881" t="str">
        <f ca="1">IFERROR(__xludf.DUMMYFUNCTION("""COMPUTED_VALUE"""),"Повышение квалификации")</f>
        <v>Повышение квалификации</v>
      </c>
      <c r="L77" s="873"/>
      <c r="M77" s="873"/>
      <c r="N77" s="877"/>
      <c r="O77" s="141">
        <f ca="1">IFERROR(__xludf.DUMMYFUNCTION("""COMPUTED_VALUE"""),1.15999999999621)</f>
        <v>1.1599999999962101</v>
      </c>
      <c r="P77" s="73"/>
      <c r="Q77" s="73"/>
      <c r="R77" s="73"/>
      <c r="S77" s="73"/>
      <c r="T77" s="73"/>
      <c r="U77" s="73"/>
      <c r="V77" s="73"/>
      <c r="W77" s="65"/>
      <c r="X77" s="65"/>
      <c r="Y77" s="141">
        <f ca="1">IFERROR(__xludf.DUMMYFUNCTION("""COMPUTED_VALUE"""),46343.5599999999)</f>
        <v>46343.559999999903</v>
      </c>
    </row>
    <row r="78" spans="1:25" ht="12.75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881" t="str">
        <f ca="1">IFERROR(__xludf.DUMMYFUNCTION("""COMPUTED_VALUE"""),"спецодежда")</f>
        <v>спецодежда</v>
      </c>
      <c r="L78" s="873"/>
      <c r="M78" s="873"/>
      <c r="N78" s="877"/>
      <c r="O78" s="141">
        <f ca="1">IFERROR(__xludf.DUMMYFUNCTION("""COMPUTED_VALUE"""),0)</f>
        <v>0</v>
      </c>
      <c r="P78" s="73"/>
      <c r="Q78" s="73"/>
      <c r="R78" s="73"/>
      <c r="S78" s="73"/>
      <c r="T78" s="73"/>
      <c r="U78" s="73"/>
      <c r="V78" s="73"/>
      <c r="W78" s="65"/>
      <c r="X78" s="65"/>
      <c r="Y78" s="65"/>
    </row>
    <row r="79" spans="1:25" ht="12.75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882"/>
      <c r="L79" s="867"/>
      <c r="M79" s="867"/>
      <c r="N79" s="868"/>
      <c r="O79" s="73"/>
      <c r="P79" s="73"/>
      <c r="Q79" s="73"/>
      <c r="R79" s="73"/>
      <c r="S79" s="73"/>
      <c r="T79" s="73"/>
      <c r="U79" s="73"/>
      <c r="V79" s="73"/>
      <c r="W79" s="65"/>
      <c r="X79" s="65"/>
      <c r="Y79" s="65"/>
    </row>
    <row r="80" spans="1:25" ht="12.75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882"/>
      <c r="L80" s="867"/>
      <c r="M80" s="867"/>
      <c r="N80" s="868"/>
      <c r="O80" s="73"/>
      <c r="P80" s="73"/>
      <c r="Q80" s="73"/>
      <c r="R80" s="141">
        <f ca="1">IFERROR(__xludf.DUMMYFUNCTION("""COMPUTED_VALUE"""),0)</f>
        <v>0</v>
      </c>
      <c r="S80" s="73"/>
      <c r="T80" s="73"/>
      <c r="U80" s="141"/>
      <c r="V80" s="73"/>
      <c r="W80" s="65"/>
      <c r="X80" s="65"/>
      <c r="Y80" s="65"/>
    </row>
    <row r="81" spans="1:25" ht="12.75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883" t="str">
        <f ca="1">IFERROR(__xludf.DUMMYFUNCTION("""COMPUTED_VALUE"""),"Ожидаемый процент освоения:")</f>
        <v>Ожидаемый процент освоения:</v>
      </c>
      <c r="L81" s="865"/>
      <c r="M81" s="865"/>
      <c r="N81" s="865"/>
      <c r="O81" s="145"/>
      <c r="P81" s="134"/>
      <c r="Q81" s="134"/>
      <c r="R81" s="134"/>
      <c r="S81" s="134"/>
      <c r="T81" s="134"/>
      <c r="U81" s="134"/>
      <c r="V81" s="134"/>
      <c r="W81" s="62"/>
      <c r="X81" s="62"/>
      <c r="Y81" s="62"/>
    </row>
    <row r="82" spans="1:25" ht="12.75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146"/>
      <c r="L82" s="146"/>
      <c r="M82" s="146"/>
      <c r="N82" s="146"/>
      <c r="O82" s="134">
        <f ca="1">IFERROR(__xludf.DUMMYFUNCTION("""COMPUTED_VALUE"""),0.0289999991364311)</f>
        <v>2.8999999136431101E-2</v>
      </c>
      <c r="P82" s="146"/>
      <c r="Q82" s="146"/>
      <c r="R82" s="62"/>
      <c r="S82" s="62"/>
      <c r="T82" s="62"/>
      <c r="U82" s="62"/>
      <c r="V82" s="62"/>
      <c r="W82" s="62"/>
      <c r="X82" s="62"/>
      <c r="Y82" s="62"/>
    </row>
    <row r="83" spans="1:25" ht="12.75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74">
        <f ca="1">IFERROR(__xludf.DUMMYFUNCTION("""COMPUTED_VALUE"""),-0.00100000124893995)</f>
        <v>-1.00000124893995E-3</v>
      </c>
      <c r="P83" s="62"/>
      <c r="Q83" s="62"/>
      <c r="R83" s="62"/>
      <c r="S83" s="62"/>
      <c r="T83" s="62"/>
      <c r="U83" s="62"/>
      <c r="V83" s="62"/>
      <c r="W83" s="62"/>
      <c r="X83" s="62"/>
      <c r="Y83" s="62"/>
    </row>
    <row r="84" spans="1:25" ht="12.75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</row>
    <row r="85" spans="1:25" ht="12.75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</row>
    <row r="86" spans="1:25" ht="12.75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</row>
    <row r="87" spans="1:25" ht="12.75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146"/>
      <c r="Q87" s="146"/>
      <c r="R87" s="62"/>
      <c r="S87" s="62"/>
      <c r="T87" s="62"/>
      <c r="U87" s="62"/>
      <c r="V87" s="62"/>
      <c r="W87" s="62"/>
      <c r="X87" s="62"/>
      <c r="Y87" s="62"/>
    </row>
    <row r="88" spans="1:25" ht="12.75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146"/>
      <c r="L88" s="146"/>
      <c r="M88" s="146"/>
      <c r="N88" s="146"/>
      <c r="O88" s="62"/>
      <c r="P88" s="147"/>
      <c r="Q88" s="147"/>
      <c r="R88" s="147"/>
      <c r="S88" s="147"/>
      <c r="T88" s="147"/>
      <c r="U88" s="147"/>
      <c r="V88" s="147"/>
      <c r="W88" s="62"/>
      <c r="X88" s="62"/>
      <c r="Y88" s="62"/>
    </row>
    <row r="89" spans="1:25" ht="12.75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146"/>
      <c r="L89" s="146"/>
      <c r="M89" s="146"/>
      <c r="N89" s="146"/>
      <c r="O89" s="62"/>
      <c r="P89" s="146"/>
      <c r="Q89" s="62"/>
      <c r="R89" s="62"/>
      <c r="S89" s="62"/>
      <c r="T89" s="62"/>
      <c r="U89" s="62"/>
      <c r="V89" s="62"/>
      <c r="W89" s="62"/>
      <c r="X89" s="62"/>
      <c r="Y89" s="62"/>
    </row>
    <row r="90" spans="1:25" ht="12.75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146"/>
      <c r="L90" s="146"/>
      <c r="M90" s="146"/>
      <c r="N90" s="146"/>
      <c r="O90" s="62"/>
      <c r="P90" s="146"/>
      <c r="Q90" s="146"/>
      <c r="R90" s="62"/>
      <c r="S90" s="62"/>
      <c r="T90" s="62"/>
      <c r="U90" s="62"/>
      <c r="V90" s="62"/>
      <c r="W90" s="62"/>
      <c r="X90" s="62"/>
      <c r="Y90" s="62"/>
    </row>
    <row r="91" spans="1:25" ht="12.75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146"/>
      <c r="L91" s="146"/>
      <c r="M91" s="146"/>
      <c r="N91" s="146"/>
      <c r="O91" s="62"/>
      <c r="P91" s="146"/>
      <c r="Q91" s="62"/>
      <c r="R91" s="62"/>
      <c r="S91" s="62"/>
      <c r="T91" s="62"/>
      <c r="U91" s="62"/>
      <c r="V91" s="62"/>
      <c r="W91" s="62"/>
      <c r="X91" s="62"/>
      <c r="Y91" s="62"/>
    </row>
    <row r="92" spans="1:25" ht="12.75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146"/>
      <c r="L92" s="146"/>
      <c r="M92" s="146"/>
      <c r="N92" s="146"/>
      <c r="O92" s="62"/>
      <c r="P92" s="146"/>
      <c r="Q92" s="146"/>
      <c r="R92" s="62"/>
      <c r="S92" s="62"/>
      <c r="T92" s="62"/>
      <c r="U92" s="62"/>
      <c r="V92" s="62"/>
      <c r="W92" s="62"/>
      <c r="X92" s="62"/>
      <c r="Y92" s="62"/>
    </row>
    <row r="93" spans="1:25" ht="12.75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146"/>
      <c r="L93" s="146"/>
      <c r="M93" s="146"/>
      <c r="N93" s="146"/>
      <c r="O93" s="62"/>
      <c r="P93" s="146"/>
      <c r="Q93" s="146"/>
      <c r="R93" s="62"/>
      <c r="S93" s="62"/>
      <c r="T93" s="62"/>
      <c r="U93" s="62"/>
      <c r="V93" s="62"/>
      <c r="W93" s="62"/>
      <c r="X93" s="62"/>
      <c r="Y93" s="62"/>
    </row>
    <row r="94" spans="1:25" ht="12.75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146"/>
      <c r="L94" s="146"/>
      <c r="M94" s="146"/>
      <c r="N94" s="146"/>
      <c r="O94" s="62"/>
      <c r="P94" s="146"/>
      <c r="Q94" s="146"/>
      <c r="R94" s="62"/>
      <c r="S94" s="62"/>
      <c r="T94" s="62"/>
      <c r="U94" s="62"/>
      <c r="V94" s="62"/>
      <c r="W94" s="62"/>
      <c r="X94" s="62"/>
      <c r="Y94" s="62"/>
    </row>
    <row r="95" spans="1:25" ht="12.75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146"/>
      <c r="L95" s="146"/>
      <c r="M95" s="146"/>
      <c r="N95" s="146"/>
      <c r="O95" s="62"/>
      <c r="P95" s="146"/>
      <c r="Q95" s="146"/>
      <c r="R95" s="62"/>
      <c r="S95" s="62"/>
      <c r="T95" s="62"/>
      <c r="U95" s="62"/>
      <c r="V95" s="62"/>
      <c r="W95" s="62"/>
      <c r="X95" s="62"/>
      <c r="Y95" s="62"/>
    </row>
    <row r="96" spans="1:25" ht="12.75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146"/>
      <c r="L96" s="146"/>
      <c r="M96" s="146"/>
      <c r="N96" s="146"/>
      <c r="O96" s="62"/>
      <c r="P96" s="146"/>
      <c r="Q96" s="146"/>
      <c r="R96" s="62"/>
      <c r="S96" s="62"/>
      <c r="T96" s="62"/>
      <c r="U96" s="62"/>
      <c r="V96" s="62"/>
      <c r="W96" s="62"/>
      <c r="X96" s="62"/>
      <c r="Y96" s="62"/>
    </row>
    <row r="97" spans="1:25" ht="12.75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146"/>
      <c r="L97" s="146"/>
      <c r="M97" s="146"/>
      <c r="N97" s="146"/>
      <c r="O97" s="62"/>
      <c r="P97" s="146"/>
      <c r="Q97" s="62"/>
      <c r="R97" s="62"/>
      <c r="S97" s="62"/>
      <c r="T97" s="62"/>
      <c r="U97" s="62"/>
      <c r="V97" s="62"/>
      <c r="W97" s="62"/>
      <c r="X97" s="62"/>
      <c r="Y97" s="62"/>
    </row>
    <row r="98" spans="1:25" ht="12.75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146"/>
      <c r="L98" s="146"/>
      <c r="M98" s="146"/>
      <c r="N98" s="146"/>
      <c r="O98" s="62"/>
      <c r="P98" s="146"/>
      <c r="Q98" s="146"/>
      <c r="R98" s="62"/>
      <c r="S98" s="62"/>
      <c r="T98" s="62"/>
      <c r="U98" s="62"/>
      <c r="V98" s="62"/>
      <c r="W98" s="62"/>
      <c r="X98" s="62"/>
      <c r="Y98" s="62"/>
    </row>
    <row r="99" spans="1:25" ht="12.75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146"/>
      <c r="L99" s="146"/>
      <c r="M99" s="146"/>
      <c r="N99" s="146"/>
      <c r="O99" s="62"/>
      <c r="P99" s="146"/>
      <c r="Q99" s="62"/>
      <c r="R99" s="62"/>
      <c r="S99" s="62"/>
      <c r="T99" s="62"/>
      <c r="U99" s="62"/>
      <c r="V99" s="62"/>
      <c r="W99" s="146"/>
      <c r="X99" s="62"/>
      <c r="Y99" s="62"/>
    </row>
    <row r="100" spans="1:25" ht="12.75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146"/>
      <c r="L100" s="146"/>
      <c r="M100" s="146"/>
      <c r="N100" s="146"/>
      <c r="O100" s="62"/>
      <c r="P100" s="146"/>
      <c r="Q100" s="62"/>
      <c r="R100" s="62"/>
      <c r="S100" s="62"/>
      <c r="T100" s="62"/>
      <c r="U100" s="62"/>
      <c r="V100" s="62"/>
      <c r="W100" s="62"/>
      <c r="X100" s="62"/>
      <c r="Y100" s="62"/>
    </row>
    <row r="101" spans="1:25" ht="12.75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146"/>
      <c r="L101" s="146"/>
      <c r="M101" s="146"/>
      <c r="N101" s="146"/>
      <c r="O101" s="62"/>
      <c r="P101" s="146"/>
      <c r="Q101" s="62"/>
      <c r="R101" s="62"/>
      <c r="S101" s="62"/>
      <c r="T101" s="62"/>
      <c r="U101" s="62"/>
      <c r="V101" s="62"/>
      <c r="W101" s="62"/>
      <c r="X101" s="62"/>
      <c r="Y101" s="62"/>
    </row>
    <row r="102" spans="1:25" ht="12.75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146"/>
      <c r="L102" s="146"/>
      <c r="M102" s="146"/>
      <c r="N102" s="146"/>
      <c r="O102" s="62"/>
      <c r="P102" s="146"/>
      <c r="Q102" s="146"/>
      <c r="R102" s="62"/>
      <c r="S102" s="62"/>
      <c r="T102" s="62"/>
      <c r="U102" s="62"/>
      <c r="V102" s="62"/>
      <c r="W102" s="62"/>
      <c r="X102" s="62"/>
      <c r="Y102" s="62"/>
    </row>
    <row r="103" spans="1:25" ht="12.75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146"/>
      <c r="L103" s="146"/>
      <c r="M103" s="146"/>
      <c r="N103" s="146"/>
      <c r="O103" s="62"/>
      <c r="P103" s="146"/>
      <c r="Q103" s="62"/>
      <c r="R103" s="62"/>
      <c r="S103" s="62"/>
      <c r="T103" s="62"/>
      <c r="U103" s="62"/>
      <c r="V103" s="62"/>
      <c r="W103" s="62"/>
      <c r="X103" s="62"/>
      <c r="Y103" s="62"/>
    </row>
    <row r="104" spans="1:25" ht="12.75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146"/>
      <c r="L104" s="146"/>
      <c r="M104" s="146"/>
      <c r="N104" s="146"/>
      <c r="O104" s="62"/>
      <c r="P104" s="146"/>
      <c r="Q104" s="62"/>
      <c r="R104" s="62"/>
      <c r="S104" s="62"/>
      <c r="T104" s="62"/>
      <c r="U104" s="62"/>
      <c r="V104" s="62"/>
      <c r="W104" s="62"/>
      <c r="X104" s="62"/>
      <c r="Y104" s="62"/>
    </row>
    <row r="105" spans="1:25" ht="12.75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146"/>
      <c r="L105" s="146"/>
      <c r="M105" s="146"/>
      <c r="N105" s="146"/>
      <c r="O105" s="62"/>
      <c r="P105" s="146"/>
      <c r="Q105" s="62"/>
      <c r="R105" s="62"/>
      <c r="S105" s="62"/>
      <c r="T105" s="62"/>
      <c r="U105" s="62"/>
      <c r="V105" s="62"/>
      <c r="W105" s="62"/>
      <c r="X105" s="62"/>
      <c r="Y105" s="62"/>
    </row>
    <row r="106" spans="1:25" ht="12.75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146"/>
      <c r="L106" s="146"/>
      <c r="M106" s="146"/>
      <c r="N106" s="146"/>
      <c r="O106" s="62"/>
      <c r="P106" s="146"/>
      <c r="Q106" s="62"/>
      <c r="R106" s="62"/>
      <c r="S106" s="62"/>
      <c r="T106" s="62"/>
      <c r="U106" s="62"/>
      <c r="V106" s="62"/>
      <c r="W106" s="62"/>
      <c r="X106" s="62"/>
      <c r="Y106" s="62"/>
    </row>
    <row r="107" spans="1:25" ht="12.75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</row>
    <row r="108" spans="1:25" ht="12.75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</row>
    <row r="109" spans="1:25" ht="12.75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</row>
    <row r="110" spans="1:25" ht="12.75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</row>
    <row r="111" spans="1:25" ht="12.75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</row>
    <row r="112" spans="1:25" ht="12.75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</row>
    <row r="113" spans="1:25" ht="12.75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</row>
    <row r="114" spans="1:25" ht="12.75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</row>
    <row r="115" spans="1:25" ht="12.75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</row>
    <row r="116" spans="1:25" ht="12.75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</row>
    <row r="117" spans="1:25" ht="12.75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</row>
    <row r="118" spans="1:25" ht="12.75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</row>
    <row r="119" spans="1:25" ht="12.75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</row>
    <row r="120" spans="1:25" ht="12.75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</row>
    <row r="121" spans="1:25" ht="12.75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</row>
    <row r="122" spans="1:25" ht="12.75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</row>
    <row r="123" spans="1:25" ht="12.75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</row>
    <row r="124" spans="1:25" ht="12.75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</row>
    <row r="125" spans="1:25" ht="12.75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</row>
    <row r="126" spans="1:25" ht="12.75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</row>
    <row r="127" spans="1:25" ht="12.75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</row>
    <row r="128" spans="1:25" ht="12.75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</row>
    <row r="129" spans="1:25" ht="12.75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</row>
    <row r="130" spans="1:25" ht="12.75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</row>
    <row r="131" spans="1:25" ht="12.75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</row>
    <row r="132" spans="1:25" ht="12.75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</row>
    <row r="133" spans="1:25" ht="12.75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</row>
    <row r="134" spans="1:25" ht="12.75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</row>
    <row r="135" spans="1:25" ht="12.75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</row>
    <row r="136" spans="1:25" ht="12.75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</row>
    <row r="137" spans="1:25" ht="12.75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</row>
    <row r="138" spans="1:25" ht="12.75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</row>
    <row r="139" spans="1:25" ht="12.75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</row>
    <row r="140" spans="1:25" ht="12.75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</row>
    <row r="141" spans="1:25" ht="12.75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</row>
    <row r="142" spans="1:25" ht="12.75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</row>
    <row r="143" spans="1:25" ht="12.75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</row>
    <row r="144" spans="1:25" ht="12.75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</row>
    <row r="145" spans="1:25" ht="12.75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</row>
    <row r="146" spans="1:25" ht="12.75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</row>
    <row r="147" spans="1:25" ht="12.75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</row>
    <row r="148" spans="1:25" ht="12.75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</row>
    <row r="149" spans="1:25" ht="12.75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</row>
    <row r="150" spans="1:25" ht="12.75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</row>
    <row r="151" spans="1:25" ht="12.75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</row>
    <row r="152" spans="1:25" ht="12.75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</row>
    <row r="153" spans="1:25" ht="12.75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</row>
    <row r="154" spans="1:25" ht="12.75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</row>
    <row r="155" spans="1:25" ht="12.75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</row>
    <row r="156" spans="1:25" ht="12.75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</row>
    <row r="157" spans="1:25" ht="12.75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</row>
    <row r="158" spans="1:25" ht="12.75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</row>
    <row r="159" spans="1:25" ht="12.75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</row>
    <row r="160" spans="1:25" ht="12.75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</row>
    <row r="161" spans="1:25" ht="12.75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</row>
    <row r="162" spans="1:25" ht="12.75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</row>
    <row r="163" spans="1:25" ht="12.75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</row>
    <row r="164" spans="1:25" ht="12.75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</row>
    <row r="165" spans="1:25" ht="12.75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</row>
    <row r="166" spans="1:25" ht="12.75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</row>
    <row r="167" spans="1:25" ht="12.75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</row>
    <row r="168" spans="1:25" ht="12.75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</row>
    <row r="169" spans="1:25" ht="12.75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</row>
    <row r="170" spans="1:25" ht="12.75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</row>
    <row r="171" spans="1:25" ht="12.75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</row>
    <row r="172" spans="1:25" ht="12.75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</row>
    <row r="173" spans="1:25" ht="12.75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</row>
    <row r="174" spans="1:25" ht="12.75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</row>
    <row r="175" spans="1:25" ht="12.75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</row>
    <row r="176" spans="1:25" ht="12.75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</row>
    <row r="177" spans="1:25" ht="12.75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</row>
    <row r="178" spans="1:25" ht="12.75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</row>
    <row r="179" spans="1:25" ht="12.75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</row>
    <row r="180" spans="1:25" ht="12.75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</row>
    <row r="181" spans="1:25" ht="12.75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</row>
    <row r="182" spans="1:25" ht="12.75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</row>
    <row r="183" spans="1:25" ht="12.75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</row>
    <row r="184" spans="1:25" ht="12.75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</row>
    <row r="185" spans="1:25" ht="12.75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</row>
    <row r="186" spans="1:25" ht="12.75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</row>
    <row r="187" spans="1:25" ht="12.75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</row>
    <row r="188" spans="1:25" ht="12.75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</row>
    <row r="189" spans="1:25" ht="12.75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</row>
    <row r="190" spans="1:25" ht="12.75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</row>
    <row r="191" spans="1:25" ht="12.75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</row>
    <row r="192" spans="1:25" ht="12.75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</row>
    <row r="193" spans="1:25" ht="12.75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</row>
    <row r="194" spans="1:25" ht="12.75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</row>
    <row r="195" spans="1:25" ht="12.75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</row>
    <row r="196" spans="1:25" ht="12.75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</row>
    <row r="197" spans="1:25" ht="12.75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</row>
    <row r="198" spans="1:25" ht="12.75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</row>
    <row r="199" spans="1:25" ht="12.75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</row>
    <row r="200" spans="1:25" ht="12.75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</row>
    <row r="201" spans="1:25" ht="12.75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</row>
    <row r="202" spans="1:25" ht="12.75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</row>
    <row r="203" spans="1:25" ht="12.75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</row>
    <row r="204" spans="1:25" ht="12.75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</row>
    <row r="205" spans="1:25" ht="12.75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</row>
    <row r="206" spans="1:25" ht="12.75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</row>
    <row r="207" spans="1:25" ht="12.75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</row>
    <row r="208" spans="1:25" ht="12.75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</row>
    <row r="209" spans="1:25" ht="12.75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</row>
    <row r="210" spans="1:25" ht="12.75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</row>
    <row r="211" spans="1:25" ht="12.75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</row>
    <row r="212" spans="1:25" ht="12.75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</row>
    <row r="213" spans="1:25" ht="12.75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</row>
    <row r="214" spans="1:25" ht="12.75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</row>
    <row r="215" spans="1:25" ht="12.75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</row>
    <row r="216" spans="1:25" ht="12.75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</row>
    <row r="217" spans="1:25" ht="12.75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</row>
    <row r="218" spans="1:25" ht="12.75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</row>
    <row r="219" spans="1:25" ht="12.75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</row>
    <row r="220" spans="1:25" ht="12.75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</row>
    <row r="221" spans="1:25" ht="12.75">
      <c r="A221" s="62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</row>
    <row r="222" spans="1:25" ht="12.75">
      <c r="A222" s="62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</row>
    <row r="223" spans="1:25" ht="12.75">
      <c r="A223" s="62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</row>
    <row r="224" spans="1:25" ht="12.75">
      <c r="A224" s="62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</row>
    <row r="225" spans="1:25" ht="12.75">
      <c r="A225" s="62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</row>
    <row r="226" spans="1:25" ht="12.75">
      <c r="A226" s="62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</row>
    <row r="227" spans="1:25" ht="12.75">
      <c r="A227" s="62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</row>
    <row r="228" spans="1:25" ht="12.75">
      <c r="A228" s="62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</row>
    <row r="229" spans="1:25" ht="12.75">
      <c r="A229" s="62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</row>
    <row r="230" spans="1:25" ht="12.75">
      <c r="A230" s="62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</row>
    <row r="231" spans="1:25" ht="12.75">
      <c r="A231" s="62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</row>
    <row r="232" spans="1:25" ht="12.75">
      <c r="A232" s="62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</row>
    <row r="233" spans="1:25" ht="12.75">
      <c r="A233" s="62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</row>
    <row r="234" spans="1:25" ht="12.75">
      <c r="A234" s="62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</row>
    <row r="235" spans="1:25" ht="12.75">
      <c r="A235" s="62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</row>
    <row r="236" spans="1:25" ht="12.75">
      <c r="A236" s="62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</row>
    <row r="237" spans="1:25" ht="12.75">
      <c r="A237" s="62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</row>
    <row r="238" spans="1:25" ht="12.75">
      <c r="A238" s="62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</row>
    <row r="239" spans="1:25" ht="12.75">
      <c r="A239" s="62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</row>
    <row r="240" spans="1:25" ht="12.75">
      <c r="A240" s="62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</row>
    <row r="241" spans="1:25" ht="12.75">
      <c r="A241" s="62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</row>
    <row r="242" spans="1:25" ht="12.75">
      <c r="A242" s="62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</row>
    <row r="243" spans="1:25" ht="12.75">
      <c r="A243" s="62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</row>
    <row r="244" spans="1:25" ht="12.75">
      <c r="A244" s="62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</row>
    <row r="245" spans="1:25" ht="12.75">
      <c r="A245" s="62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</row>
    <row r="246" spans="1:25" ht="12.75">
      <c r="A246" s="62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</row>
    <row r="247" spans="1:25" ht="12.75">
      <c r="A247" s="62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</row>
    <row r="248" spans="1:25" ht="12.75">
      <c r="A248" s="62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</row>
    <row r="249" spans="1:25" ht="12.75">
      <c r="A249" s="62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</row>
    <row r="250" spans="1:25" ht="12.75">
      <c r="A250" s="62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</row>
    <row r="251" spans="1:25" ht="12.75">
      <c r="A251" s="62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</row>
    <row r="252" spans="1:25" ht="12.75">
      <c r="A252" s="62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</row>
    <row r="253" spans="1:25" ht="12.75">
      <c r="A253" s="62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</row>
    <row r="254" spans="1:25" ht="12.75">
      <c r="A254" s="62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</row>
    <row r="255" spans="1:25" ht="12.75">
      <c r="A255" s="62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</row>
    <row r="256" spans="1:25" ht="12.75">
      <c r="A256" s="62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</row>
    <row r="257" spans="1:25" ht="12.75">
      <c r="A257" s="62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</row>
    <row r="258" spans="1:25" ht="12.75">
      <c r="A258" s="62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</row>
    <row r="259" spans="1:25" ht="12.75">
      <c r="A259" s="62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</row>
    <row r="260" spans="1:25" ht="12.75">
      <c r="A260" s="62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</row>
    <row r="261" spans="1:25" ht="12.75">
      <c r="A261" s="62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</row>
    <row r="262" spans="1:25" ht="12.75">
      <c r="A262" s="62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</row>
    <row r="263" spans="1:25" ht="12.75">
      <c r="A263" s="62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</row>
    <row r="264" spans="1:25" ht="12.75">
      <c r="A264" s="62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</row>
    <row r="265" spans="1:25" ht="12.75">
      <c r="A265" s="62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</row>
    <row r="266" spans="1:25" ht="12.75">
      <c r="A266" s="62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</row>
    <row r="267" spans="1:25" ht="12.75">
      <c r="A267" s="62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</row>
    <row r="268" spans="1:25" ht="12.75">
      <c r="A268" s="62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</row>
    <row r="269" spans="1:25" ht="12.75">
      <c r="A269" s="62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</row>
    <row r="270" spans="1:25" ht="12.75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</row>
    <row r="271" spans="1:25" ht="12.75">
      <c r="A271" s="62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</row>
    <row r="272" spans="1:25" ht="12.75">
      <c r="A272" s="62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</row>
    <row r="273" spans="1:25" ht="12.75">
      <c r="A273" s="62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</row>
    <row r="274" spans="1:25" ht="12.75">
      <c r="A274" s="62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</row>
    <row r="275" spans="1:25" ht="12.75">
      <c r="A275" s="62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</row>
    <row r="276" spans="1:25" ht="12.75">
      <c r="A276" s="62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</row>
    <row r="277" spans="1:25" ht="12.75">
      <c r="A277" s="62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</row>
    <row r="278" spans="1:25" ht="12.75">
      <c r="A278" s="62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</row>
    <row r="279" spans="1:25" ht="12.75">
      <c r="A279" s="62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</row>
    <row r="280" spans="1:25" ht="12.75">
      <c r="A280" s="62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</row>
    <row r="281" spans="1:25" ht="12.75">
      <c r="A281" s="62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</row>
    <row r="282" spans="1:25" ht="12.75">
      <c r="A282" s="62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</row>
    <row r="283" spans="1:25" ht="12.75">
      <c r="A283" s="62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</row>
    <row r="284" spans="1:25" ht="12.75">
      <c r="A284" s="62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</row>
    <row r="285" spans="1:25" ht="12.75">
      <c r="A285" s="62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</row>
    <row r="286" spans="1:25" ht="12.75">
      <c r="A286" s="62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</row>
    <row r="287" spans="1:25" ht="12.75">
      <c r="A287" s="62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</row>
    <row r="288" spans="1:25" ht="12.75">
      <c r="A288" s="62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</row>
    <row r="289" spans="1:25" ht="12.75">
      <c r="A289" s="62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</row>
    <row r="290" spans="1:25" ht="12.75">
      <c r="A290" s="62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</row>
    <row r="291" spans="1:25" ht="12.75">
      <c r="A291" s="62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</row>
    <row r="292" spans="1:25" ht="12.75">
      <c r="A292" s="62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</row>
    <row r="293" spans="1:25" ht="12.75">
      <c r="A293" s="62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</row>
    <row r="294" spans="1:25" ht="12.75">
      <c r="A294" s="62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</row>
    <row r="295" spans="1:25" ht="12.75">
      <c r="A295" s="62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</row>
    <row r="296" spans="1:25" ht="12.75">
      <c r="A296" s="62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</row>
    <row r="297" spans="1:25" ht="12.75">
      <c r="A297" s="62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</row>
    <row r="298" spans="1:25" ht="12.75">
      <c r="A298" s="62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</row>
    <row r="299" spans="1:25" ht="12.75">
      <c r="A299" s="62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</row>
    <row r="300" spans="1:25" ht="12.75">
      <c r="A300" s="62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</row>
    <row r="301" spans="1:25" ht="12.75">
      <c r="A301" s="62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</row>
    <row r="302" spans="1:25" ht="12.75">
      <c r="A302" s="62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</row>
    <row r="303" spans="1:25" ht="12.75">
      <c r="A303" s="62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</row>
    <row r="304" spans="1:25" ht="12.75">
      <c r="A304" s="62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</row>
    <row r="305" spans="1:25" ht="12.75">
      <c r="A305" s="62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</row>
    <row r="306" spans="1:25" ht="12.75">
      <c r="A306" s="62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</row>
    <row r="307" spans="1:25" ht="12.75">
      <c r="A307" s="62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</row>
    <row r="308" spans="1:25" ht="12.75">
      <c r="A308" s="62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</row>
    <row r="309" spans="1:25" ht="12.75">
      <c r="A309" s="62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</row>
    <row r="310" spans="1:25" ht="12.75">
      <c r="A310" s="62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</row>
    <row r="311" spans="1:25" ht="12.75">
      <c r="A311" s="62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</row>
    <row r="312" spans="1:25" ht="12.75">
      <c r="A312" s="62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</row>
    <row r="313" spans="1:25" ht="12.75">
      <c r="A313" s="62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</row>
    <row r="314" spans="1:25" ht="12.75">
      <c r="A314" s="62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</row>
    <row r="315" spans="1:25" ht="12.75">
      <c r="A315" s="62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</row>
    <row r="316" spans="1:25" ht="12.75">
      <c r="A316" s="62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</row>
    <row r="317" spans="1:25" ht="12.75">
      <c r="A317" s="62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</row>
    <row r="318" spans="1:25" ht="12.75">
      <c r="A318" s="62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</row>
    <row r="319" spans="1:25" ht="12.75">
      <c r="A319" s="62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</row>
    <row r="320" spans="1:25" ht="12.75">
      <c r="A320" s="62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</row>
    <row r="321" spans="1:25" ht="12.75">
      <c r="A321" s="62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</row>
    <row r="322" spans="1:25" ht="12.75">
      <c r="A322" s="62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</row>
    <row r="323" spans="1:25" ht="12.75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</row>
    <row r="324" spans="1:25" ht="12.75">
      <c r="A324" s="62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</row>
    <row r="325" spans="1:25" ht="12.75">
      <c r="A325" s="62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</row>
    <row r="326" spans="1:25" ht="12.75">
      <c r="A326" s="62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</row>
    <row r="327" spans="1:25" ht="12.75">
      <c r="A327" s="62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</row>
    <row r="328" spans="1:25" ht="12.75">
      <c r="A328" s="62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</row>
    <row r="329" spans="1:25" ht="12.75">
      <c r="A329" s="62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</row>
    <row r="330" spans="1:25" ht="12.75">
      <c r="A330" s="62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</row>
    <row r="331" spans="1:25" ht="12.75">
      <c r="A331" s="62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</row>
    <row r="332" spans="1:25" ht="12.75">
      <c r="A332" s="62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</row>
    <row r="333" spans="1:25" ht="12.75">
      <c r="A333" s="62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</row>
    <row r="334" spans="1:25" ht="12.75">
      <c r="A334" s="62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</row>
    <row r="335" spans="1:25" ht="12.75">
      <c r="A335" s="62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</row>
    <row r="336" spans="1:25" ht="12.75">
      <c r="A336" s="62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</row>
    <row r="337" spans="1:25" ht="12.75">
      <c r="A337" s="62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</row>
    <row r="338" spans="1:25" ht="12.75">
      <c r="A338" s="62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</row>
    <row r="339" spans="1:25" ht="12.75">
      <c r="A339" s="62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</row>
    <row r="340" spans="1:25" ht="12.75">
      <c r="A340" s="62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</row>
    <row r="341" spans="1:25" ht="12.75">
      <c r="A341" s="62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</row>
    <row r="342" spans="1:25" ht="12.75">
      <c r="A342" s="62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</row>
    <row r="343" spans="1:25" ht="12.75">
      <c r="A343" s="62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</row>
    <row r="344" spans="1:25" ht="12.75">
      <c r="A344" s="62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</row>
    <row r="345" spans="1:25" ht="12.75">
      <c r="A345" s="62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</row>
    <row r="346" spans="1:25" ht="12.75">
      <c r="A346" s="62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</row>
    <row r="347" spans="1:25" ht="12.75">
      <c r="A347" s="62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</row>
    <row r="348" spans="1:25" ht="12.75">
      <c r="A348" s="62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</row>
    <row r="349" spans="1:25" ht="12.75">
      <c r="A349" s="62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</row>
    <row r="350" spans="1:25" ht="12.75">
      <c r="A350" s="62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</row>
    <row r="351" spans="1:25" ht="12.75">
      <c r="A351" s="62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</row>
    <row r="352" spans="1:25" ht="12.75">
      <c r="A352" s="62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</row>
    <row r="353" spans="1:25" ht="12.75">
      <c r="A353" s="62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</row>
    <row r="354" spans="1:25" ht="12.75">
      <c r="A354" s="62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</row>
    <row r="355" spans="1:25" ht="12.75">
      <c r="A355" s="62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</row>
    <row r="356" spans="1:25" ht="12.75">
      <c r="A356" s="62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</row>
    <row r="357" spans="1:25" ht="12.75">
      <c r="A357" s="62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</row>
    <row r="358" spans="1:25" ht="12.75">
      <c r="A358" s="62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</row>
    <row r="359" spans="1:25" ht="12.75">
      <c r="A359" s="62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</row>
    <row r="360" spans="1:25" ht="12.75">
      <c r="A360" s="62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</row>
    <row r="361" spans="1:25" ht="12.75">
      <c r="A361" s="62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</row>
    <row r="362" spans="1:25" ht="12.75">
      <c r="A362" s="62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</row>
    <row r="363" spans="1:25" ht="12.75">
      <c r="A363" s="62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</row>
    <row r="364" spans="1:25" ht="12.75">
      <c r="A364" s="62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</row>
    <row r="365" spans="1:25" ht="12.75">
      <c r="A365" s="62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</row>
    <row r="366" spans="1:25" ht="12.75">
      <c r="A366" s="62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</row>
    <row r="367" spans="1:25" ht="12.75">
      <c r="A367" s="62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</row>
    <row r="368" spans="1:25" ht="12.75">
      <c r="A368" s="62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</row>
    <row r="369" spans="1:25" ht="12.75">
      <c r="A369" s="62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</row>
    <row r="370" spans="1:25" ht="12.75">
      <c r="A370" s="62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</row>
    <row r="371" spans="1:25" ht="12.75">
      <c r="A371" s="62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</row>
    <row r="372" spans="1:25" ht="12.75">
      <c r="A372" s="62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</row>
    <row r="373" spans="1:25" ht="12.75">
      <c r="A373" s="62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</row>
    <row r="374" spans="1:25" ht="12.75">
      <c r="A374" s="62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</row>
    <row r="375" spans="1:25" ht="12.75">
      <c r="A375" s="62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</row>
    <row r="376" spans="1:25" ht="12.75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</row>
    <row r="377" spans="1:25" ht="12.75">
      <c r="A377" s="62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</row>
    <row r="378" spans="1:25" ht="12.75">
      <c r="A378" s="62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</row>
    <row r="379" spans="1:25" ht="12.75">
      <c r="A379" s="62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</row>
    <row r="380" spans="1:25" ht="12.75">
      <c r="A380" s="62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</row>
    <row r="381" spans="1:25" ht="12.75">
      <c r="A381" s="62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</row>
    <row r="382" spans="1:25" ht="12.75">
      <c r="A382" s="62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</row>
    <row r="383" spans="1:25" ht="12.75">
      <c r="A383" s="62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</row>
    <row r="384" spans="1:25" ht="12.75">
      <c r="A384" s="62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</row>
    <row r="385" spans="1:25" ht="12.75">
      <c r="A385" s="62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</row>
    <row r="386" spans="1:25" ht="12.75">
      <c r="A386" s="62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</row>
    <row r="387" spans="1:25" ht="12.75">
      <c r="A387" s="62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</row>
    <row r="388" spans="1:25" ht="12.75">
      <c r="A388" s="62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</row>
    <row r="389" spans="1:25" ht="12.75">
      <c r="A389" s="62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</row>
    <row r="390" spans="1:25" ht="12.75">
      <c r="A390" s="62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</row>
    <row r="391" spans="1:25" ht="12.75">
      <c r="A391" s="62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</row>
    <row r="392" spans="1:25" ht="12.75">
      <c r="A392" s="62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</row>
    <row r="393" spans="1:25" ht="12.75">
      <c r="A393" s="62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</row>
    <row r="394" spans="1:25" ht="12.75">
      <c r="A394" s="62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</row>
    <row r="395" spans="1:25" ht="12.75">
      <c r="A395" s="62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</row>
    <row r="396" spans="1:25" ht="12.75">
      <c r="A396" s="62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</row>
    <row r="397" spans="1:25" ht="12.75">
      <c r="A397" s="62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</row>
    <row r="398" spans="1:25" ht="12.75">
      <c r="A398" s="62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</row>
    <row r="399" spans="1:25" ht="12.75">
      <c r="A399" s="62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</row>
    <row r="400" spans="1:25" ht="12.75">
      <c r="A400" s="62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</row>
    <row r="401" spans="1:25" ht="12.75">
      <c r="A401" s="62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</row>
    <row r="402" spans="1:25" ht="12.75">
      <c r="A402" s="62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</row>
    <row r="403" spans="1:25" ht="12.75">
      <c r="A403" s="62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</row>
    <row r="404" spans="1:25" ht="12.75">
      <c r="A404" s="62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</row>
    <row r="405" spans="1:25" ht="12.75">
      <c r="A405" s="62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</row>
    <row r="406" spans="1:25" ht="12.75">
      <c r="A406" s="62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</row>
    <row r="407" spans="1:25" ht="12.75">
      <c r="A407" s="62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</row>
    <row r="408" spans="1:25" ht="12.75">
      <c r="A408" s="62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</row>
    <row r="409" spans="1:25" ht="12.75">
      <c r="A409" s="62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</row>
    <row r="410" spans="1:25" ht="12.75">
      <c r="A410" s="62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</row>
    <row r="411" spans="1:25" ht="12.75">
      <c r="A411" s="62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</row>
    <row r="412" spans="1:25" ht="12.75">
      <c r="A412" s="62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</row>
    <row r="413" spans="1:25" ht="12.75">
      <c r="A413" s="62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</row>
    <row r="414" spans="1:25" ht="12.75">
      <c r="A414" s="62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</row>
    <row r="415" spans="1:25" ht="12.75">
      <c r="A415" s="62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</row>
    <row r="416" spans="1:25" ht="12.75">
      <c r="A416" s="62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</row>
    <row r="417" spans="1:25" ht="12.75">
      <c r="A417" s="62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</row>
    <row r="418" spans="1:25" ht="12.75">
      <c r="A418" s="62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</row>
    <row r="419" spans="1:25" ht="12.75">
      <c r="A419" s="62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</row>
    <row r="420" spans="1:25" ht="12.75">
      <c r="A420" s="62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</row>
    <row r="421" spans="1:25" ht="12.75">
      <c r="A421" s="62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</row>
    <row r="422" spans="1:25" ht="12.75">
      <c r="A422" s="62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</row>
    <row r="423" spans="1:25" ht="12.75">
      <c r="A423" s="62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</row>
    <row r="424" spans="1:25" ht="12.75">
      <c r="A424" s="62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</row>
    <row r="425" spans="1:25" ht="12.75">
      <c r="A425" s="62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</row>
    <row r="426" spans="1:25" ht="12.75">
      <c r="A426" s="62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</row>
    <row r="427" spans="1:25" ht="12.75">
      <c r="A427" s="62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</row>
    <row r="428" spans="1:25" ht="12.75">
      <c r="A428" s="62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</row>
    <row r="429" spans="1:25" ht="12.75">
      <c r="A429" s="62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</row>
    <row r="430" spans="1:25" ht="12.75">
      <c r="A430" s="62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</row>
    <row r="431" spans="1:25" ht="12.75">
      <c r="A431" s="62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</row>
    <row r="432" spans="1:25" ht="12.75">
      <c r="A432" s="62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</row>
    <row r="433" spans="1:25" ht="12.75">
      <c r="A433" s="62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</row>
    <row r="434" spans="1:25" ht="12.75">
      <c r="A434" s="62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</row>
    <row r="435" spans="1:25" ht="12.75">
      <c r="A435" s="62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</row>
    <row r="436" spans="1:25" ht="12.75">
      <c r="A436" s="62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</row>
    <row r="437" spans="1:25" ht="12.75">
      <c r="A437" s="62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</row>
    <row r="438" spans="1:25" ht="12.75">
      <c r="A438" s="62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</row>
    <row r="439" spans="1:25" ht="12.75">
      <c r="A439" s="62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</row>
    <row r="440" spans="1:25" ht="12.75">
      <c r="A440" s="62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</row>
    <row r="441" spans="1:25" ht="12.75">
      <c r="A441" s="62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</row>
    <row r="442" spans="1:25" ht="12.75">
      <c r="A442" s="62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</row>
    <row r="443" spans="1:25" ht="12.75">
      <c r="A443" s="62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</row>
    <row r="444" spans="1:25" ht="12.75">
      <c r="A444" s="62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</row>
    <row r="445" spans="1:25" ht="12.75">
      <c r="A445" s="62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</row>
    <row r="446" spans="1:25" ht="12.75">
      <c r="A446" s="62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</row>
    <row r="447" spans="1:25" ht="12.75">
      <c r="A447" s="62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</row>
    <row r="448" spans="1:25" ht="12.75">
      <c r="A448" s="62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</row>
    <row r="449" spans="1:25" ht="12.75">
      <c r="A449" s="62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</row>
    <row r="450" spans="1:25" ht="12.75">
      <c r="A450" s="62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</row>
    <row r="451" spans="1:25" ht="12.75">
      <c r="A451" s="62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</row>
    <row r="452" spans="1:25" ht="12.75">
      <c r="A452" s="62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</row>
    <row r="453" spans="1:25" ht="12.75">
      <c r="A453" s="62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</row>
    <row r="454" spans="1:25" ht="12.75">
      <c r="A454" s="62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</row>
    <row r="455" spans="1:25" ht="12.75">
      <c r="A455" s="62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</row>
    <row r="456" spans="1:25" ht="12.75">
      <c r="A456" s="62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</row>
    <row r="457" spans="1:25" ht="12.75">
      <c r="A457" s="62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</row>
    <row r="458" spans="1:25" ht="12.75">
      <c r="A458" s="62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</row>
    <row r="459" spans="1:25" ht="12.75">
      <c r="A459" s="62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</row>
    <row r="460" spans="1:25" ht="12.75">
      <c r="A460" s="62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</row>
    <row r="461" spans="1:25" ht="12.75">
      <c r="A461" s="62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</row>
    <row r="462" spans="1:25" ht="12.75">
      <c r="A462" s="62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</row>
    <row r="463" spans="1:25" ht="12.75">
      <c r="A463" s="62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</row>
    <row r="464" spans="1:25" ht="12.75">
      <c r="A464" s="62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</row>
    <row r="465" spans="1:25" ht="12.75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</row>
    <row r="466" spans="1:25" ht="12.75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</row>
    <row r="467" spans="1:25" ht="12.75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</row>
    <row r="468" spans="1:25" ht="12.75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</row>
    <row r="469" spans="1:25" ht="12.75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</row>
    <row r="470" spans="1:25" ht="12.75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</row>
    <row r="471" spans="1:25" ht="12.75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</row>
    <row r="472" spans="1:25" ht="12.75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</row>
    <row r="473" spans="1:25" ht="12.75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</row>
    <row r="474" spans="1:25" ht="12.75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</row>
    <row r="475" spans="1:25" ht="12.75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</row>
    <row r="476" spans="1:25" ht="12.75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</row>
    <row r="477" spans="1:25" ht="12.75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</row>
    <row r="478" spans="1:25" ht="12.75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</row>
    <row r="479" spans="1:25" ht="12.75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</row>
    <row r="480" spans="1:25" ht="12.75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</row>
    <row r="481" spans="1:25" ht="12.75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</row>
    <row r="482" spans="1:25" ht="12.75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</row>
    <row r="483" spans="1:25" ht="12.75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</row>
    <row r="484" spans="1:25" ht="12.75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</row>
    <row r="485" spans="1:25" ht="12.75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</row>
    <row r="486" spans="1:25" ht="12.75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</row>
    <row r="487" spans="1:25" ht="12.75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</row>
    <row r="488" spans="1:25" ht="12.75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</row>
    <row r="489" spans="1:25" ht="12.75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</row>
    <row r="490" spans="1:25" ht="12.75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</row>
    <row r="491" spans="1:25" ht="12.75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</row>
    <row r="492" spans="1:25" ht="12.75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</row>
    <row r="493" spans="1:25" ht="12.75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</row>
    <row r="494" spans="1:25" ht="12.75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</row>
    <row r="495" spans="1:25" ht="12.75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</row>
    <row r="496" spans="1:25" ht="12.75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</row>
    <row r="497" spans="1:25" ht="12.75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</row>
    <row r="498" spans="1:25" ht="12.75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</row>
    <row r="499" spans="1:25" ht="12.75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</row>
    <row r="500" spans="1:25" ht="12.75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</row>
    <row r="501" spans="1:25" ht="12.75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</row>
    <row r="502" spans="1:25" ht="12.75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</row>
    <row r="503" spans="1:25" ht="12.75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</row>
    <row r="504" spans="1:25" ht="12.75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</row>
    <row r="505" spans="1:25" ht="12.75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</row>
    <row r="506" spans="1:25" ht="12.75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</row>
    <row r="507" spans="1:25" ht="12.75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</row>
    <row r="508" spans="1:25" ht="12.75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</row>
    <row r="509" spans="1:25" ht="12.75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</row>
    <row r="510" spans="1:25" ht="12.75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</row>
    <row r="511" spans="1:25" ht="12.75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</row>
    <row r="512" spans="1:25" ht="12.75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</row>
    <row r="513" spans="1:25" ht="12.75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</row>
    <row r="514" spans="1:25" ht="12.75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</row>
    <row r="515" spans="1:25" ht="12.75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</row>
    <row r="516" spans="1:25" ht="12.75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</row>
    <row r="517" spans="1:25" ht="12.75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</row>
    <row r="518" spans="1:25" ht="12.75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</row>
    <row r="519" spans="1:25" ht="12.75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</row>
    <row r="520" spans="1:25" ht="12.75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</row>
    <row r="521" spans="1:25" ht="12.75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</row>
    <row r="522" spans="1:25" ht="12.75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</row>
    <row r="523" spans="1:25" ht="12.75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</row>
    <row r="524" spans="1:25" ht="12.75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</row>
    <row r="525" spans="1:25" ht="12.75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</row>
    <row r="526" spans="1:25" ht="12.75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</row>
    <row r="527" spans="1:25" ht="12.75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</row>
    <row r="528" spans="1:25" ht="12.75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</row>
    <row r="529" spans="1:25" ht="12.75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</row>
    <row r="530" spans="1:25" ht="12.75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</row>
    <row r="531" spans="1:25" ht="12.75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</row>
    <row r="532" spans="1:25" ht="12.75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</row>
    <row r="533" spans="1:25" ht="12.75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</row>
    <row r="534" spans="1:25" ht="12.75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</row>
    <row r="535" spans="1:25" ht="12.75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</row>
    <row r="536" spans="1:25" ht="12.75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</row>
    <row r="537" spans="1:25" ht="12.75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</row>
    <row r="538" spans="1:25" ht="12.75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</row>
    <row r="539" spans="1:25" ht="12.75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</row>
    <row r="540" spans="1:25" ht="12.75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</row>
    <row r="541" spans="1:25" ht="12.75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</row>
    <row r="542" spans="1:25" ht="12.75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</row>
    <row r="543" spans="1:25" ht="12.75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</row>
    <row r="544" spans="1:25" ht="12.75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</row>
    <row r="545" spans="1:25" ht="12.75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</row>
    <row r="546" spans="1:25" ht="12.75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</row>
    <row r="547" spans="1:25" ht="12.75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</row>
    <row r="548" spans="1:25" ht="12.75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</row>
    <row r="549" spans="1:25" ht="12.75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</row>
    <row r="550" spans="1:25" ht="12.75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</row>
    <row r="551" spans="1:25" ht="12.75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</row>
    <row r="552" spans="1:25" ht="12.75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</row>
    <row r="553" spans="1:25" ht="12.75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</row>
    <row r="554" spans="1:25" ht="12.75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</row>
    <row r="555" spans="1:25" ht="12.75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</row>
    <row r="556" spans="1:25" ht="12.75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</row>
    <row r="557" spans="1:25" ht="12.75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</row>
    <row r="558" spans="1:25" ht="12.75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</row>
    <row r="559" spans="1:25" ht="12.75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</row>
    <row r="560" spans="1:25" ht="12.75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</row>
    <row r="561" spans="1:25" ht="12.75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</row>
    <row r="562" spans="1:25" ht="12.75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</row>
    <row r="563" spans="1:25" ht="12.75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</row>
    <row r="564" spans="1:25" ht="12.75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</row>
    <row r="565" spans="1:25" ht="12.75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</row>
    <row r="566" spans="1:25" ht="12.75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</row>
    <row r="567" spans="1:25" ht="12.75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</row>
    <row r="568" spans="1:25" ht="12.75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</row>
    <row r="569" spans="1:25" ht="12.75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</row>
    <row r="570" spans="1:25" ht="12.75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</row>
    <row r="571" spans="1:25" ht="12.75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</row>
    <row r="572" spans="1:25" ht="12.75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</row>
    <row r="573" spans="1:25" ht="12.75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</row>
    <row r="574" spans="1:25" ht="12.75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</row>
    <row r="575" spans="1:25" ht="12.75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</row>
    <row r="576" spans="1:25" ht="12.75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</row>
    <row r="577" spans="1:25" ht="12.75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</row>
    <row r="578" spans="1:25" ht="12.75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</row>
    <row r="579" spans="1:25" ht="12.75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</row>
    <row r="580" spans="1:25" ht="12.75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</row>
    <row r="581" spans="1:25" ht="12.75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</row>
    <row r="582" spans="1:25" ht="12.75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</row>
    <row r="583" spans="1:25" ht="12.75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</row>
    <row r="584" spans="1:25" ht="12.75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</row>
    <row r="585" spans="1:25" ht="12.75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</row>
    <row r="586" spans="1:25" ht="12.75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</row>
    <row r="587" spans="1:25" ht="12.75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</row>
    <row r="588" spans="1:25" ht="12.75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</row>
    <row r="589" spans="1:25" ht="12.75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</row>
    <row r="590" spans="1:25" ht="12.75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</row>
    <row r="591" spans="1:25" ht="12.75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</row>
    <row r="592" spans="1:25" ht="12.75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</row>
    <row r="593" spans="1:25" ht="12.75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</row>
    <row r="594" spans="1:25" ht="12.75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</row>
    <row r="595" spans="1:25" ht="12.75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</row>
    <row r="596" spans="1:25" ht="12.75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</row>
    <row r="597" spans="1:25" ht="12.75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</row>
    <row r="598" spans="1:25" ht="12.75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</row>
    <row r="599" spans="1:25" ht="12.75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</row>
    <row r="600" spans="1:25" ht="12.75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</row>
    <row r="601" spans="1:25" ht="12.75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</row>
    <row r="602" spans="1:25" ht="12.75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</row>
    <row r="603" spans="1:25" ht="12.75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</row>
    <row r="604" spans="1:25" ht="12.75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</row>
    <row r="605" spans="1:25" ht="12.75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</row>
    <row r="606" spans="1:25" ht="12.75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</row>
    <row r="607" spans="1:25" ht="12.75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</row>
    <row r="608" spans="1:25" ht="12.75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</row>
    <row r="609" spans="1:25" ht="12.75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</row>
    <row r="610" spans="1:25" ht="12.75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</row>
    <row r="611" spans="1:25" ht="12.75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</row>
    <row r="612" spans="1:25" ht="12.75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</row>
    <row r="613" spans="1:25" ht="12.75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</row>
    <row r="614" spans="1:25" ht="12.75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</row>
    <row r="615" spans="1:25" ht="12.75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</row>
    <row r="616" spans="1:25" ht="12.75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</row>
    <row r="617" spans="1:25" ht="12.75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</row>
    <row r="618" spans="1:25" ht="12.75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</row>
    <row r="619" spans="1:25" ht="12.75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</row>
    <row r="620" spans="1:25" ht="12.75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</row>
    <row r="621" spans="1:25" ht="12.75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</row>
    <row r="622" spans="1:25" ht="12.75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</row>
    <row r="623" spans="1:25" ht="12.75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</row>
    <row r="624" spans="1:25" ht="12.75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</row>
    <row r="625" spans="1:25" ht="12.75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</row>
    <row r="626" spans="1:25" ht="12.75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</row>
    <row r="627" spans="1:25" ht="12.75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</row>
    <row r="628" spans="1:25" ht="12.75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</row>
    <row r="629" spans="1:25" ht="12.75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</row>
    <row r="630" spans="1:25" ht="12.75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</row>
    <row r="631" spans="1:25" ht="12.75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</row>
    <row r="632" spans="1:25" ht="12.75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</row>
    <row r="633" spans="1:25" ht="12.75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</row>
    <row r="634" spans="1:25" ht="12.75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</row>
    <row r="635" spans="1:25" ht="12.75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</row>
    <row r="636" spans="1:25" ht="12.75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</row>
    <row r="637" spans="1:25" ht="12.75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</row>
    <row r="638" spans="1:25" ht="12.75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</row>
    <row r="639" spans="1:25" ht="12.75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</row>
    <row r="640" spans="1:25" ht="12.75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</row>
    <row r="641" spans="1:25" ht="12.75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</row>
    <row r="642" spans="1:25" ht="12.75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</row>
    <row r="643" spans="1:25" ht="12.75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</row>
    <row r="644" spans="1:25" ht="12.75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</row>
    <row r="645" spans="1:25" ht="12.75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</row>
    <row r="646" spans="1:25" ht="12.75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</row>
    <row r="647" spans="1:25" ht="12.75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</row>
    <row r="648" spans="1:25" ht="12.75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</row>
    <row r="649" spans="1:25" ht="12.75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</row>
    <row r="650" spans="1:25" ht="12.75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</row>
    <row r="651" spans="1:25" ht="12.75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</row>
    <row r="652" spans="1:25" ht="12.75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</row>
    <row r="653" spans="1:25" ht="12.75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</row>
    <row r="654" spans="1:25" ht="12.75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</row>
    <row r="655" spans="1:25" ht="12.75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</row>
    <row r="656" spans="1:25" ht="12.75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</row>
    <row r="657" spans="1:25" ht="12.75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</row>
    <row r="658" spans="1:25" ht="12.75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</row>
    <row r="659" spans="1:25" ht="12.75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</row>
    <row r="660" spans="1:25" ht="12.75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</row>
    <row r="661" spans="1:25" ht="12.75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</row>
    <row r="662" spans="1:25" ht="12.75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</row>
    <row r="663" spans="1:25" ht="12.75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</row>
    <row r="664" spans="1:25" ht="12.75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</row>
    <row r="665" spans="1:25" ht="12.75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</row>
    <row r="666" spans="1:25" ht="12.75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</row>
    <row r="667" spans="1:25" ht="12.75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</row>
    <row r="668" spans="1:25" ht="12.75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</row>
    <row r="669" spans="1:25" ht="12.75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</row>
    <row r="670" spans="1:25" ht="12.75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</row>
    <row r="671" spans="1:25" ht="12.75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</row>
    <row r="672" spans="1:25" ht="12.75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</row>
    <row r="673" spans="1:25" ht="12.75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</row>
    <row r="674" spans="1:25" ht="12.75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</row>
    <row r="675" spans="1:25" ht="12.75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</row>
    <row r="676" spans="1:25" ht="12.75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</row>
    <row r="677" spans="1:25" ht="12.75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</row>
    <row r="678" spans="1:25" ht="12.75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</row>
    <row r="679" spans="1:25" ht="12.75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</row>
    <row r="680" spans="1:25" ht="12.75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</row>
    <row r="681" spans="1:25" ht="12.75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</row>
    <row r="682" spans="1:25" ht="12.75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</row>
    <row r="683" spans="1:25" ht="12.75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</row>
    <row r="684" spans="1:25" ht="12.75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</row>
    <row r="685" spans="1:25" ht="12.75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</row>
    <row r="686" spans="1:25" ht="12.75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</row>
    <row r="687" spans="1:25" ht="12.75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</row>
    <row r="688" spans="1:25" ht="12.75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</row>
    <row r="689" spans="1:25" ht="12.75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</row>
    <row r="690" spans="1:25" ht="12.75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</row>
    <row r="691" spans="1:25" ht="12.75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</row>
    <row r="692" spans="1:25" ht="12.75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</row>
    <row r="693" spans="1:25" ht="12.75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</row>
    <row r="694" spans="1:25" ht="12.75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</row>
    <row r="695" spans="1:25" ht="12.75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</row>
    <row r="696" spans="1:25" ht="12.75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</row>
    <row r="697" spans="1:25" ht="12.75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</row>
    <row r="698" spans="1:25" ht="12.75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</row>
    <row r="699" spans="1:25" ht="12.75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</row>
    <row r="700" spans="1:25" ht="12.75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</row>
    <row r="701" spans="1:25" ht="12.75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</row>
    <row r="702" spans="1:25" ht="12.75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</row>
    <row r="703" spans="1:25" ht="12.75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</row>
    <row r="704" spans="1:25" ht="12.75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</row>
    <row r="705" spans="1:25" ht="12.75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</row>
    <row r="706" spans="1:25" ht="12.75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</row>
    <row r="707" spans="1:25" ht="12.75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</row>
    <row r="708" spans="1:25" ht="12.75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</row>
    <row r="709" spans="1:25" ht="12.75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</row>
    <row r="710" spans="1:25" ht="12.75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</row>
    <row r="711" spans="1:25" ht="12.75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</row>
    <row r="712" spans="1:25" ht="12.75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</row>
    <row r="713" spans="1:25" ht="12.75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</row>
    <row r="714" spans="1:25" ht="12.75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</row>
    <row r="715" spans="1:25" ht="12.75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</row>
    <row r="716" spans="1:25" ht="12.75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</row>
    <row r="717" spans="1:25" ht="12.75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</row>
    <row r="718" spans="1:25" ht="12.75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</row>
    <row r="719" spans="1:25" ht="12.75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</row>
    <row r="720" spans="1:25" ht="12.75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</row>
    <row r="721" spans="1:25" ht="12.75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</row>
    <row r="722" spans="1:25" ht="12.75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</row>
    <row r="723" spans="1:25" ht="12.75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</row>
    <row r="724" spans="1:25" ht="12.75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</row>
    <row r="725" spans="1:25" ht="12.75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</row>
    <row r="726" spans="1:25" ht="12.75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</row>
    <row r="727" spans="1:25" ht="12.75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</row>
    <row r="728" spans="1:25" ht="12.75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</row>
    <row r="729" spans="1:25" ht="12.75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</row>
    <row r="730" spans="1:25" ht="12.75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</row>
    <row r="731" spans="1:25" ht="12.75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</row>
    <row r="732" spans="1:25" ht="12.75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</row>
    <row r="733" spans="1:25" ht="12.75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</row>
    <row r="734" spans="1:25" ht="12.75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</row>
    <row r="735" spans="1:25" ht="12.75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</row>
    <row r="736" spans="1:25" ht="12.75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</row>
    <row r="737" spans="1:25" ht="12.75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</row>
    <row r="738" spans="1:25" ht="12.75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</row>
    <row r="739" spans="1:25" ht="12.75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</row>
    <row r="740" spans="1:25" ht="12.75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</row>
    <row r="741" spans="1:25" ht="12.75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</row>
    <row r="742" spans="1:25" ht="12.75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</row>
    <row r="743" spans="1:25" ht="12.75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</row>
    <row r="744" spans="1:25" ht="12.75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</row>
    <row r="745" spans="1:25" ht="12.75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</row>
    <row r="746" spans="1:25" ht="12.75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</row>
    <row r="747" spans="1:25" ht="12.75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</row>
    <row r="748" spans="1:25" ht="12.75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</row>
    <row r="749" spans="1:25" ht="12.75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</row>
    <row r="750" spans="1:25" ht="12.75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</row>
    <row r="751" spans="1:25" ht="12.75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</row>
    <row r="752" spans="1:25" ht="12.75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</row>
    <row r="753" spans="1:25" ht="12.75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</row>
    <row r="754" spans="1:25" ht="12.75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</row>
    <row r="755" spans="1:25" ht="12.75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</row>
    <row r="756" spans="1:25" ht="12.75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</row>
    <row r="757" spans="1:25" ht="12.75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</row>
    <row r="758" spans="1:25" ht="12.75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</row>
    <row r="759" spans="1:25" ht="12.75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</row>
    <row r="760" spans="1:25" ht="12.75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</row>
    <row r="761" spans="1:25" ht="12.75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</row>
    <row r="762" spans="1:25" ht="12.75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</row>
    <row r="763" spans="1:25" ht="12.75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</row>
    <row r="764" spans="1:25" ht="12.75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</row>
    <row r="765" spans="1:25" ht="12.75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</row>
    <row r="766" spans="1:25" ht="12.75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</row>
    <row r="767" spans="1:25" ht="12.75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</row>
    <row r="768" spans="1:25" ht="12.75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</row>
    <row r="769" spans="1:25" ht="12.75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</row>
    <row r="770" spans="1:25" ht="12.75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</row>
    <row r="771" spans="1:25" ht="12.75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</row>
    <row r="772" spans="1:25" ht="12.75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</row>
    <row r="773" spans="1:25" ht="12.75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</row>
    <row r="774" spans="1:25" ht="12.75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</row>
    <row r="775" spans="1:25" ht="12.75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</row>
    <row r="776" spans="1:25" ht="12.75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</row>
    <row r="777" spans="1:25" ht="12.75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</row>
    <row r="778" spans="1:25" ht="12.75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</row>
    <row r="779" spans="1:25" ht="12.75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</row>
    <row r="780" spans="1:25" ht="12.75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</row>
    <row r="781" spans="1:25" ht="12.75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</row>
    <row r="782" spans="1:25" ht="12.75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</row>
    <row r="783" spans="1:25" ht="12.75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</row>
    <row r="784" spans="1:25" ht="12.75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</row>
    <row r="785" spans="1:25" ht="12.75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</row>
    <row r="786" spans="1:25" ht="12.75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</row>
    <row r="787" spans="1:25" ht="12.75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</row>
    <row r="788" spans="1:25" ht="12.75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</row>
    <row r="789" spans="1:25" ht="12.75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</row>
    <row r="790" spans="1:25" ht="12.75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</row>
    <row r="791" spans="1:25" ht="12.75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</row>
    <row r="792" spans="1:25" ht="12.75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</row>
    <row r="793" spans="1:25" ht="12.75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</row>
    <row r="794" spans="1:25" ht="12.75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</row>
    <row r="795" spans="1:25" ht="12.75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</row>
    <row r="796" spans="1:25" ht="12.75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</row>
    <row r="797" spans="1:25" ht="12.75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</row>
    <row r="798" spans="1:25" ht="12.75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</row>
    <row r="799" spans="1:25" ht="12.75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</row>
    <row r="800" spans="1:25" ht="12.75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</row>
    <row r="801" spans="1:25" ht="12.75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</row>
    <row r="802" spans="1:25" ht="12.75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</row>
    <row r="803" spans="1:25" ht="12.75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</row>
    <row r="804" spans="1:25" ht="12.75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</row>
    <row r="805" spans="1:25" ht="12.75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</row>
    <row r="806" spans="1:25" ht="12.75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</row>
    <row r="807" spans="1:25" ht="12.75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</row>
    <row r="808" spans="1:25" ht="12.75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</row>
    <row r="809" spans="1:25" ht="12.75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</row>
    <row r="810" spans="1:25" ht="12.75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</row>
    <row r="811" spans="1:25" ht="12.75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</row>
    <row r="812" spans="1:25" ht="12.75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</row>
    <row r="813" spans="1:25" ht="12.75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</row>
    <row r="814" spans="1:25" ht="12.75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</row>
    <row r="815" spans="1:25" ht="12.75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</row>
    <row r="816" spans="1:25" ht="12.75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</row>
    <row r="817" spans="1:25" ht="12.75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</row>
    <row r="818" spans="1:25" ht="12.75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</row>
    <row r="819" spans="1:25" ht="12.75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</row>
    <row r="820" spans="1:25" ht="12.75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</row>
    <row r="821" spans="1:25" ht="12.75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</row>
    <row r="822" spans="1:25" ht="12.75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</row>
    <row r="823" spans="1:25" ht="12.75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</row>
    <row r="824" spans="1:25" ht="12.75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</row>
    <row r="825" spans="1:25" ht="12.75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</row>
    <row r="826" spans="1:25" ht="12.75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</row>
    <row r="827" spans="1:25" ht="12.75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</row>
    <row r="828" spans="1:25" ht="12.75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</row>
    <row r="829" spans="1:25" ht="12.75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</row>
    <row r="830" spans="1:25" ht="12.75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</row>
    <row r="831" spans="1:25" ht="12.75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</row>
    <row r="832" spans="1:25" ht="12.75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</row>
    <row r="833" spans="1:25" ht="12.75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</row>
    <row r="834" spans="1:25" ht="12.75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</row>
    <row r="835" spans="1:25" ht="12.75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</row>
    <row r="836" spans="1:25" ht="12.75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</row>
    <row r="837" spans="1:25" ht="12.75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</row>
    <row r="838" spans="1:25" ht="12.75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</row>
    <row r="839" spans="1:25" ht="12.75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</row>
    <row r="840" spans="1:25" ht="12.75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</row>
    <row r="841" spans="1:25" ht="12.75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</row>
    <row r="842" spans="1:25" ht="12.75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</row>
    <row r="843" spans="1:25" ht="12.75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</row>
    <row r="844" spans="1:25" ht="12.75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</row>
    <row r="845" spans="1:25" ht="12.75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</row>
    <row r="846" spans="1:25" ht="12.75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</row>
    <row r="847" spans="1:25" ht="12.75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</row>
    <row r="848" spans="1:25" ht="12.75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</row>
    <row r="849" spans="1:25" ht="12.75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</row>
    <row r="850" spans="1:25" ht="12.75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</row>
    <row r="851" spans="1:25" ht="12.75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</row>
    <row r="852" spans="1:25" ht="12.75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</row>
    <row r="853" spans="1:25" ht="12.75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</row>
    <row r="854" spans="1:25" ht="12.75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</row>
    <row r="855" spans="1:25" ht="12.75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</row>
    <row r="856" spans="1:25" ht="12.75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</row>
    <row r="857" spans="1:25" ht="12.75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</row>
    <row r="858" spans="1:25" ht="12.75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</row>
    <row r="859" spans="1:25" ht="12.75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</row>
    <row r="860" spans="1:25" ht="12.75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</row>
    <row r="861" spans="1:25" ht="12.75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</row>
    <row r="862" spans="1:25" ht="12.75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</row>
    <row r="863" spans="1:25" ht="12.75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</row>
    <row r="864" spans="1:25" ht="12.75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</row>
    <row r="865" spans="1:25" ht="12.75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</row>
    <row r="866" spans="1:25" ht="12.75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</row>
    <row r="867" spans="1:25" ht="12.75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</row>
    <row r="868" spans="1:25" ht="12.75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</row>
    <row r="869" spans="1:25" ht="12.75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</row>
    <row r="870" spans="1:25" ht="12.75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</row>
    <row r="871" spans="1:25" ht="12.75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</row>
    <row r="872" spans="1:25" ht="12.75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</row>
    <row r="873" spans="1:25" ht="12.75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</row>
    <row r="874" spans="1:25" ht="12.75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</row>
    <row r="875" spans="1:25" ht="12.75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</row>
    <row r="876" spans="1:25" ht="12.75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</row>
    <row r="877" spans="1:25" ht="12.75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</row>
    <row r="878" spans="1:25" ht="12.75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</row>
    <row r="879" spans="1:25" ht="12.75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</row>
    <row r="880" spans="1:25" ht="12.75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</row>
    <row r="881" spans="1:25" ht="12.75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</row>
    <row r="882" spans="1:25" ht="12.75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</row>
    <row r="883" spans="1:25" ht="12.75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</row>
    <row r="884" spans="1:25" ht="12.75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</row>
    <row r="885" spans="1:25" ht="12.75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</row>
    <row r="886" spans="1:25" ht="12.75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</row>
    <row r="887" spans="1:25" ht="12.75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</row>
    <row r="888" spans="1:25" ht="12.75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</row>
    <row r="889" spans="1:25" ht="12.75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</row>
    <row r="890" spans="1:25" ht="12.75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</row>
    <row r="891" spans="1:25" ht="12.75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</row>
    <row r="892" spans="1:25" ht="12.75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</row>
    <row r="893" spans="1:25" ht="12.75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</row>
    <row r="894" spans="1:25" ht="12.75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</row>
    <row r="895" spans="1:25" ht="12.75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</row>
    <row r="896" spans="1:25" ht="12.75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</row>
    <row r="897" spans="1:25" ht="12.75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</row>
    <row r="898" spans="1:25" ht="12.75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</row>
    <row r="899" spans="1:25" ht="12.75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</row>
    <row r="900" spans="1:25" ht="12.75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</row>
    <row r="901" spans="1:25" ht="12.75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</row>
    <row r="902" spans="1:25" ht="12.75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</row>
    <row r="903" spans="1:25" ht="12.75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</row>
    <row r="904" spans="1:25" ht="12.75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</row>
    <row r="905" spans="1:25" ht="12.75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</row>
    <row r="906" spans="1:25" ht="12.75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</row>
    <row r="907" spans="1:25" ht="12.75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</row>
    <row r="908" spans="1:25" ht="12.75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</row>
    <row r="909" spans="1:25" ht="12.75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</row>
    <row r="910" spans="1:25" ht="12.75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</row>
    <row r="911" spans="1:25" ht="12.75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</row>
    <row r="912" spans="1:25" ht="12.75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</row>
    <row r="913" spans="1:25" ht="12.75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</row>
    <row r="914" spans="1:25" ht="12.75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</row>
    <row r="915" spans="1:25" ht="12.75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</row>
    <row r="916" spans="1:25" ht="12.75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</row>
    <row r="917" spans="1:25" ht="12.75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</row>
    <row r="918" spans="1:25" ht="12.75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</row>
    <row r="919" spans="1:25" ht="12.75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</row>
    <row r="920" spans="1:25" ht="12.75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</row>
    <row r="921" spans="1:25" ht="12.75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</row>
    <row r="922" spans="1:25" ht="12.75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</row>
    <row r="923" spans="1:25" ht="12.75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</row>
    <row r="924" spans="1:25" ht="12.75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</row>
    <row r="925" spans="1:25" ht="12.75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</row>
    <row r="926" spans="1:25" ht="12.75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</row>
    <row r="927" spans="1:25" ht="12.75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</row>
    <row r="928" spans="1:25" ht="12.75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</row>
    <row r="929" spans="1:25" ht="12.75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</row>
    <row r="930" spans="1:25" ht="12.75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</row>
    <row r="931" spans="1:25" ht="12.75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</row>
    <row r="932" spans="1:25" ht="12.75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</row>
    <row r="933" spans="1:25" ht="12.75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</row>
    <row r="934" spans="1:25" ht="12.75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</row>
    <row r="935" spans="1:25" ht="12.75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</row>
    <row r="936" spans="1:25" ht="12.75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</row>
    <row r="937" spans="1:25" ht="12.75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</row>
    <row r="938" spans="1:25" ht="12.75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</row>
    <row r="939" spans="1:25" ht="12.75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</row>
    <row r="940" spans="1:25" ht="12.75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</row>
    <row r="941" spans="1:25" ht="12.75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</row>
    <row r="942" spans="1:25" ht="12.75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</row>
    <row r="943" spans="1:25" ht="12.75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</row>
    <row r="944" spans="1:25" ht="12.75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</row>
    <row r="945" spans="1:25" ht="12.75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</row>
    <row r="946" spans="1:25" ht="12.75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</row>
    <row r="947" spans="1:25" ht="12.75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</row>
    <row r="948" spans="1:25" ht="12.75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</row>
    <row r="949" spans="1:25" ht="12.75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</row>
    <row r="950" spans="1:25" ht="12.75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</row>
    <row r="951" spans="1:25" ht="12.75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</row>
    <row r="952" spans="1:25" ht="12.75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</row>
    <row r="953" spans="1:25" ht="12.75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</row>
    <row r="954" spans="1:25" ht="12.75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</row>
    <row r="955" spans="1:25" ht="12.75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</row>
    <row r="956" spans="1:25" ht="12.75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</row>
    <row r="957" spans="1:25" ht="12.75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</row>
    <row r="958" spans="1:25" ht="12.75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</row>
    <row r="959" spans="1:25" ht="12.75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</row>
    <row r="960" spans="1:25" ht="12.75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</row>
    <row r="961" spans="1:25" ht="12.75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</row>
    <row r="962" spans="1:25" ht="12.75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</row>
    <row r="963" spans="1:25" ht="12.75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</row>
    <row r="964" spans="1:25" ht="12.75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</row>
    <row r="965" spans="1:25" ht="12.75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</row>
    <row r="966" spans="1:25" ht="12.75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</row>
    <row r="967" spans="1:25" ht="12.75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</row>
    <row r="968" spans="1:25" ht="12.75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</row>
    <row r="969" spans="1:25" ht="12.75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</row>
    <row r="970" spans="1:25" ht="12.75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</row>
    <row r="971" spans="1:25" ht="12.75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</row>
    <row r="972" spans="1:25" ht="12.75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</row>
    <row r="973" spans="1:25" ht="12.75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</row>
    <row r="974" spans="1:25" ht="12.75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</row>
    <row r="975" spans="1:25" ht="12.75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</row>
    <row r="976" spans="1:25" ht="12.75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</row>
    <row r="977" spans="1:25" ht="12.75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</row>
    <row r="978" spans="1:25" ht="12.75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</row>
    <row r="979" spans="1:25" ht="12.75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</row>
    <row r="980" spans="1:25" ht="12.75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</row>
    <row r="981" spans="1:25" ht="12.75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</row>
    <row r="982" spans="1:25" ht="12.75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</row>
    <row r="983" spans="1:25" ht="12.75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</row>
    <row r="984" spans="1:25" ht="12.75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</row>
    <row r="985" spans="1:25" ht="12.75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</row>
    <row r="986" spans="1:25" ht="12.75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</row>
    <row r="987" spans="1:25" ht="12.75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</row>
    <row r="988" spans="1:25" ht="12.75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</row>
    <row r="989" spans="1:25" ht="12.75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</row>
    <row r="990" spans="1:25" ht="12.75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</row>
    <row r="991" spans="1:25" ht="12.75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</row>
    <row r="992" spans="1:25" ht="12.75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</row>
    <row r="993" spans="1:25" ht="12.75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</row>
    <row r="994" spans="1:25" ht="12.75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</row>
    <row r="995" spans="1:25" ht="12.75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</row>
    <row r="996" spans="1:25" ht="12.75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</row>
    <row r="997" spans="1:25" ht="12.75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</row>
    <row r="998" spans="1:25" ht="12.75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</row>
    <row r="999" spans="1:25" ht="12.75">
      <c r="A999" s="62"/>
      <c r="B999" s="62"/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</row>
    <row r="1000" spans="1:25" ht="12.75">
      <c r="A1000" s="62"/>
      <c r="B1000" s="62"/>
      <c r="C1000" s="62"/>
      <c r="D1000" s="62"/>
      <c r="E1000" s="62"/>
      <c r="F1000" s="62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  <c r="Q1000" s="62"/>
      <c r="R1000" s="62"/>
      <c r="S1000" s="62"/>
      <c r="T1000" s="62"/>
      <c r="U1000" s="62"/>
      <c r="V1000" s="62"/>
      <c r="W1000" s="62"/>
      <c r="X1000" s="62"/>
      <c r="Y1000" s="62"/>
    </row>
    <row r="1001" spans="1:25" ht="12.75">
      <c r="A1001" s="62"/>
      <c r="B1001" s="62"/>
      <c r="C1001" s="62"/>
      <c r="D1001" s="62"/>
      <c r="E1001" s="62"/>
      <c r="F1001" s="62"/>
      <c r="G1001" s="62"/>
      <c r="H1001" s="62"/>
      <c r="I1001" s="62"/>
      <c r="J1001" s="62"/>
      <c r="K1001" s="62"/>
      <c r="L1001" s="62"/>
      <c r="M1001" s="62"/>
      <c r="N1001" s="62"/>
      <c r="O1001" s="62"/>
      <c r="P1001" s="62"/>
      <c r="Q1001" s="62"/>
      <c r="R1001" s="62"/>
      <c r="S1001" s="62"/>
      <c r="T1001" s="62"/>
      <c r="U1001" s="62"/>
      <c r="V1001" s="62"/>
      <c r="W1001" s="62"/>
      <c r="X1001" s="62"/>
      <c r="Y1001" s="62"/>
    </row>
    <row r="1002" spans="1:25" ht="12.75">
      <c r="A1002" s="62"/>
      <c r="B1002" s="62"/>
      <c r="C1002" s="62"/>
      <c r="D1002" s="62"/>
      <c r="E1002" s="62"/>
      <c r="F1002" s="62"/>
      <c r="G1002" s="62"/>
      <c r="H1002" s="62"/>
      <c r="I1002" s="62"/>
      <c r="J1002" s="62"/>
      <c r="K1002" s="62"/>
      <c r="L1002" s="62"/>
      <c r="M1002" s="62"/>
      <c r="N1002" s="62"/>
      <c r="O1002" s="62"/>
      <c r="P1002" s="62"/>
      <c r="Q1002" s="62"/>
      <c r="R1002" s="62"/>
      <c r="S1002" s="62"/>
      <c r="T1002" s="62"/>
      <c r="U1002" s="62"/>
      <c r="V1002" s="62"/>
      <c r="W1002" s="62"/>
      <c r="X1002" s="62"/>
      <c r="Y1002" s="62"/>
    </row>
  </sheetData>
  <mergeCells count="32">
    <mergeCell ref="K79:N79"/>
    <mergeCell ref="K80:N80"/>
    <mergeCell ref="K81:N81"/>
    <mergeCell ref="K67:N67"/>
    <mergeCell ref="K68:N68"/>
    <mergeCell ref="K69:N69"/>
    <mergeCell ref="K70:N70"/>
    <mergeCell ref="K71:N71"/>
    <mergeCell ref="K72:N72"/>
    <mergeCell ref="K73:N73"/>
    <mergeCell ref="K74:N74"/>
    <mergeCell ref="K75:N75"/>
    <mergeCell ref="K76:N76"/>
    <mergeCell ref="K77:N77"/>
    <mergeCell ref="K78:N78"/>
    <mergeCell ref="K62:N62"/>
    <mergeCell ref="K63:N63"/>
    <mergeCell ref="K64:N64"/>
    <mergeCell ref="K65:N65"/>
    <mergeCell ref="K66:N66"/>
    <mergeCell ref="A11:A15"/>
    <mergeCell ref="A31:A48"/>
    <mergeCell ref="A55:A56"/>
    <mergeCell ref="A1:M1"/>
    <mergeCell ref="A2:M2"/>
    <mergeCell ref="A4:A6"/>
    <mergeCell ref="B4:B6"/>
    <mergeCell ref="C4:C6"/>
    <mergeCell ref="D4:D6"/>
    <mergeCell ref="E4:E6"/>
    <mergeCell ref="F5:H5"/>
    <mergeCell ref="K5:M5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960"/>
  <sheetViews>
    <sheetView workbookViewId="0">
      <pane xSplit="1" ySplit="4" topLeftCell="B5" activePane="bottomRight" state="frozen"/>
      <selection sqref="A1:M2"/>
      <selection pane="topRight" sqref="A1:M2"/>
      <selection pane="bottomLeft" sqref="A1:M2"/>
      <selection pane="bottomRight" sqref="A1:M2"/>
    </sheetView>
  </sheetViews>
  <sheetFormatPr defaultColWidth="12.5703125" defaultRowHeight="15.75" customHeight="1"/>
  <cols>
    <col min="1" max="1" width="40.42578125" customWidth="1"/>
    <col min="2" max="5" width="12.5703125" hidden="1"/>
    <col min="6" max="6" width="10.140625" hidden="1" customWidth="1"/>
    <col min="7" max="8" width="12.5703125" hidden="1"/>
    <col min="9" max="9" width="14.140625" customWidth="1"/>
    <col min="10" max="10" width="10.42578125" customWidth="1"/>
    <col min="11" max="11" width="16.42578125" customWidth="1"/>
    <col min="13" max="13" width="10.28515625" customWidth="1"/>
    <col min="14" max="14" width="14" customWidth="1"/>
    <col min="16" max="16" width="11.42578125" customWidth="1"/>
    <col min="26" max="26" width="9.5703125" customWidth="1"/>
  </cols>
  <sheetData>
    <row r="1" spans="1:27" ht="12.75" hidden="1">
      <c r="A1" s="148"/>
      <c r="B1" s="149"/>
      <c r="C1" s="149"/>
      <c r="D1" s="149"/>
      <c r="E1" s="150"/>
      <c r="F1" s="65"/>
      <c r="G1" s="149"/>
      <c r="H1" s="149"/>
      <c r="I1" s="149"/>
      <c r="J1" s="63"/>
      <c r="K1" s="140"/>
      <c r="L1" s="63"/>
      <c r="M1" s="63"/>
      <c r="N1" s="140"/>
      <c r="O1" s="63"/>
      <c r="P1" s="63"/>
      <c r="Q1" s="63"/>
      <c r="R1" s="63"/>
      <c r="S1" s="63"/>
      <c r="T1" s="63"/>
      <c r="U1" s="62"/>
      <c r="V1" s="62"/>
      <c r="W1" s="151"/>
      <c r="X1" s="62"/>
      <c r="Y1" s="62"/>
      <c r="Z1" s="62"/>
      <c r="AA1" s="47"/>
    </row>
    <row r="2" spans="1:27" ht="15">
      <c r="A2" s="884" t="s">
        <v>4</v>
      </c>
      <c r="B2" s="885"/>
      <c r="C2" s="879" t="s">
        <v>6</v>
      </c>
      <c r="D2" s="873"/>
      <c r="E2" s="877"/>
      <c r="F2" s="66"/>
      <c r="G2" s="879" t="s">
        <v>7</v>
      </c>
      <c r="H2" s="873"/>
      <c r="I2" s="877"/>
      <c r="J2" s="66"/>
      <c r="K2" s="886" t="s">
        <v>76</v>
      </c>
      <c r="L2" s="873"/>
      <c r="M2" s="873"/>
      <c r="N2" s="873"/>
      <c r="O2" s="873"/>
      <c r="P2" s="873"/>
      <c r="Q2" s="873"/>
      <c r="R2" s="873"/>
      <c r="S2" s="873"/>
      <c r="T2" s="877"/>
      <c r="U2" s="63"/>
      <c r="V2" s="63"/>
      <c r="W2" s="152"/>
      <c r="X2" s="63"/>
      <c r="Y2" s="63"/>
      <c r="Z2" s="62"/>
      <c r="AA2" s="47"/>
    </row>
    <row r="3" spans="1:27" ht="60">
      <c r="A3" s="862"/>
      <c r="B3" s="877"/>
      <c r="C3" s="67" t="s">
        <v>8</v>
      </c>
      <c r="D3" s="67" t="s">
        <v>9</v>
      </c>
      <c r="E3" s="68" t="s">
        <v>10</v>
      </c>
      <c r="F3" s="67" t="s">
        <v>11</v>
      </c>
      <c r="G3" s="67" t="s">
        <v>8</v>
      </c>
      <c r="H3" s="67" t="s">
        <v>13</v>
      </c>
      <c r="I3" s="153" t="s">
        <v>77</v>
      </c>
      <c r="J3" s="67" t="s">
        <v>11</v>
      </c>
      <c r="K3" s="154" t="s">
        <v>78</v>
      </c>
      <c r="L3" s="154" t="s">
        <v>79</v>
      </c>
      <c r="M3" s="154" t="s">
        <v>80</v>
      </c>
      <c r="N3" s="154" t="s">
        <v>81</v>
      </c>
      <c r="O3" s="154" t="s">
        <v>82</v>
      </c>
      <c r="P3" s="155" t="s">
        <v>83</v>
      </c>
      <c r="Q3" s="154" t="s">
        <v>64</v>
      </c>
      <c r="R3" s="154" t="s">
        <v>65</v>
      </c>
      <c r="S3" s="154" t="s">
        <v>84</v>
      </c>
      <c r="T3" s="154" t="s">
        <v>85</v>
      </c>
      <c r="U3" s="154" t="s">
        <v>67</v>
      </c>
      <c r="V3" s="154" t="s">
        <v>68</v>
      </c>
      <c r="W3" s="156" t="s">
        <v>69</v>
      </c>
      <c r="X3" s="154" t="s">
        <v>70</v>
      </c>
      <c r="Y3" s="154" t="s">
        <v>71</v>
      </c>
      <c r="Z3" s="157">
        <v>143</v>
      </c>
      <c r="AA3" s="158" t="s">
        <v>86</v>
      </c>
    </row>
    <row r="4" spans="1:27" ht="14.25">
      <c r="A4" s="69">
        <v>1</v>
      </c>
      <c r="B4" s="70">
        <v>2</v>
      </c>
      <c r="C4" s="70">
        <v>3</v>
      </c>
      <c r="D4" s="70">
        <v>4</v>
      </c>
      <c r="E4" s="70">
        <v>5</v>
      </c>
      <c r="F4" s="70">
        <v>6</v>
      </c>
      <c r="G4" s="70">
        <v>7</v>
      </c>
      <c r="H4" s="70">
        <v>8</v>
      </c>
      <c r="I4" s="70">
        <v>9</v>
      </c>
      <c r="J4" s="70">
        <v>10</v>
      </c>
      <c r="K4" s="65"/>
      <c r="L4" s="65"/>
      <c r="M4" s="65"/>
      <c r="N4" s="65"/>
      <c r="O4" s="65"/>
      <c r="P4" s="65"/>
      <c r="Q4" s="65"/>
      <c r="R4" s="65"/>
      <c r="S4" s="65"/>
      <c r="T4" s="65"/>
      <c r="U4" s="63"/>
      <c r="V4" s="63"/>
      <c r="W4" s="152"/>
      <c r="X4" s="63"/>
      <c r="Y4" s="63"/>
      <c r="Z4" s="148"/>
      <c r="AA4" s="159"/>
    </row>
    <row r="5" spans="1:27" ht="15">
      <c r="A5" s="160" t="s">
        <v>87</v>
      </c>
      <c r="B5" s="161">
        <f t="shared" ref="B5:E5" ca="1" si="0">SUM(B6:B27)</f>
        <v>46597341.399999939</v>
      </c>
      <c r="C5" s="161">
        <f t="shared" ca="1" si="0"/>
        <v>32115554.999999955</v>
      </c>
      <c r="D5" s="161">
        <f t="shared" ca="1" si="0"/>
        <v>31877039.917989977</v>
      </c>
      <c r="E5" s="161">
        <f t="shared" ca="1" si="0"/>
        <v>238515.08200999931</v>
      </c>
      <c r="F5" s="161">
        <f ca="1">D5/C5*100</f>
        <v>99.257322247708373</v>
      </c>
      <c r="G5" s="161">
        <f t="shared" ref="G5:I5" ca="1" si="1">SUM(G6:G27)</f>
        <v>20799210.896999985</v>
      </c>
      <c r="H5" s="161">
        <f t="shared" ca="1" si="1"/>
        <v>20793403.428649969</v>
      </c>
      <c r="I5" s="161">
        <f t="shared" ca="1" si="1"/>
        <v>5807.4683500004276</v>
      </c>
      <c r="J5" s="162">
        <f ca="1">H5/G5*100</f>
        <v>99.972078419807488</v>
      </c>
      <c r="K5" s="161">
        <f t="shared" ref="K5:AA5" ca="1" si="2">SUM(K6:K27)</f>
        <v>1087.0333900000248</v>
      </c>
      <c r="L5" s="161">
        <f t="shared" ca="1" si="2"/>
        <v>169.64399999999961</v>
      </c>
      <c r="M5" s="163">
        <f t="shared" ca="1" si="2"/>
        <v>991.20041999999978</v>
      </c>
      <c r="N5" s="163">
        <f t="shared" ca="1" si="2"/>
        <v>0</v>
      </c>
      <c r="O5" s="163">
        <f t="shared" ca="1" si="2"/>
        <v>2218.5946000000004</v>
      </c>
      <c r="P5" s="161">
        <f t="shared" ca="1" si="2"/>
        <v>545.48172999999997</v>
      </c>
      <c r="Q5" s="161">
        <f t="shared" ca="1" si="2"/>
        <v>320.41682000000083</v>
      </c>
      <c r="R5" s="161">
        <f t="shared" ca="1" si="2"/>
        <v>224.21391</v>
      </c>
      <c r="S5" s="163">
        <f t="shared" ca="1" si="2"/>
        <v>9.8600000000000367</v>
      </c>
      <c r="T5" s="163">
        <f t="shared" ca="1" si="2"/>
        <v>0.30775999999900683</v>
      </c>
      <c r="U5" s="163">
        <f t="shared" ca="1" si="2"/>
        <v>54.097239999994656</v>
      </c>
      <c r="V5" s="163">
        <f t="shared" ca="1" si="2"/>
        <v>55.292470000000861</v>
      </c>
      <c r="W5" s="163">
        <f t="shared" ca="1" si="2"/>
        <v>2.0175499999313602</v>
      </c>
      <c r="X5" s="163">
        <f t="shared" ca="1" si="2"/>
        <v>122.50668999999969</v>
      </c>
      <c r="Y5" s="163">
        <f t="shared" ca="1" si="2"/>
        <v>1.1600000000000807</v>
      </c>
      <c r="Z5" s="163">
        <f t="shared" ca="1" si="2"/>
        <v>0</v>
      </c>
      <c r="AA5" s="161">
        <f t="shared" si="2"/>
        <v>0</v>
      </c>
    </row>
    <row r="6" spans="1:27" ht="15">
      <c r="A6" s="164" t="s">
        <v>88</v>
      </c>
      <c r="B6" s="165">
        <f>ЦА!E8</f>
        <v>4378631.5999999996</v>
      </c>
      <c r="C6" s="165">
        <f>ЦА!F8</f>
        <v>733720.19999999984</v>
      </c>
      <c r="D6" s="165">
        <f>ЦА!G8</f>
        <v>731296.58300999994</v>
      </c>
      <c r="E6" s="165">
        <f>ЦА!H8</f>
        <v>2423.6169899998931</v>
      </c>
      <c r="F6" s="165">
        <f>ЦА!I8</f>
        <v>99.669681032360856</v>
      </c>
      <c r="G6" s="165">
        <f>ЦА!K8</f>
        <v>526003.30000000005</v>
      </c>
      <c r="H6" s="165">
        <f>ЦА!L8</f>
        <v>526002.81961000001</v>
      </c>
      <c r="I6" s="165">
        <f>ЦА!M8</f>
        <v>0.48039000004064292</v>
      </c>
      <c r="J6" s="166">
        <f>ЦА!O8</f>
        <v>99.999908671675627</v>
      </c>
      <c r="K6" s="165">
        <f>ЦА!O64</f>
        <v>0.10300000000279397</v>
      </c>
      <c r="L6" s="165">
        <f>ЦА!O65</f>
        <v>0</v>
      </c>
      <c r="M6" s="167"/>
      <c r="N6" s="165">
        <f>ЦА!O67</f>
        <v>0</v>
      </c>
      <c r="O6" s="165">
        <f>ЦА!O68</f>
        <v>0</v>
      </c>
      <c r="P6" s="167"/>
      <c r="Q6" s="167"/>
      <c r="R6" s="165">
        <f>ЦА!O71</f>
        <v>0.1410000000000764</v>
      </c>
      <c r="S6" s="167"/>
      <c r="T6" s="165">
        <f>ЦА!O73</f>
        <v>0</v>
      </c>
      <c r="U6" s="168">
        <f>ЦА!O74</f>
        <v>9.6000000000003638E-2</v>
      </c>
      <c r="V6" s="169">
        <f>ЦА!O75</f>
        <v>0.140390000000707</v>
      </c>
      <c r="W6" s="169">
        <f>ЦА!O76</f>
        <v>0</v>
      </c>
      <c r="X6" s="169">
        <f>ЦА!O77</f>
        <v>0</v>
      </c>
      <c r="Y6" s="169">
        <f>ЦА!O80</f>
        <v>0</v>
      </c>
      <c r="Z6" s="170"/>
      <c r="AA6" s="171">
        <f>ЦА!O79</f>
        <v>0</v>
      </c>
    </row>
    <row r="7" spans="1:27" ht="30">
      <c r="A7" s="172" t="s">
        <v>89</v>
      </c>
      <c r="B7" s="173">
        <f ca="1">IFERROR(__xludf.DUMMYFUNCTION("IMPORTRANGE(""https://docs.google.com/spreadsheets/d/1PsUKG3ee57b5sx42omjfZd9CYxuRONokMWtiORmUc0s/edit#gid=1568135178"",""по ТД!B7:Z27"")"),2360608)</f>
        <v>2360608</v>
      </c>
      <c r="C7" s="173">
        <f ca="1">IFERROR(__xludf.DUMMYFUNCTION("""COMPUTED_VALUE"""),1842383.6)</f>
        <v>1842383.6</v>
      </c>
      <c r="D7" s="173">
        <f ca="1">IFERROR(__xludf.DUMMYFUNCTION("""COMPUTED_VALUE"""),1836802.48)</f>
        <v>1836802.48</v>
      </c>
      <c r="E7" s="173">
        <f ca="1">IFERROR(__xludf.DUMMYFUNCTION("""COMPUTED_VALUE"""),5581.11999999987)</f>
        <v>5581.1199999998698</v>
      </c>
      <c r="F7" s="173">
        <f ca="1">IFERROR(__xludf.DUMMYFUNCTION("""COMPUTED_VALUE"""),99.6970706860395)</f>
        <v>99.697070686039496</v>
      </c>
      <c r="G7" s="173">
        <f ca="1">IFERROR(__xludf.DUMMYFUNCTION("""COMPUTED_VALUE"""),1325835.4)</f>
        <v>1325835.3999999999</v>
      </c>
      <c r="H7" s="173">
        <f ca="1">IFERROR(__xludf.DUMMYFUNCTION("""COMPUTED_VALUE"""),1325731.801)</f>
        <v>1325731.801</v>
      </c>
      <c r="I7" s="173">
        <f ca="1">IFERROR(__xludf.DUMMYFUNCTION("""COMPUTED_VALUE"""),103.598999999929)</f>
        <v>103.59899999992901</v>
      </c>
      <c r="J7" s="174">
        <f ca="1">IFERROR(__xludf.DUMMYFUNCTION("""COMPUTED_VALUE"""),99.9921861341159)</f>
        <v>99.992186134115897</v>
      </c>
      <c r="K7" s="173">
        <f ca="1">IFERROR(__xludf.DUMMYFUNCTION("""COMPUTED_VALUE"""),36.3080000000009)</f>
        <v>36.308000000000902</v>
      </c>
      <c r="L7" s="173">
        <f ca="1">IFERROR(__xludf.DUMMYFUNCTION("""COMPUTED_VALUE"""),0)</f>
        <v>0</v>
      </c>
      <c r="M7" s="173">
        <f ca="1">IFERROR(__xludf.DUMMYFUNCTION("""COMPUTED_VALUE"""),0)</f>
        <v>0</v>
      </c>
      <c r="N7" s="173">
        <f ca="1">IFERROR(__xludf.DUMMYFUNCTION("""COMPUTED_VALUE"""),0)</f>
        <v>0</v>
      </c>
      <c r="O7" s="173">
        <f ca="1">IFERROR(__xludf.DUMMYFUNCTION("""COMPUTED_VALUE"""),31.048)</f>
        <v>31.047999999999998</v>
      </c>
      <c r="P7" s="173">
        <f ca="1">IFERROR(__xludf.DUMMYFUNCTION("""COMPUTED_VALUE"""),0)</f>
        <v>0</v>
      </c>
      <c r="Q7" s="175">
        <f ca="1">IFERROR(__xludf.DUMMYFUNCTION("""COMPUTED_VALUE"""),0.0180000000000291)</f>
        <v>1.80000000000291E-2</v>
      </c>
      <c r="R7" s="173">
        <f ca="1">IFERROR(__xludf.DUMMYFUNCTION("""COMPUTED_VALUE"""),0.0230000000010477)</f>
        <v>2.30000000010477E-2</v>
      </c>
      <c r="S7" s="176">
        <f ca="1">IFERROR(__xludf.DUMMYFUNCTION("""COMPUTED_VALUE"""),9.4)</f>
        <v>9.4</v>
      </c>
      <c r="T7" s="173">
        <f ca="1">IFERROR(__xludf.DUMMYFUNCTION("""COMPUTED_VALUE"""),0)</f>
        <v>0</v>
      </c>
      <c r="U7" s="173">
        <f ca="1">IFERROR(__xludf.DUMMYFUNCTION("""COMPUTED_VALUE"""),26.6719999999999)</f>
        <v>26.671999999999901</v>
      </c>
      <c r="V7" s="173">
        <f ca="1">IFERROR(__xludf.DUMMYFUNCTION("""COMPUTED_VALUE"""),0)</f>
        <v>0</v>
      </c>
      <c r="W7" s="175">
        <f ca="1">IFERROR(__xludf.DUMMYFUNCTION("""COMPUTED_VALUE"""),0.018999999971129)</f>
        <v>1.8999999971129E-2</v>
      </c>
      <c r="X7" s="173">
        <f ca="1">IFERROR(__xludf.DUMMYFUNCTION("""COMPUTED_VALUE"""),0.091000000000001)</f>
        <v>9.1000000000000997E-2</v>
      </c>
      <c r="Y7" s="173">
        <f ca="1">IFERROR(__xludf.DUMMYFUNCTION("""COMPUTED_VALUE"""),0.0199999999999818)</f>
        <v>1.99999999999818E-2</v>
      </c>
      <c r="Z7" s="177"/>
      <c r="AA7" s="178"/>
    </row>
    <row r="8" spans="1:27" ht="30">
      <c r="A8" s="172" t="s">
        <v>90</v>
      </c>
      <c r="B8" s="173">
        <f ca="1">IFERROR(__xludf.DUMMYFUNCTION("""COMPUTED_VALUE"""),1949055.7)</f>
        <v>1949055.7</v>
      </c>
      <c r="C8" s="173">
        <f ca="1">IFERROR(__xludf.DUMMYFUNCTION("""COMPUTED_VALUE"""),1501536.1)</f>
        <v>1501536.1</v>
      </c>
      <c r="D8" s="173">
        <f ca="1">IFERROR(__xludf.DUMMYFUNCTION("""COMPUTED_VALUE"""),1501531.295)</f>
        <v>1501531.2949999999</v>
      </c>
      <c r="E8" s="173">
        <f ca="1">IFERROR(__xludf.DUMMYFUNCTION("""COMPUTED_VALUE"""),4.8049999999892)</f>
        <v>4.8049999999892004</v>
      </c>
      <c r="F8" s="173">
        <f ca="1">IFERROR(__xludf.DUMMYFUNCTION("""COMPUTED_VALUE"""),99.9996799943737)</f>
        <v>99.999679994373693</v>
      </c>
      <c r="G8" s="173">
        <f ca="1">IFERROR(__xludf.DUMMYFUNCTION("""COMPUTED_VALUE"""),941974.399999999)</f>
        <v>941974.39999999898</v>
      </c>
      <c r="H8" s="173">
        <f ca="1">IFERROR(__xludf.DUMMYFUNCTION("""COMPUTED_VALUE"""),941970.738999999)</f>
        <v>941970.73899999901</v>
      </c>
      <c r="I8" s="173">
        <f ca="1">IFERROR(__xludf.DUMMYFUNCTION("""COMPUTED_VALUE"""),3.66100000001398)</f>
        <v>3.66100000001398</v>
      </c>
      <c r="J8" s="174">
        <f ca="1">IFERROR(__xludf.DUMMYFUNCTION("""COMPUTED_VALUE"""),99.9996113482489)</f>
        <v>99.999611348248905</v>
      </c>
      <c r="K8" s="173">
        <f ca="1">IFERROR(__xludf.DUMMYFUNCTION("""COMPUTED_VALUE"""),0)</f>
        <v>0</v>
      </c>
      <c r="L8" s="173">
        <f ca="1">IFERROR(__xludf.DUMMYFUNCTION("""COMPUTED_VALUE"""),3.43799999999998)</f>
        <v>3.4379999999999802</v>
      </c>
      <c r="M8" s="173">
        <f ca="1">IFERROR(__xludf.DUMMYFUNCTION("""COMPUTED_VALUE"""),0)</f>
        <v>0</v>
      </c>
      <c r="N8" s="173">
        <f ca="1">IFERROR(__xludf.DUMMYFUNCTION("""COMPUTED_VALUE"""),0)</f>
        <v>0</v>
      </c>
      <c r="O8" s="173">
        <f ca="1">IFERROR(__xludf.DUMMYFUNCTION("""COMPUTED_VALUE"""),0.0830000000000268)</f>
        <v>8.3000000000026802E-2</v>
      </c>
      <c r="P8" s="173">
        <f ca="1">IFERROR(__xludf.DUMMYFUNCTION("""COMPUTED_VALUE"""),0)</f>
        <v>0</v>
      </c>
      <c r="Q8" s="173">
        <f ca="1">IFERROR(__xludf.DUMMYFUNCTION("""COMPUTED_VALUE"""),0)</f>
        <v>0</v>
      </c>
      <c r="R8" s="173">
        <f ca="1">IFERROR(__xludf.DUMMYFUNCTION("""COMPUTED_VALUE"""),0.00499999999965439)</f>
        <v>4.9999999996543903E-3</v>
      </c>
      <c r="S8" s="179">
        <f ca="1">IFERROR(__xludf.DUMMYFUNCTION("""COMPUTED_VALUE"""),0)</f>
        <v>0</v>
      </c>
      <c r="T8" s="173">
        <f ca="1">IFERROR(__xludf.DUMMYFUNCTION("""COMPUTED_VALUE"""),0.0749999999998181)</f>
        <v>7.4999999999818101E-2</v>
      </c>
      <c r="U8" s="173">
        <f ca="1">IFERROR(__xludf.DUMMYFUNCTION("""COMPUTED_VALUE"""),0.0599999999976716)</f>
        <v>5.9999999997671603E-2</v>
      </c>
      <c r="V8" s="173">
        <f ca="1">IFERROR(__xludf.DUMMYFUNCTION("""COMPUTED_VALUE"""),0)</f>
        <v>0</v>
      </c>
      <c r="W8" s="175">
        <f ca="1">IFERROR(__xludf.DUMMYFUNCTION("""COMPUTED_VALUE"""),0)</f>
        <v>0</v>
      </c>
      <c r="X8" s="173">
        <f ca="1">IFERROR(__xludf.DUMMYFUNCTION("""COMPUTED_VALUE"""),0)</f>
        <v>0</v>
      </c>
      <c r="Y8" s="173">
        <f ca="1">IFERROR(__xludf.DUMMYFUNCTION("""COMPUTED_VALUE"""),0)</f>
        <v>0</v>
      </c>
      <c r="Z8" s="177"/>
      <c r="AA8" s="178"/>
    </row>
    <row r="9" spans="1:27" ht="30">
      <c r="A9" s="172" t="s">
        <v>91</v>
      </c>
      <c r="B9" s="173">
        <f ca="1">IFERROR(__xludf.DUMMYFUNCTION("""COMPUTED_VALUE"""),1823103.4)</f>
        <v>1823103.4</v>
      </c>
      <c r="C9" s="173">
        <f ca="1">IFERROR(__xludf.DUMMYFUNCTION("""COMPUTED_VALUE"""),1325432.8)</f>
        <v>1325432.8</v>
      </c>
      <c r="D9" s="173">
        <f ca="1">IFERROR(__xludf.DUMMYFUNCTION("""COMPUTED_VALUE"""),1324233.97621)</f>
        <v>1324233.97621</v>
      </c>
      <c r="E9" s="173">
        <f ca="1">IFERROR(__xludf.DUMMYFUNCTION("""COMPUTED_VALUE"""),1198.82379000005)</f>
        <v>1198.8237900000499</v>
      </c>
      <c r="F9" s="173">
        <f ca="1">IFERROR(__xludf.DUMMYFUNCTION("""COMPUTED_VALUE"""),99.909552276811)</f>
        <v>99.909552276810999</v>
      </c>
      <c r="G9" s="173">
        <f ca="1">IFERROR(__xludf.DUMMYFUNCTION("""COMPUTED_VALUE"""),726870.6)</f>
        <v>726870.6</v>
      </c>
      <c r="H9" s="173">
        <f ca="1">IFERROR(__xludf.DUMMYFUNCTION("""COMPUTED_VALUE"""),726870.43765)</f>
        <v>726870.43764999998</v>
      </c>
      <c r="I9" s="173">
        <f ca="1">IFERROR(__xludf.DUMMYFUNCTION("""COMPUTED_VALUE"""),0.162349999998696)</f>
        <v>0.16234999999869601</v>
      </c>
      <c r="J9" s="174">
        <f ca="1">IFERROR(__xludf.DUMMYFUNCTION("""COMPUTED_VALUE"""),99.9999776645251)</f>
        <v>99.999977664525105</v>
      </c>
      <c r="K9" s="173">
        <f ca="1">IFERROR(__xludf.DUMMYFUNCTION("""COMPUTED_VALUE"""),0)</f>
        <v>0</v>
      </c>
      <c r="L9" s="173">
        <f ca="1">IFERROR(__xludf.DUMMYFUNCTION("""COMPUTED_VALUE"""),0)</f>
        <v>0</v>
      </c>
      <c r="M9" s="173">
        <f ca="1">IFERROR(__xludf.DUMMYFUNCTION("""COMPUTED_VALUE"""),0)</f>
        <v>0</v>
      </c>
      <c r="N9" s="173">
        <f ca="1">IFERROR(__xludf.DUMMYFUNCTION("""COMPUTED_VALUE"""),0)</f>
        <v>0</v>
      </c>
      <c r="O9" s="173">
        <f ca="1">IFERROR(__xludf.DUMMYFUNCTION("""COMPUTED_VALUE"""),0)</f>
        <v>0</v>
      </c>
      <c r="P9" s="173">
        <f ca="1">IFERROR(__xludf.DUMMYFUNCTION("""COMPUTED_VALUE"""),0)</f>
        <v>0</v>
      </c>
      <c r="Q9" s="173">
        <f ca="1">IFERROR(__xludf.DUMMYFUNCTION("""COMPUTED_VALUE"""),0.0706800000007206)</f>
        <v>7.0680000000720597E-2</v>
      </c>
      <c r="R9" s="173">
        <f ca="1">IFERROR(__xludf.DUMMYFUNCTION("""COMPUTED_VALUE"""),0.0582399999998415)</f>
        <v>5.8239999999841502E-2</v>
      </c>
      <c r="S9" s="179">
        <f ca="1">IFERROR(__xludf.DUMMYFUNCTION("""COMPUTED_VALUE"""),0)</f>
        <v>0</v>
      </c>
      <c r="T9" s="173">
        <f ca="1">IFERROR(__xludf.DUMMYFUNCTION("""COMPUTED_VALUE"""),0)</f>
        <v>0</v>
      </c>
      <c r="U9" s="173">
        <f ca="1">IFERROR(__xludf.DUMMYFUNCTION("""COMPUTED_VALUE"""),0)</f>
        <v>0</v>
      </c>
      <c r="V9" s="173">
        <f ca="1">IFERROR(__xludf.DUMMYFUNCTION("""COMPUTED_VALUE"""),0)</f>
        <v>0</v>
      </c>
      <c r="W9" s="175">
        <f ca="1">IFERROR(__xludf.DUMMYFUNCTION("""COMPUTED_VALUE"""),0.0334300000104121)</f>
        <v>3.3430000010412103E-2</v>
      </c>
      <c r="X9" s="173">
        <f ca="1">IFERROR(__xludf.DUMMYFUNCTION("""COMPUTED_VALUE"""),0)</f>
        <v>0</v>
      </c>
      <c r="Y9" s="173">
        <f ca="1">IFERROR(__xludf.DUMMYFUNCTION("""COMPUTED_VALUE"""),0)</f>
        <v>0</v>
      </c>
      <c r="Z9" s="177"/>
      <c r="AA9" s="178"/>
    </row>
    <row r="10" spans="1:27" ht="30">
      <c r="A10" s="172" t="s">
        <v>92</v>
      </c>
      <c r="B10" s="173">
        <f ca="1">IFERROR(__xludf.DUMMYFUNCTION("""COMPUTED_VALUE"""),1509428.5)</f>
        <v>1509428.5</v>
      </c>
      <c r="C10" s="173">
        <f ca="1">IFERROR(__xludf.DUMMYFUNCTION("""COMPUTED_VALUE"""),1085777.3)</f>
        <v>1085777.3</v>
      </c>
      <c r="D10" s="173">
        <f ca="1">IFERROR(__xludf.DUMMYFUNCTION("""COMPUTED_VALUE"""),1081132.99599999)</f>
        <v>1081132.99599999</v>
      </c>
      <c r="E10" s="173">
        <f ca="1">IFERROR(__xludf.DUMMYFUNCTION("""COMPUTED_VALUE"""),4644.30400000023)</f>
        <v>4644.3040000002302</v>
      </c>
      <c r="F10" s="173">
        <f ca="1">IFERROR(__xludf.DUMMYFUNCTION("""COMPUTED_VALUE"""),99.5722599837001)</f>
        <v>99.572259983700107</v>
      </c>
      <c r="G10" s="173">
        <f ca="1">IFERROR(__xludf.DUMMYFUNCTION("""COMPUTED_VALUE"""),667642.4)</f>
        <v>667642.4</v>
      </c>
      <c r="H10" s="173">
        <f ca="1">IFERROR(__xludf.DUMMYFUNCTION("""COMPUTED_VALUE"""),667156.566)</f>
        <v>667156.56599999999</v>
      </c>
      <c r="I10" s="173">
        <f ca="1">IFERROR(__xludf.DUMMYFUNCTION("""COMPUTED_VALUE"""),485.834000000031)</f>
        <v>485.83400000003098</v>
      </c>
      <c r="J10" s="174">
        <f ca="1">IFERROR(__xludf.DUMMYFUNCTION("""COMPUTED_VALUE"""),99.9272314041169)</f>
        <v>99.927231404116895</v>
      </c>
      <c r="K10" s="175">
        <f ca="1">IFERROR(__xludf.DUMMYFUNCTION("""COMPUTED_VALUE"""),477.560000000009)</f>
        <v>477.56000000000898</v>
      </c>
      <c r="L10" s="173">
        <f ca="1">IFERROR(__xludf.DUMMYFUNCTION("""COMPUTED_VALUE"""),0)</f>
        <v>0</v>
      </c>
      <c r="M10" s="173">
        <f ca="1">IFERROR(__xludf.DUMMYFUNCTION("""COMPUTED_VALUE"""),0)</f>
        <v>0</v>
      </c>
      <c r="N10" s="173">
        <f ca="1">IFERROR(__xludf.DUMMYFUNCTION("""COMPUTED_VALUE"""),0)</f>
        <v>0</v>
      </c>
      <c r="O10" s="173">
        <f ca="1">IFERROR(__xludf.DUMMYFUNCTION("""COMPUTED_VALUE"""),0)</f>
        <v>0</v>
      </c>
      <c r="P10" s="173">
        <f ca="1">IFERROR(__xludf.DUMMYFUNCTION("""COMPUTED_VALUE"""),0)</f>
        <v>0</v>
      </c>
      <c r="Q10" s="173">
        <f ca="1">IFERROR(__xludf.DUMMYFUNCTION("""COMPUTED_VALUE"""),1.68400000000019)</f>
        <v>1.68400000000019</v>
      </c>
      <c r="R10" s="173">
        <f ca="1">IFERROR(__xludf.DUMMYFUNCTION("""COMPUTED_VALUE"""),0.900000000000545)</f>
        <v>0.90000000000054503</v>
      </c>
      <c r="S10" s="179">
        <f ca="1">IFERROR(__xludf.DUMMYFUNCTION("""COMPUTED_VALUE"""),0)</f>
        <v>0</v>
      </c>
      <c r="T10" s="173">
        <f ca="1">IFERROR(__xludf.DUMMYFUNCTION("""COMPUTED_VALUE"""),0)</f>
        <v>0</v>
      </c>
      <c r="U10" s="173">
        <f ca="1">IFERROR(__xludf.DUMMYFUNCTION("""COMPUTED_VALUE"""),0)</f>
        <v>0</v>
      </c>
      <c r="V10" s="173">
        <f ca="1">IFERROR(__xludf.DUMMYFUNCTION("""COMPUTED_VALUE"""),0)</f>
        <v>0</v>
      </c>
      <c r="W10" s="175">
        <f ca="1">IFERROR(__xludf.DUMMYFUNCTION("""COMPUTED_VALUE"""),0)</f>
        <v>0</v>
      </c>
      <c r="X10" s="173">
        <f ca="1">IFERROR(__xludf.DUMMYFUNCTION("""COMPUTED_VALUE"""),0)</f>
        <v>0</v>
      </c>
      <c r="Y10" s="173">
        <f ca="1">IFERROR(__xludf.DUMMYFUNCTION("""COMPUTED_VALUE"""),0.0600000000001728)</f>
        <v>6.0000000000172797E-2</v>
      </c>
      <c r="Z10" s="177"/>
      <c r="AA10" s="178"/>
    </row>
    <row r="11" spans="1:27" ht="15">
      <c r="A11" s="172" t="s">
        <v>93</v>
      </c>
      <c r="B11" s="173">
        <f ca="1">IFERROR(__xludf.DUMMYFUNCTION("""COMPUTED_VALUE"""),2237806.89999999)</f>
        <v>2237806.8999999901</v>
      </c>
      <c r="C11" s="173">
        <f ca="1">IFERROR(__xludf.DUMMYFUNCTION("""COMPUTED_VALUE"""),1701757.1)</f>
        <v>1701757.1</v>
      </c>
      <c r="D11" s="173">
        <f ca="1">IFERROR(__xludf.DUMMYFUNCTION("""COMPUTED_VALUE"""),1701142.54305)</f>
        <v>1701142.54305</v>
      </c>
      <c r="E11" s="173">
        <f ca="1">IFERROR(__xludf.DUMMYFUNCTION("""COMPUTED_VALUE"""),614.556950000114)</f>
        <v>614.55695000011406</v>
      </c>
      <c r="F11" s="173">
        <f ca="1">IFERROR(__xludf.DUMMYFUNCTION("""COMPUTED_VALUE"""),99.9638869172339)</f>
        <v>99.963886917233907</v>
      </c>
      <c r="G11" s="173">
        <f ca="1">IFERROR(__xludf.DUMMYFUNCTION("""COMPUTED_VALUE"""),1189600.2)</f>
        <v>1189600.2</v>
      </c>
      <c r="H11" s="173">
        <f ca="1">IFERROR(__xludf.DUMMYFUNCTION("""COMPUTED_VALUE"""),1189285.18468)</f>
        <v>1189285.1846799999</v>
      </c>
      <c r="I11" s="173">
        <f ca="1">IFERROR(__xludf.DUMMYFUNCTION("""COMPUTED_VALUE"""),315.015320000238)</f>
        <v>315.01532000023798</v>
      </c>
      <c r="J11" s="174">
        <f ca="1">IFERROR(__xludf.DUMMYFUNCTION("""COMPUTED_VALUE"""),99.9735192277203)</f>
        <v>99.973519227720303</v>
      </c>
      <c r="K11" s="173">
        <f ca="1">IFERROR(__xludf.DUMMYFUNCTION("""COMPUTED_VALUE"""),0.000970000005509064)</f>
        <v>9.7000000550906396E-4</v>
      </c>
      <c r="L11" s="173">
        <f ca="1">IFERROR(__xludf.DUMMYFUNCTION("""COMPUTED_VALUE"""),0.0389999999999872)</f>
        <v>3.8999999999987198E-2</v>
      </c>
      <c r="M11" s="173">
        <f ca="1">IFERROR(__xludf.DUMMYFUNCTION("""COMPUTED_VALUE"""),0)</f>
        <v>0</v>
      </c>
      <c r="N11" s="173">
        <f ca="1">IFERROR(__xludf.DUMMYFUNCTION("""COMPUTED_VALUE"""),0)</f>
        <v>0</v>
      </c>
      <c r="O11" s="173">
        <f ca="1">IFERROR(__xludf.DUMMYFUNCTION("""COMPUTED_VALUE"""),0)</f>
        <v>0</v>
      </c>
      <c r="P11" s="173">
        <f ca="1">IFERROR(__xludf.DUMMYFUNCTION("""COMPUTED_VALUE"""),0.0107299999999668)</f>
        <v>1.0729999999966801E-2</v>
      </c>
      <c r="Q11" s="180">
        <f ca="1">IFERROR(__xludf.DUMMYFUNCTION("""COMPUTED_VALUE"""),314.782729999999)</f>
        <v>314.78272999999899</v>
      </c>
      <c r="R11" s="173">
        <f ca="1">IFERROR(__xludf.DUMMYFUNCTION("""COMPUTED_VALUE"""),0.0320300000003044)</f>
        <v>3.2030000000304398E-2</v>
      </c>
      <c r="S11" s="173">
        <f ca="1">IFERROR(__xludf.DUMMYFUNCTION("""COMPUTED_VALUE"""),0)</f>
        <v>0</v>
      </c>
      <c r="T11" s="173">
        <f ca="1">IFERROR(__xludf.DUMMYFUNCTION("""COMPUTED_VALUE"""),0.0217599999996309)</f>
        <v>2.1759999999630901E-2</v>
      </c>
      <c r="U11" s="173">
        <f ca="1">IFERROR(__xludf.DUMMYFUNCTION("""COMPUTED_VALUE"""),0.0103599999999914)</f>
        <v>1.03599999999914E-2</v>
      </c>
      <c r="V11" s="173">
        <f ca="1">IFERROR(__xludf.DUMMYFUNCTION("""COMPUTED_VALUE"""),0)</f>
        <v>0</v>
      </c>
      <c r="W11" s="175">
        <f ca="1">IFERROR(__xludf.DUMMYFUNCTION("""COMPUTED_VALUE"""),0)</f>
        <v>0</v>
      </c>
      <c r="X11" s="173">
        <f ca="1">IFERROR(__xludf.DUMMYFUNCTION("""COMPUTED_VALUE"""),0.0569700000000084)</f>
        <v>5.6970000000008403E-2</v>
      </c>
      <c r="Y11" s="173">
        <f ca="1">IFERROR(__xludf.DUMMYFUNCTION("""COMPUTED_VALUE"""),0.0600000000000591)</f>
        <v>6.0000000000059103E-2</v>
      </c>
      <c r="Z11" s="177"/>
      <c r="AA11" s="178"/>
    </row>
    <row r="12" spans="1:27" ht="30">
      <c r="A12" s="172" t="s">
        <v>94</v>
      </c>
      <c r="B12" s="173">
        <f ca="1">IFERROR(__xludf.DUMMYFUNCTION("""COMPUTED_VALUE"""),2620372.89999999)</f>
        <v>2620372.8999999901</v>
      </c>
      <c r="C12" s="173">
        <f ca="1">IFERROR(__xludf.DUMMYFUNCTION("""COMPUTED_VALUE"""),1916864.39999999)</f>
        <v>1916864.3999999899</v>
      </c>
      <c r="D12" s="173">
        <f ca="1">IFERROR(__xludf.DUMMYFUNCTION("""COMPUTED_VALUE"""),1916806.139)</f>
        <v>1916806.139</v>
      </c>
      <c r="E12" s="173">
        <f ca="1">IFERROR(__xludf.DUMMYFUNCTION("""COMPUTED_VALUE"""),58.2609999994747)</f>
        <v>58.260999999474699</v>
      </c>
      <c r="F12" s="173">
        <f ca="1">IFERROR(__xludf.DUMMYFUNCTION("""COMPUTED_VALUE"""),99.9969606092116)</f>
        <v>99.996960609211598</v>
      </c>
      <c r="G12" s="173">
        <f ca="1">IFERROR(__xludf.DUMMYFUNCTION("""COMPUTED_VALUE"""),1292133.7)</f>
        <v>1292133.7</v>
      </c>
      <c r="H12" s="173">
        <f ca="1">IFERROR(__xludf.DUMMYFUNCTION("""COMPUTED_VALUE"""),1292133.448)</f>
        <v>1292133.4480000001</v>
      </c>
      <c r="I12" s="173">
        <f ca="1">IFERROR(__xludf.DUMMYFUNCTION("""COMPUTED_VALUE"""),0.251999999862164)</f>
        <v>0.25199999986216398</v>
      </c>
      <c r="J12" s="174">
        <f ca="1">IFERROR(__xludf.DUMMYFUNCTION("""COMPUTED_VALUE"""),99.9999804973742)</f>
        <v>99.999980497374196</v>
      </c>
      <c r="K12" s="173">
        <f ca="1">IFERROR(__xludf.DUMMYFUNCTION("""COMPUTED_VALUE"""),0)</f>
        <v>0</v>
      </c>
      <c r="L12" s="173">
        <f ca="1">IFERROR(__xludf.DUMMYFUNCTION("""COMPUTED_VALUE"""),0)</f>
        <v>0</v>
      </c>
      <c r="M12" s="173">
        <f ca="1">IFERROR(__xludf.DUMMYFUNCTION("""COMPUTED_VALUE"""),0)</f>
        <v>0</v>
      </c>
      <c r="N12" s="173">
        <f ca="1">IFERROR(__xludf.DUMMYFUNCTION("""COMPUTED_VALUE"""),0)</f>
        <v>0</v>
      </c>
      <c r="O12" s="173">
        <f ca="1">IFERROR(__xludf.DUMMYFUNCTION("""COMPUTED_VALUE"""),0)</f>
        <v>0</v>
      </c>
      <c r="P12" s="173">
        <f ca="1">IFERROR(__xludf.DUMMYFUNCTION("""COMPUTED_VALUE"""),0)</f>
        <v>0</v>
      </c>
      <c r="Q12" s="173">
        <f ca="1">IFERROR(__xludf.DUMMYFUNCTION("""COMPUTED_VALUE"""),0.033000000001266)</f>
        <v>3.3000000001266003E-2</v>
      </c>
      <c r="R12" s="173">
        <f ca="1">IFERROR(__xludf.DUMMYFUNCTION("""COMPUTED_VALUE"""),0)</f>
        <v>0</v>
      </c>
      <c r="S12" s="173">
        <f ca="1">IFERROR(__xludf.DUMMYFUNCTION("""COMPUTED_VALUE"""),0)</f>
        <v>0</v>
      </c>
      <c r="T12" s="173">
        <f ca="1">IFERROR(__xludf.DUMMYFUNCTION("""COMPUTED_VALUE"""),0)</f>
        <v>0</v>
      </c>
      <c r="U12" s="173">
        <f ca="1">IFERROR(__xludf.DUMMYFUNCTION("""COMPUTED_VALUE"""),0.0690000000000168)</f>
        <v>6.9000000000016798E-2</v>
      </c>
      <c r="V12" s="173">
        <f ca="1">IFERROR(__xludf.DUMMYFUNCTION("""COMPUTED_VALUE"""),0)</f>
        <v>0</v>
      </c>
      <c r="W12" s="175">
        <f ca="1">IFERROR(__xludf.DUMMYFUNCTION("""COMPUTED_VALUE"""),0.149999999965075)</f>
        <v>0.14999999996507499</v>
      </c>
      <c r="X12" s="173">
        <f ca="1">IFERROR(__xludf.DUMMYFUNCTION("""COMPUTED_VALUE"""),0)</f>
        <v>0</v>
      </c>
      <c r="Y12" s="173">
        <f ca="1">IFERROR(__xludf.DUMMYFUNCTION("""COMPUTED_VALUE"""),0)</f>
        <v>0</v>
      </c>
      <c r="Z12" s="177"/>
      <c r="AA12" s="178"/>
    </row>
    <row r="13" spans="1:27" ht="15">
      <c r="A13" s="172" t="s">
        <v>95</v>
      </c>
      <c r="B13" s="173">
        <f ca="1">IFERROR(__xludf.DUMMYFUNCTION("""COMPUTED_VALUE"""),1698582)</f>
        <v>1698582</v>
      </c>
      <c r="C13" s="173">
        <f ca="1">IFERROR(__xludf.DUMMYFUNCTION("""COMPUTED_VALUE"""),1174274.09999999)</f>
        <v>1174274.0999999901</v>
      </c>
      <c r="D13" s="173">
        <f ca="1">IFERROR(__xludf.DUMMYFUNCTION("""COMPUTED_VALUE"""),1174114.35292)</f>
        <v>1174114.35292</v>
      </c>
      <c r="E13" s="173">
        <f ca="1">IFERROR(__xludf.DUMMYFUNCTION("""COMPUTED_VALUE"""),159.747079999884)</f>
        <v>159.74707999988399</v>
      </c>
      <c r="F13" s="173">
        <f ca="1">IFERROR(__xludf.DUMMYFUNCTION("""COMPUTED_VALUE"""),99.9863960995137)</f>
        <v>99.986396099513698</v>
      </c>
      <c r="G13" s="173">
        <f ca="1">IFERROR(__xludf.DUMMYFUNCTION("""COMPUTED_VALUE"""),836317.1)</f>
        <v>836317.1</v>
      </c>
      <c r="H13" s="173">
        <f ca="1">IFERROR(__xludf.DUMMYFUNCTION("""COMPUTED_VALUE"""),836268.22095)</f>
        <v>836268.22094999999</v>
      </c>
      <c r="I13" s="173">
        <f ca="1">IFERROR(__xludf.DUMMYFUNCTION("""COMPUTED_VALUE"""),48.8790499999886)</f>
        <v>48.879049999988602</v>
      </c>
      <c r="J13" s="174">
        <f ca="1">IFERROR(__xludf.DUMMYFUNCTION("""COMPUTED_VALUE"""),99.9941554405619)</f>
        <v>99.994155440561897</v>
      </c>
      <c r="K13" s="173">
        <f ca="1">IFERROR(__xludf.DUMMYFUNCTION("""COMPUTED_VALUE"""),0)</f>
        <v>0</v>
      </c>
      <c r="L13" s="181">
        <f ca="1">IFERROR(__xludf.DUMMYFUNCTION("""COMPUTED_VALUE"""),39.4499999999999)</f>
        <v>39.449999999999903</v>
      </c>
      <c r="M13" s="173">
        <f ca="1">IFERROR(__xludf.DUMMYFUNCTION("""COMPUTED_VALUE"""),0.000419999999849096)</f>
        <v>4.1999999984909599E-4</v>
      </c>
      <c r="N13" s="173">
        <f ca="1">IFERROR(__xludf.DUMMYFUNCTION("""COMPUTED_VALUE"""),0)</f>
        <v>0</v>
      </c>
      <c r="O13" s="173">
        <f ca="1">IFERROR(__xludf.DUMMYFUNCTION("""COMPUTED_VALUE"""),0.0876000000000658)</f>
        <v>8.7600000000065806E-2</v>
      </c>
      <c r="P13" s="173">
        <f ca="1">IFERROR(__xludf.DUMMYFUNCTION("""COMPUTED_VALUE"""),0)</f>
        <v>0</v>
      </c>
      <c r="Q13" s="173">
        <f ca="1">IFERROR(__xludf.DUMMYFUNCTION("""COMPUTED_VALUE"""),1.1627199999998)</f>
        <v>1.1627199999997999</v>
      </c>
      <c r="R13" s="173">
        <f ca="1">IFERROR(__xludf.DUMMYFUNCTION("""COMPUTED_VALUE"""),0.0504600000003847)</f>
        <v>5.0460000000384697E-2</v>
      </c>
      <c r="S13" s="173">
        <f ca="1">IFERROR(__xludf.DUMMYFUNCTION("""COMPUTED_VALUE"""),0)</f>
        <v>0</v>
      </c>
      <c r="T13" s="173">
        <f ca="1">IFERROR(__xludf.DUMMYFUNCTION("""COMPUTED_VALUE"""),0.0399999999999636)</f>
        <v>3.9999999999963599E-2</v>
      </c>
      <c r="U13" s="173">
        <f ca="1">IFERROR(__xludf.DUMMYFUNCTION("""COMPUTED_VALUE"""),0)</f>
        <v>0</v>
      </c>
      <c r="V13" s="173">
        <f ca="1">IFERROR(__xludf.DUMMYFUNCTION("""COMPUTED_VALUE"""),0.719260000000019)</f>
        <v>0.719260000000019</v>
      </c>
      <c r="W13" s="175">
        <f ca="1">IFERROR(__xludf.DUMMYFUNCTION("""COMPUTED_VALUE"""),0)</f>
        <v>0</v>
      </c>
      <c r="X13" s="173">
        <f ca="1">IFERROR(__xludf.DUMMYFUNCTION("""COMPUTED_VALUE"""),7.28858999999999)</f>
        <v>7.2885899999999904</v>
      </c>
      <c r="Y13" s="173">
        <f ca="1">IFERROR(__xludf.DUMMYFUNCTION("""COMPUTED_VALUE"""),0.0799999999999272)</f>
        <v>7.9999999999927199E-2</v>
      </c>
      <c r="Z13" s="177"/>
      <c r="AA13" s="178"/>
    </row>
    <row r="14" spans="1:27" ht="30">
      <c r="A14" s="172" t="s">
        <v>96</v>
      </c>
      <c r="B14" s="173">
        <f ca="1">IFERROR(__xludf.DUMMYFUNCTION("""COMPUTED_VALUE"""),2371267.2)</f>
        <v>2371267.2000000002</v>
      </c>
      <c r="C14" s="173">
        <f ca="1">IFERROR(__xludf.DUMMYFUNCTION("""COMPUTED_VALUE"""),1694045.2)</f>
        <v>1694045.2</v>
      </c>
      <c r="D14" s="173">
        <f ca="1">IFERROR(__xludf.DUMMYFUNCTION("""COMPUTED_VALUE"""),1685389.74199999)</f>
        <v>1685389.7419999901</v>
      </c>
      <c r="E14" s="173">
        <f ca="1">IFERROR(__xludf.DUMMYFUNCTION("""COMPUTED_VALUE"""),8655.45800000033)</f>
        <v>8655.4580000003298</v>
      </c>
      <c r="F14" s="173">
        <f ca="1">IFERROR(__xludf.DUMMYFUNCTION("""COMPUTED_VALUE"""),99.4890656990734)</f>
        <v>99.489065699073393</v>
      </c>
      <c r="G14" s="173">
        <f ca="1">IFERROR(__xludf.DUMMYFUNCTION("""COMPUTED_VALUE"""),1118258.6)</f>
        <v>1118258.6000000001</v>
      </c>
      <c r="H14" s="173">
        <f ca="1">IFERROR(__xludf.DUMMYFUNCTION("""COMPUTED_VALUE"""),1117935.074)</f>
        <v>1117935.074</v>
      </c>
      <c r="I14" s="182">
        <f ca="1">IFERROR(__xludf.DUMMYFUNCTION("""COMPUTED_VALUE"""),323.52600000007)</f>
        <v>323.52600000006998</v>
      </c>
      <c r="J14" s="174">
        <f ca="1">IFERROR(__xludf.DUMMYFUNCTION("""COMPUTED_VALUE"""),99.9710687670991)</f>
        <v>99.971068767099098</v>
      </c>
      <c r="K14" s="173">
        <f ca="1">IFERROR(__xludf.DUMMYFUNCTION("""COMPUTED_VALUE"""),0.0500000000120053)</f>
        <v>5.0000000012005302E-2</v>
      </c>
      <c r="L14" s="181">
        <f ca="1">IFERROR(__xludf.DUMMYFUNCTION("""COMPUTED_VALUE"""),48.2000000000002)</f>
        <v>48.200000000000202</v>
      </c>
      <c r="M14" s="181">
        <f ca="1">IFERROR(__xludf.DUMMYFUNCTION("""COMPUTED_VALUE"""),269.01)</f>
        <v>269.01</v>
      </c>
      <c r="N14" s="173">
        <f ca="1">IFERROR(__xludf.DUMMYFUNCTION("""COMPUTED_VALUE"""),0)</f>
        <v>0</v>
      </c>
      <c r="O14" s="173">
        <f ca="1">IFERROR(__xludf.DUMMYFUNCTION("""COMPUTED_VALUE"""),0.940000000000054)</f>
        <v>0.94000000000005401</v>
      </c>
      <c r="P14" s="173">
        <f ca="1">IFERROR(__xludf.DUMMYFUNCTION("""COMPUTED_VALUE"""),0)</f>
        <v>0</v>
      </c>
      <c r="Q14" s="173">
        <f ca="1">IFERROR(__xludf.DUMMYFUNCTION("""COMPUTED_VALUE"""),0.639999999999636)</f>
        <v>0.63999999999963597</v>
      </c>
      <c r="R14" s="173">
        <f ca="1">IFERROR(__xludf.DUMMYFUNCTION("""COMPUTED_VALUE"""),0)</f>
        <v>0</v>
      </c>
      <c r="S14" s="173">
        <f ca="1">IFERROR(__xludf.DUMMYFUNCTION("""COMPUTED_VALUE"""),0)</f>
        <v>0</v>
      </c>
      <c r="T14" s="173">
        <f ca="1">IFERROR(__xludf.DUMMYFUNCTION("""COMPUTED_VALUE"""),0)</f>
        <v>0</v>
      </c>
      <c r="U14" s="173">
        <f ca="1">IFERROR(__xludf.DUMMYFUNCTION("""COMPUTED_VALUE"""),0.680000000000063)</f>
        <v>0.680000000000063</v>
      </c>
      <c r="V14" s="173">
        <f ca="1">IFERROR(__xludf.DUMMYFUNCTION("""COMPUTED_VALUE"""),1.72000000000001)</f>
        <v>1.72000000000001</v>
      </c>
      <c r="W14" s="175">
        <f ca="1">IFERROR(__xludf.DUMMYFUNCTION("""COMPUTED_VALUE"""),0)</f>
        <v>0</v>
      </c>
      <c r="X14" s="173">
        <f ca="1">IFERROR(__xludf.DUMMYFUNCTION("""COMPUTED_VALUE"""),2.27599999999994)</f>
        <v>2.2759999999999398</v>
      </c>
      <c r="Y14" s="173">
        <f ca="1">IFERROR(__xludf.DUMMYFUNCTION("""COMPUTED_VALUE"""),0)</f>
        <v>0</v>
      </c>
      <c r="Z14" s="177">
        <f ca="1">IFERROR(__xludf.DUMMYFUNCTION("""COMPUTED_VALUE"""),0)</f>
        <v>0</v>
      </c>
      <c r="AA14" s="178"/>
    </row>
    <row r="15" spans="1:27" ht="30">
      <c r="A15" s="172" t="s">
        <v>97</v>
      </c>
      <c r="B15" s="173">
        <f ca="1">IFERROR(__xludf.DUMMYFUNCTION("""COMPUTED_VALUE"""),2076315)</f>
        <v>2076315</v>
      </c>
      <c r="C15" s="173">
        <f ca="1">IFERROR(__xludf.DUMMYFUNCTION("""COMPUTED_VALUE"""),1537145.5)</f>
        <v>1537145.5</v>
      </c>
      <c r="D15" s="173">
        <f ca="1">IFERROR(__xludf.DUMMYFUNCTION("""COMPUTED_VALUE"""),1515598.36997)</f>
        <v>1515598.3699700001</v>
      </c>
      <c r="E15" s="173">
        <f ca="1">IFERROR(__xludf.DUMMYFUNCTION("""COMPUTED_VALUE"""),21547.1300299998)</f>
        <v>21547.1300299998</v>
      </c>
      <c r="F15" s="173">
        <f ca="1">IFERROR(__xludf.DUMMYFUNCTION("""COMPUTED_VALUE"""),98.5982374453166)</f>
        <v>98.598237445316599</v>
      </c>
      <c r="G15" s="173">
        <f ca="1">IFERROR(__xludf.DUMMYFUNCTION("""COMPUTED_VALUE"""),1065730.1)</f>
        <v>1065730.1000000001</v>
      </c>
      <c r="H15" s="173">
        <f ca="1">IFERROR(__xludf.DUMMYFUNCTION("""COMPUTED_VALUE"""),1065683.51284)</f>
        <v>1065683.51284</v>
      </c>
      <c r="I15" s="173">
        <f ca="1">IFERROR(__xludf.DUMMYFUNCTION("""COMPUTED_VALUE"""),46.5871600001119)</f>
        <v>46.587160000111901</v>
      </c>
      <c r="J15" s="174">
        <f ca="1">IFERROR(__xludf.DUMMYFUNCTION("""COMPUTED_VALUE"""),99.9956286155378)</f>
        <v>99.995628615537797</v>
      </c>
      <c r="K15" s="173">
        <f ca="1">IFERROR(__xludf.DUMMYFUNCTION("""COMPUTED_VALUE"""),45.8269999999975)</f>
        <v>45.826999999997497</v>
      </c>
      <c r="L15" s="173">
        <f ca="1">IFERROR(__xludf.DUMMYFUNCTION("""COMPUTED_VALUE"""),0)</f>
        <v>0</v>
      </c>
      <c r="M15" s="173">
        <f ca="1">IFERROR(__xludf.DUMMYFUNCTION("""COMPUTED_VALUE"""),0)</f>
        <v>0</v>
      </c>
      <c r="N15" s="173">
        <f ca="1">IFERROR(__xludf.DUMMYFUNCTION("""COMPUTED_VALUE"""),0)</f>
        <v>0</v>
      </c>
      <c r="O15" s="173">
        <f ca="1">IFERROR(__xludf.DUMMYFUNCTION("""COMPUTED_VALUE"""),0)</f>
        <v>0</v>
      </c>
      <c r="P15" s="173">
        <f ca="1">IFERROR(__xludf.DUMMYFUNCTION("""COMPUTED_VALUE"""),0)</f>
        <v>0</v>
      </c>
      <c r="Q15" s="173">
        <f ca="1">IFERROR(__xludf.DUMMYFUNCTION("""COMPUTED_VALUE"""),0.169959999999264)</f>
        <v>0.16995999999926401</v>
      </c>
      <c r="R15" s="173">
        <f ca="1">IFERROR(__xludf.DUMMYFUNCTION("""COMPUTED_VALUE"""),0.0174399999996239)</f>
        <v>1.7439999999623899E-2</v>
      </c>
      <c r="S15" s="173">
        <f ca="1">IFERROR(__xludf.DUMMYFUNCTION("""COMPUTED_VALUE"""),0.460000000000036)</f>
        <v>0.46000000000003599</v>
      </c>
      <c r="T15" s="173">
        <f ca="1">IFERROR(__xludf.DUMMYFUNCTION("""COMPUTED_VALUE"""),0.0549999999998362)</f>
        <v>5.4999999999836201E-2</v>
      </c>
      <c r="U15" s="173">
        <f ca="1">IFERROR(__xludf.DUMMYFUNCTION("""COMPUTED_VALUE"""),0.0000799999997980194)</f>
        <v>7.9999999798019403E-5</v>
      </c>
      <c r="V15" s="173">
        <f ca="1">IFERROR(__xludf.DUMMYFUNCTION("""COMPUTED_VALUE"""),0.0471800000000257)</f>
        <v>4.7180000000025701E-2</v>
      </c>
      <c r="W15" s="175">
        <f ca="1">IFERROR(__xludf.DUMMYFUNCTION("""COMPUTED_VALUE"""),0)</f>
        <v>0</v>
      </c>
      <c r="X15" s="173">
        <f ca="1">IFERROR(__xludf.DUMMYFUNCTION("""COMPUTED_VALUE"""),0.0104999999999897)</f>
        <v>1.04999999999897E-2</v>
      </c>
      <c r="Y15" s="173">
        <f ca="1">IFERROR(__xludf.DUMMYFUNCTION("""COMPUTED_VALUE"""),0)</f>
        <v>0</v>
      </c>
      <c r="Z15" s="177"/>
      <c r="AA15" s="178"/>
    </row>
    <row r="16" spans="1:27" ht="30">
      <c r="A16" s="172" t="s">
        <v>98</v>
      </c>
      <c r="B16" s="173">
        <f ca="1">IFERROR(__xludf.DUMMYFUNCTION("""COMPUTED_VALUE"""),2316724.5)</f>
        <v>2316724.5</v>
      </c>
      <c r="C16" s="173">
        <f ca="1">IFERROR(__xludf.DUMMYFUNCTION("""COMPUTED_VALUE"""),1730661.4)</f>
        <v>1730661.4</v>
      </c>
      <c r="D16" s="173">
        <f ca="1">IFERROR(__xludf.DUMMYFUNCTION("""COMPUTED_VALUE"""),1730026.624)</f>
        <v>1730026.6240000001</v>
      </c>
      <c r="E16" s="173">
        <f ca="1">IFERROR(__xludf.DUMMYFUNCTION("""COMPUTED_VALUE"""),634.775999999837)</f>
        <v>634.77599999983704</v>
      </c>
      <c r="F16" s="173">
        <f ca="1">IFERROR(__xludf.DUMMYFUNCTION("""COMPUTED_VALUE"""),99.963321768198)</f>
        <v>99.963321768198</v>
      </c>
      <c r="G16" s="173">
        <f ca="1">IFERROR(__xludf.DUMMYFUNCTION("""COMPUTED_VALUE"""),1145117.7)</f>
        <v>1145117.7</v>
      </c>
      <c r="H16" s="173">
        <f ca="1">IFERROR(__xludf.DUMMYFUNCTION("""COMPUTED_VALUE"""),1145043.13099999)</f>
        <v>1145043.13099999</v>
      </c>
      <c r="I16" s="173">
        <f ca="1">IFERROR(__xludf.DUMMYFUNCTION("""COMPUTED_VALUE"""),74.5690000001341)</f>
        <v>74.569000000134096</v>
      </c>
      <c r="J16" s="174">
        <f ca="1">IFERROR(__xludf.DUMMYFUNCTION("""COMPUTED_VALUE"""),99.9934880929707)</f>
        <v>99.993488092970694</v>
      </c>
      <c r="K16" s="173">
        <f ca="1">IFERROR(__xludf.DUMMYFUNCTION("""COMPUTED_VALUE"""),73.1960000000035)</f>
        <v>73.196000000003494</v>
      </c>
      <c r="L16" s="173">
        <f ca="1">IFERROR(__xludf.DUMMYFUNCTION("""COMPUTED_VALUE"""),0)</f>
        <v>0</v>
      </c>
      <c r="M16" s="173">
        <f ca="1">IFERROR(__xludf.DUMMYFUNCTION("""COMPUTED_VALUE"""),0)</f>
        <v>0</v>
      </c>
      <c r="N16" s="173">
        <f ca="1">IFERROR(__xludf.DUMMYFUNCTION("""COMPUTED_VALUE"""),0)</f>
        <v>0</v>
      </c>
      <c r="O16" s="173">
        <f ca="1">IFERROR(__xludf.DUMMYFUNCTION("""COMPUTED_VALUE"""),0.412000000000006)</f>
        <v>0.41200000000000597</v>
      </c>
      <c r="P16" s="173">
        <f ca="1">IFERROR(__xludf.DUMMYFUNCTION("""COMPUTED_VALUE"""),0)</f>
        <v>0</v>
      </c>
      <c r="Q16" s="173">
        <f ca="1">IFERROR(__xludf.DUMMYFUNCTION("""COMPUTED_VALUE"""),0.131999999999607)</f>
        <v>0.13199999999960699</v>
      </c>
      <c r="R16" s="173">
        <f ca="1">IFERROR(__xludf.DUMMYFUNCTION("""COMPUTED_VALUE"""),0)</f>
        <v>0</v>
      </c>
      <c r="S16" s="173">
        <f ca="1">IFERROR(__xludf.DUMMYFUNCTION("""COMPUTED_VALUE"""),0)</f>
        <v>0</v>
      </c>
      <c r="T16" s="173">
        <f ca="1">IFERROR(__xludf.DUMMYFUNCTION("""COMPUTED_VALUE"""),0)</f>
        <v>0</v>
      </c>
      <c r="U16" s="173">
        <f ca="1">IFERROR(__xludf.DUMMYFUNCTION("""COMPUTED_VALUE"""),0.383999999999275)</f>
        <v>0.38399999999927498</v>
      </c>
      <c r="V16" s="173">
        <f ca="1">IFERROR(__xludf.DUMMYFUNCTION("""COMPUTED_VALUE"""),0.0410000000000536)</f>
        <v>4.1000000000053598E-2</v>
      </c>
      <c r="W16" s="175">
        <f ca="1">IFERROR(__xludf.DUMMYFUNCTION("""COMPUTED_VALUE"""),0)</f>
        <v>0</v>
      </c>
      <c r="X16" s="173">
        <f ca="1">IFERROR(__xludf.DUMMYFUNCTION("""COMPUTED_VALUE"""),0.343999999999994)</f>
        <v>0.34399999999999398</v>
      </c>
      <c r="Y16" s="173">
        <f ca="1">IFERROR(__xludf.DUMMYFUNCTION("""COMPUTED_VALUE"""),0.0599999999999454)</f>
        <v>5.9999999999945403E-2</v>
      </c>
      <c r="Z16" s="177"/>
      <c r="AA16" s="178"/>
    </row>
    <row r="17" spans="1:27" ht="30">
      <c r="A17" s="172" t="s">
        <v>99</v>
      </c>
      <c r="B17" s="173">
        <f ca="1">IFERROR(__xludf.DUMMYFUNCTION("""COMPUTED_VALUE"""),1285654.3)</f>
        <v>1285654.3</v>
      </c>
      <c r="C17" s="173">
        <f ca="1">IFERROR(__xludf.DUMMYFUNCTION("""COMPUTED_VALUE"""),992472.2)</f>
        <v>992472.2</v>
      </c>
      <c r="D17" s="173">
        <f ca="1">IFERROR(__xludf.DUMMYFUNCTION("""COMPUTED_VALUE"""),989627.26983)</f>
        <v>989627.26983</v>
      </c>
      <c r="E17" s="173">
        <f ca="1">IFERROR(__xludf.DUMMYFUNCTION("""COMPUTED_VALUE"""),2844.93016999994)</f>
        <v>2844.9301699999401</v>
      </c>
      <c r="F17" s="173">
        <f ca="1">IFERROR(__xludf.DUMMYFUNCTION("""COMPUTED_VALUE"""),99.7133491326004)</f>
        <v>99.713349132600399</v>
      </c>
      <c r="G17" s="173">
        <f ca="1">IFERROR(__xludf.DUMMYFUNCTION("""COMPUTED_VALUE"""),604047.4)</f>
        <v>604047.4</v>
      </c>
      <c r="H17" s="173">
        <f ca="1">IFERROR(__xludf.DUMMYFUNCTION("""COMPUTED_VALUE"""),604021.84792)</f>
        <v>604021.84791999997</v>
      </c>
      <c r="I17" s="173">
        <f ca="1">IFERROR(__xludf.DUMMYFUNCTION("""COMPUTED_VALUE"""),25.5520800000522)</f>
        <v>25.5520800000522</v>
      </c>
      <c r="J17" s="174">
        <f ca="1">IFERROR(__xludf.DUMMYFUNCTION("""COMPUTED_VALUE"""),99.9957698551471)</f>
        <v>99.995769855147103</v>
      </c>
      <c r="K17" s="173">
        <f ca="1">IFERROR(__xludf.DUMMYFUNCTION("""COMPUTED_VALUE"""),25.220420000006)</f>
        <v>25.220420000006001</v>
      </c>
      <c r="L17" s="173">
        <f ca="1">IFERROR(__xludf.DUMMYFUNCTION("""COMPUTED_VALUE"""),0)</f>
        <v>0</v>
      </c>
      <c r="M17" s="173">
        <f ca="1">IFERROR(__xludf.DUMMYFUNCTION("""COMPUTED_VALUE"""),0)</f>
        <v>0</v>
      </c>
      <c r="N17" s="173">
        <f ca="1">IFERROR(__xludf.DUMMYFUNCTION("""COMPUTED_VALUE"""),0)</f>
        <v>0</v>
      </c>
      <c r="O17" s="173">
        <f ca="1">IFERROR(__xludf.DUMMYFUNCTION("""COMPUTED_VALUE"""),0)</f>
        <v>0</v>
      </c>
      <c r="P17" s="173">
        <f ca="1">IFERROR(__xludf.DUMMYFUNCTION("""COMPUTED_VALUE"""),0)</f>
        <v>0</v>
      </c>
      <c r="Q17" s="173">
        <f ca="1">IFERROR(__xludf.DUMMYFUNCTION("""COMPUTED_VALUE"""),0.033730000000105)</f>
        <v>3.3730000000105002E-2</v>
      </c>
      <c r="R17" s="173">
        <f ca="1">IFERROR(__xludf.DUMMYFUNCTION("""COMPUTED_VALUE"""),0.0247399999998378)</f>
        <v>2.4739999999837801E-2</v>
      </c>
      <c r="S17" s="173">
        <f ca="1">IFERROR(__xludf.DUMMYFUNCTION("""COMPUTED_VALUE"""),0)</f>
        <v>0</v>
      </c>
      <c r="T17" s="173">
        <f ca="1">IFERROR(__xludf.DUMMYFUNCTION("""COMPUTED_VALUE"""),0.0859999999997853)</f>
        <v>8.5999999999785304E-2</v>
      </c>
      <c r="U17" s="173">
        <f ca="1">IFERROR(__xludf.DUMMYFUNCTION("""COMPUTED_VALUE"""),0.0187999999999988)</f>
        <v>1.87999999999988E-2</v>
      </c>
      <c r="V17" s="173">
        <f ca="1">IFERROR(__xludf.DUMMYFUNCTION("""COMPUTED_VALUE"""),0.0566400000000157)</f>
        <v>5.6640000000015699E-2</v>
      </c>
      <c r="W17" s="183">
        <f ca="1">IFERROR(__xludf.DUMMYFUNCTION("""COMPUTED_VALUE"""),0.0651199999847449)</f>
        <v>6.5119999984744895E-2</v>
      </c>
      <c r="X17" s="173">
        <f ca="1">IFERROR(__xludf.DUMMYFUNCTION("""COMPUTED_VALUE"""),0.0466299999999932)</f>
        <v>4.6629999999993198E-2</v>
      </c>
      <c r="Y17" s="173">
        <f ca="1">IFERROR(__xludf.DUMMYFUNCTION("""COMPUTED_VALUE"""),0)</f>
        <v>0</v>
      </c>
      <c r="Z17" s="177"/>
      <c r="AA17" s="178"/>
    </row>
    <row r="18" spans="1:27" ht="30">
      <c r="A18" s="172" t="s">
        <v>100</v>
      </c>
      <c r="B18" s="173">
        <f ca="1">IFERROR(__xludf.DUMMYFUNCTION("""COMPUTED_VALUE"""),2063858.4)</f>
        <v>2063858.4</v>
      </c>
      <c r="C18" s="173">
        <f ca="1">IFERROR(__xludf.DUMMYFUNCTION("""COMPUTED_VALUE"""),1525312.59999999)</f>
        <v>1525312.5999999901</v>
      </c>
      <c r="D18" s="173">
        <f ca="1">IFERROR(__xludf.DUMMYFUNCTION("""COMPUTED_VALUE"""),1524798.153)</f>
        <v>1524798.1529999999</v>
      </c>
      <c r="E18" s="173">
        <f ca="1">IFERROR(__xludf.DUMMYFUNCTION("""COMPUTED_VALUE"""),514.446999999927)</f>
        <v>514.44699999992702</v>
      </c>
      <c r="F18" s="173">
        <f ca="1">IFERROR(__xludf.DUMMYFUNCTION("""COMPUTED_VALUE"""),99.9662726840386)</f>
        <v>99.9662726840386</v>
      </c>
      <c r="G18" s="173">
        <f ca="1">IFERROR(__xludf.DUMMYFUNCTION("""COMPUTED_VALUE"""),1027708.89999999)</f>
        <v>1027708.89999999</v>
      </c>
      <c r="H18" s="173">
        <f ca="1">IFERROR(__xludf.DUMMYFUNCTION("""COMPUTED_VALUE"""),1027008.96199999)</f>
        <v>1027008.96199999</v>
      </c>
      <c r="I18" s="173">
        <f ca="1">IFERROR(__xludf.DUMMYFUNCTION("""COMPUTED_VALUE"""),699.937999999965)</f>
        <v>699.93799999996497</v>
      </c>
      <c r="J18" s="174">
        <f ca="1">IFERROR(__xludf.DUMMYFUNCTION("""COMPUTED_VALUE"""),99.931893360075)</f>
        <v>99.931893360074994</v>
      </c>
      <c r="K18" s="173">
        <f ca="1">IFERROR(__xludf.DUMMYFUNCTION("""COMPUTED_VALUE"""),0)</f>
        <v>0</v>
      </c>
      <c r="L18" s="173">
        <f ca="1">IFERROR(__xludf.DUMMYFUNCTION("""COMPUTED_VALUE"""),0)</f>
        <v>0</v>
      </c>
      <c r="M18" s="173">
        <f ca="1">IFERROR(__xludf.DUMMYFUNCTION("""COMPUTED_VALUE"""),0)</f>
        <v>0</v>
      </c>
      <c r="N18" s="173">
        <f ca="1">IFERROR(__xludf.DUMMYFUNCTION("""COMPUTED_VALUE"""),0)</f>
        <v>0</v>
      </c>
      <c r="O18" s="173">
        <f ca="1">IFERROR(__xludf.DUMMYFUNCTION("""COMPUTED_VALUE"""),46.447)</f>
        <v>46.447000000000003</v>
      </c>
      <c r="P18" s="181">
        <f ca="1">IFERROR(__xludf.DUMMYFUNCTION("""COMPUTED_VALUE"""),545.471)</f>
        <v>545.471</v>
      </c>
      <c r="Q18" s="173">
        <f ca="1">IFERROR(__xludf.DUMMYFUNCTION("""COMPUTED_VALUE"""),0)</f>
        <v>0</v>
      </c>
      <c r="R18" s="173">
        <f ca="1">IFERROR(__xludf.DUMMYFUNCTION("""COMPUTED_VALUE"""),42.3800000000001)</f>
        <v>42.380000000000102</v>
      </c>
      <c r="S18" s="173">
        <f ca="1">IFERROR(__xludf.DUMMYFUNCTION("""COMPUTED_VALUE"""),0)</f>
        <v>0</v>
      </c>
      <c r="T18" s="173">
        <f ca="1">IFERROR(__xludf.DUMMYFUNCTION("""COMPUTED_VALUE"""),0)</f>
        <v>0</v>
      </c>
      <c r="U18" s="173">
        <f ca="1">IFERROR(__xludf.DUMMYFUNCTION("""COMPUTED_VALUE"""),0)</f>
        <v>0</v>
      </c>
      <c r="V18" s="173">
        <f ca="1">IFERROR(__xludf.DUMMYFUNCTION("""COMPUTED_VALUE"""),0)</f>
        <v>0</v>
      </c>
      <c r="W18" s="183">
        <f ca="1">IFERROR(__xludf.DUMMYFUNCTION("""COMPUTED_VALUE"""),0)</f>
        <v>0</v>
      </c>
      <c r="X18" s="173">
        <f ca="1">IFERROR(__xludf.DUMMYFUNCTION("""COMPUTED_VALUE"""),65.6399999999999)</f>
        <v>65.639999999999901</v>
      </c>
      <c r="Y18" s="173">
        <f ca="1">IFERROR(__xludf.DUMMYFUNCTION("""COMPUTED_VALUE"""),0)</f>
        <v>0</v>
      </c>
      <c r="Z18" s="177"/>
      <c r="AA18" s="178"/>
    </row>
    <row r="19" spans="1:27" ht="15">
      <c r="A19" s="172" t="s">
        <v>101</v>
      </c>
      <c r="B19" s="173">
        <f ca="1">IFERROR(__xludf.DUMMYFUNCTION("""COMPUTED_VALUE"""),2119859.8)</f>
        <v>2119859.7999999998</v>
      </c>
      <c r="C19" s="173">
        <f ca="1">IFERROR(__xludf.DUMMYFUNCTION("""COMPUTED_VALUE"""),1648838.3)</f>
        <v>1648838.3</v>
      </c>
      <c r="D19" s="173">
        <f ca="1">IFERROR(__xludf.DUMMYFUNCTION("""COMPUTED_VALUE"""),1646236.487)</f>
        <v>1646236.487</v>
      </c>
      <c r="E19" s="173">
        <f ca="1">IFERROR(__xludf.DUMMYFUNCTION("""COMPUTED_VALUE"""),2601.81300000008)</f>
        <v>2601.8130000000801</v>
      </c>
      <c r="F19" s="173">
        <f ca="1">IFERROR(__xludf.DUMMYFUNCTION("""COMPUTED_VALUE"""),99.8422032651716)</f>
        <v>99.842203265171605</v>
      </c>
      <c r="G19" s="173">
        <f ca="1">IFERROR(__xludf.DUMMYFUNCTION("""COMPUTED_VALUE"""),1020832.1)</f>
        <v>1020832.1</v>
      </c>
      <c r="H19" s="173">
        <f ca="1">IFERROR(__xludf.DUMMYFUNCTION("""COMPUTED_VALUE"""),1020831.23899999)</f>
        <v>1020831.23899999</v>
      </c>
      <c r="I19" s="173">
        <f ca="1">IFERROR(__xludf.DUMMYFUNCTION("""COMPUTED_VALUE"""),0.861000000266358)</f>
        <v>0.86100000026635803</v>
      </c>
      <c r="J19" s="174">
        <f ca="1">IFERROR(__xludf.DUMMYFUNCTION("""COMPUTED_VALUE"""),99.9999156570409)</f>
        <v>99.999915657040901</v>
      </c>
      <c r="K19" s="179">
        <f ca="1">IFERROR(__xludf.DUMMYFUNCTION("""COMPUTED_VALUE"""),0)</f>
        <v>0</v>
      </c>
      <c r="L19" s="173">
        <f ca="1">IFERROR(__xludf.DUMMYFUNCTION("""COMPUTED_VALUE"""),0.529999999999745)</f>
        <v>0.52999999999974501</v>
      </c>
      <c r="M19" s="173">
        <f ca="1">IFERROR(__xludf.DUMMYFUNCTION("""COMPUTED_VALUE"""),0)</f>
        <v>0</v>
      </c>
      <c r="N19" s="173">
        <f ca="1">IFERROR(__xludf.DUMMYFUNCTION("""COMPUTED_VALUE"""),0)</f>
        <v>0</v>
      </c>
      <c r="O19" s="173">
        <f ca="1">IFERROR(__xludf.DUMMYFUNCTION("""COMPUTED_VALUE"""),0.0429999999998926)</f>
        <v>4.2999999999892603E-2</v>
      </c>
      <c r="P19" s="173">
        <f ca="1">IFERROR(__xludf.DUMMYFUNCTION("""COMPUTED_VALUE"""),0)</f>
        <v>0</v>
      </c>
      <c r="Q19" s="173">
        <f ca="1">IFERROR(__xludf.DUMMYFUNCTION("""COMPUTED_VALUE"""),0.0040000000008149)</f>
        <v>4.0000000008149003E-3</v>
      </c>
      <c r="R19" s="173">
        <f ca="1">IFERROR(__xludf.DUMMYFUNCTION("""COMPUTED_VALUE"""),0)</f>
        <v>0</v>
      </c>
      <c r="S19" s="173">
        <f ca="1">IFERROR(__xludf.DUMMYFUNCTION("""COMPUTED_VALUE"""),0)</f>
        <v>0</v>
      </c>
      <c r="T19" s="173">
        <f ca="1">IFERROR(__xludf.DUMMYFUNCTION("""COMPUTED_VALUE"""),0)</f>
        <v>0</v>
      </c>
      <c r="U19" s="173">
        <f ca="1">IFERROR(__xludf.DUMMYFUNCTION("""COMPUTED_VALUE"""),0)</f>
        <v>0</v>
      </c>
      <c r="V19" s="173">
        <f ca="1">IFERROR(__xludf.DUMMYFUNCTION("""COMPUTED_VALUE"""),0)</f>
        <v>0</v>
      </c>
      <c r="W19" s="183">
        <f ca="1">IFERROR(__xludf.DUMMYFUNCTION("""COMPUTED_VALUE"""),0)</f>
        <v>0</v>
      </c>
      <c r="X19" s="173">
        <f ca="1">IFERROR(__xludf.DUMMYFUNCTION("""COMPUTED_VALUE"""),0.204000000000029)</f>
        <v>0.20400000000002899</v>
      </c>
      <c r="Y19" s="173">
        <f ca="1">IFERROR(__xludf.DUMMYFUNCTION("""COMPUTED_VALUE"""),0.0799999999999272)</f>
        <v>7.9999999999927199E-2</v>
      </c>
      <c r="Z19" s="177"/>
      <c r="AA19" s="178"/>
    </row>
    <row r="20" spans="1:27" ht="30">
      <c r="A20" s="172" t="s">
        <v>102</v>
      </c>
      <c r="B20" s="173">
        <f ca="1">IFERROR(__xludf.DUMMYFUNCTION("""COMPUTED_VALUE"""),3418539.09999999)</f>
        <v>3418539.0999999898</v>
      </c>
      <c r="C20" s="173">
        <f ca="1">IFERROR(__xludf.DUMMYFUNCTION("""COMPUTED_VALUE"""),2637663.09999999)</f>
        <v>2637663.0999999898</v>
      </c>
      <c r="D20" s="173">
        <f ca="1">IFERROR(__xludf.DUMMYFUNCTION("""COMPUTED_VALUE"""),2556241.216)</f>
        <v>2556241.216</v>
      </c>
      <c r="E20" s="173">
        <f ca="1">IFERROR(__xludf.DUMMYFUNCTION("""COMPUTED_VALUE"""),81421.8839999996)</f>
        <v>81421.883999999598</v>
      </c>
      <c r="F20" s="173">
        <f ca="1">IFERROR(__xludf.DUMMYFUNCTION("""COMPUTED_VALUE"""),96.9131052407716)</f>
        <v>96.9131052407716</v>
      </c>
      <c r="G20" s="173">
        <f ca="1">IFERROR(__xludf.DUMMYFUNCTION("""COMPUTED_VALUE"""),1523457.1)</f>
        <v>1523457.1</v>
      </c>
      <c r="H20" s="173">
        <f ca="1">IFERROR(__xludf.DUMMYFUNCTION("""COMPUTED_VALUE"""),1523452.459)</f>
        <v>1523452.459</v>
      </c>
      <c r="I20" s="173">
        <f ca="1">IFERROR(__xludf.DUMMYFUNCTION("""COMPUTED_VALUE"""),4.64100000006146)</f>
        <v>4.6410000000614602</v>
      </c>
      <c r="J20" s="174">
        <f ca="1">IFERROR(__xludf.DUMMYFUNCTION("""COMPUTED_VALUE"""),99.9996953639193)</f>
        <v>99.999695363919301</v>
      </c>
      <c r="K20" s="173">
        <f ca="1">IFERROR(__xludf.DUMMYFUNCTION("""COMPUTED_VALUE"""),0)</f>
        <v>0</v>
      </c>
      <c r="L20" s="173">
        <f ca="1">IFERROR(__xludf.DUMMYFUNCTION("""COMPUTED_VALUE"""),0.450000000000045)</f>
        <v>0.45000000000004498</v>
      </c>
      <c r="M20" s="173">
        <f ca="1">IFERROR(__xludf.DUMMYFUNCTION("""COMPUTED_VALUE"""),0)</f>
        <v>0</v>
      </c>
      <c r="N20" s="173">
        <f ca="1">IFERROR(__xludf.DUMMYFUNCTION("""COMPUTED_VALUE"""),0)</f>
        <v>0</v>
      </c>
      <c r="O20" s="173">
        <f ca="1">IFERROR(__xludf.DUMMYFUNCTION("""COMPUTED_VALUE"""),0.159999999999996)</f>
        <v>0.15999999999999601</v>
      </c>
      <c r="P20" s="173">
        <f ca="1">IFERROR(__xludf.DUMMYFUNCTION("""COMPUTED_VALUE"""),0)</f>
        <v>0</v>
      </c>
      <c r="Q20" s="173">
        <f ca="1">IFERROR(__xludf.DUMMYFUNCTION("""COMPUTED_VALUE"""),0.28399999999965)</f>
        <v>0.28399999999964998</v>
      </c>
      <c r="R20" s="173">
        <f ca="1">IFERROR(__xludf.DUMMYFUNCTION("""COMPUTED_VALUE"""),0.055000000000291)</f>
        <v>5.5000000000290997E-2</v>
      </c>
      <c r="S20" s="173">
        <f ca="1">IFERROR(__xludf.DUMMYFUNCTION("""COMPUTED_VALUE"""),0)</f>
        <v>0</v>
      </c>
      <c r="T20" s="173">
        <f ca="1">IFERROR(__xludf.DUMMYFUNCTION("""COMPUTED_VALUE"""),0)</f>
        <v>0</v>
      </c>
      <c r="U20" s="173">
        <f ca="1">IFERROR(__xludf.DUMMYFUNCTION("""COMPUTED_VALUE"""),1.8099999999996)</f>
        <v>1.8099999999995999</v>
      </c>
      <c r="V20" s="173">
        <f ca="1">IFERROR(__xludf.DUMMYFUNCTION("""COMPUTED_VALUE"""),0.200000000000045)</f>
        <v>0.200000000000045</v>
      </c>
      <c r="W20" s="183">
        <f ca="1">IFERROR(__xludf.DUMMYFUNCTION("""COMPUTED_VALUE"""),0.820000000065192)</f>
        <v>0.82000000006519203</v>
      </c>
      <c r="X20" s="173">
        <f ca="1">IFERROR(__xludf.DUMMYFUNCTION("""COMPUTED_VALUE"""),0.382000000000005)</f>
        <v>0.382000000000005</v>
      </c>
      <c r="Y20" s="173">
        <f ca="1">IFERROR(__xludf.DUMMYFUNCTION("""COMPUTED_VALUE"""),0.479999999999904)</f>
        <v>0.479999999999904</v>
      </c>
      <c r="Z20" s="177"/>
      <c r="AA20" s="178"/>
    </row>
    <row r="21" spans="1:27" ht="15">
      <c r="A21" s="172" t="s">
        <v>103</v>
      </c>
      <c r="B21" s="173">
        <f ca="1">IFERROR(__xludf.DUMMYFUNCTION("""COMPUTED_VALUE"""),1550598.3)</f>
        <v>1550598.3</v>
      </c>
      <c r="C21" s="173">
        <f ca="1">IFERROR(__xludf.DUMMYFUNCTION("""COMPUTED_VALUE"""),1132851)</f>
        <v>1132851</v>
      </c>
      <c r="D21" s="173">
        <f ca="1">IFERROR(__xludf.DUMMYFUNCTION("""COMPUTED_VALUE"""),1132121.247)</f>
        <v>1132121.247</v>
      </c>
      <c r="E21" s="173">
        <f ca="1">IFERROR(__xludf.DUMMYFUNCTION("""COMPUTED_VALUE"""),729.753000000026)</f>
        <v>729.75300000002596</v>
      </c>
      <c r="F21" s="173">
        <f ca="1">IFERROR(__xludf.DUMMYFUNCTION("""COMPUTED_VALUE"""),99.9355826141302)</f>
        <v>99.935582614130197</v>
      </c>
      <c r="G21" s="173">
        <f ca="1">IFERROR(__xludf.DUMMYFUNCTION("""COMPUTED_VALUE"""),683747.2)</f>
        <v>683747.2</v>
      </c>
      <c r="H21" s="173">
        <f ca="1">IFERROR(__xludf.DUMMYFUNCTION("""COMPUTED_VALUE"""),680878.188)</f>
        <v>680878.18799999997</v>
      </c>
      <c r="I21" s="182">
        <f ca="1">IFERROR(__xludf.DUMMYFUNCTION("""COMPUTED_VALUE"""),2869.01199999998)</f>
        <v>2869.0119999999802</v>
      </c>
      <c r="J21" s="174">
        <f ca="1">IFERROR(__xludf.DUMMYFUNCTION("""COMPUTED_VALUE"""),99.5803987204627)</f>
        <v>99.580398720462696</v>
      </c>
      <c r="K21" s="173">
        <f ca="1">IFERROR(__xludf.DUMMYFUNCTION("""COMPUTED_VALUE"""),6.72999999998137)</f>
        <v>6.72999999998137</v>
      </c>
      <c r="L21" s="173">
        <f ca="1">IFERROR(__xludf.DUMMYFUNCTION("""COMPUTED_VALUE"""),0)</f>
        <v>0</v>
      </c>
      <c r="M21" s="181">
        <f ca="1">IFERROR(__xludf.DUMMYFUNCTION("""COMPUTED_VALUE"""),721.61)</f>
        <v>721.61</v>
      </c>
      <c r="N21" s="173">
        <f ca="1">IFERROR(__xludf.DUMMYFUNCTION("""COMPUTED_VALUE"""),0)</f>
        <v>0</v>
      </c>
      <c r="O21" s="181">
        <f ca="1">IFERROR(__xludf.DUMMYFUNCTION("""COMPUTED_VALUE"""),2139.2)</f>
        <v>2139.1999999999998</v>
      </c>
      <c r="P21" s="173">
        <f ca="1">IFERROR(__xludf.DUMMYFUNCTION("""COMPUTED_VALUE"""),0)</f>
        <v>0</v>
      </c>
      <c r="Q21" s="173">
        <f ca="1">IFERROR(__xludf.DUMMYFUNCTION("""COMPUTED_VALUE"""),0.0380000000000109)</f>
        <v>3.80000000000109E-2</v>
      </c>
      <c r="R21" s="173">
        <f ca="1">IFERROR(__xludf.DUMMYFUNCTION("""COMPUTED_VALUE"""),0.430000000000291)</f>
        <v>0.43000000000029098</v>
      </c>
      <c r="S21" s="173">
        <f ca="1">IFERROR(__xludf.DUMMYFUNCTION("""COMPUTED_VALUE"""),0)</f>
        <v>0</v>
      </c>
      <c r="T21" s="173">
        <f ca="1">IFERROR(__xludf.DUMMYFUNCTION("""COMPUTED_VALUE"""),0.0299999999999727)</f>
        <v>2.9999999999972701E-2</v>
      </c>
      <c r="U21" s="173">
        <f ca="1">IFERROR(__xludf.DUMMYFUNCTION("""COMPUTED_VALUE"""),0.774000000000029)</f>
        <v>0.774000000000029</v>
      </c>
      <c r="V21" s="173">
        <f ca="1">IFERROR(__xludf.DUMMYFUNCTION("""COMPUTED_VALUE"""),0)</f>
        <v>0</v>
      </c>
      <c r="W21" s="183">
        <f ca="1">IFERROR(__xludf.DUMMYFUNCTION("""COMPUTED_VALUE"""),0)</f>
        <v>0</v>
      </c>
      <c r="X21" s="173">
        <f ca="1">IFERROR(__xludf.DUMMYFUNCTION("""COMPUTED_VALUE"""),0)</f>
        <v>0</v>
      </c>
      <c r="Y21" s="173">
        <f ca="1">IFERROR(__xludf.DUMMYFUNCTION("""COMPUTED_VALUE"""),0.200000000000045)</f>
        <v>0.200000000000045</v>
      </c>
      <c r="Z21" s="177"/>
      <c r="AA21" s="178"/>
    </row>
    <row r="22" spans="1:27" ht="15">
      <c r="A22" s="172" t="s">
        <v>104</v>
      </c>
      <c r="B22" s="173">
        <f ca="1">IFERROR(__xludf.DUMMYFUNCTION("""COMPUTED_VALUE"""),3107811.19999999)</f>
        <v>3107811.1999999899</v>
      </c>
      <c r="C22" s="173">
        <f ca="1">IFERROR(__xludf.DUMMYFUNCTION("""COMPUTED_VALUE"""),2376043.2)</f>
        <v>2376043.2000000002</v>
      </c>
      <c r="D22" s="173">
        <f ca="1">IFERROR(__xludf.DUMMYFUNCTION("""COMPUTED_VALUE"""),2374258.459)</f>
        <v>2374258.4589999998</v>
      </c>
      <c r="E22" s="173">
        <f ca="1">IFERROR(__xludf.DUMMYFUNCTION("""COMPUTED_VALUE"""),1784.74100000038)</f>
        <v>1784.7410000003799</v>
      </c>
      <c r="F22" s="173">
        <f ca="1">IFERROR(__xludf.DUMMYFUNCTION("""COMPUTED_VALUE"""),99.9248860037561)</f>
        <v>99.9248860037561</v>
      </c>
      <c r="G22" s="173">
        <f ca="1">IFERROR(__xludf.DUMMYFUNCTION("""COMPUTED_VALUE"""),1365898.497)</f>
        <v>1365898.497</v>
      </c>
      <c r="H22" s="173">
        <f ca="1">IFERROR(__xludf.DUMMYFUNCTION("""COMPUTED_VALUE"""),1365898.433)</f>
        <v>1365898.433</v>
      </c>
      <c r="I22" s="173">
        <f ca="1">IFERROR(__xludf.DUMMYFUNCTION("""COMPUTED_VALUE"""),0.0639999997802078)</f>
        <v>6.3999999780207803E-2</v>
      </c>
      <c r="J22" s="174">
        <f ca="1">IFERROR(__xludf.DUMMYFUNCTION("""COMPUTED_VALUE"""),99.9999953144395)</f>
        <v>99.999995314439502</v>
      </c>
      <c r="K22" s="179">
        <f ca="1">IFERROR(__xludf.DUMMYFUNCTION("""COMPUTED_VALUE"""),0)</f>
        <v>0</v>
      </c>
      <c r="L22" s="173">
        <f ca="1">IFERROR(__xludf.DUMMYFUNCTION("""COMPUTED_VALUE"""),0)</f>
        <v>0</v>
      </c>
      <c r="M22" s="173">
        <f ca="1">IFERROR(__xludf.DUMMYFUNCTION("""COMPUTED_VALUE"""),0)</f>
        <v>0</v>
      </c>
      <c r="N22" s="173">
        <f ca="1">IFERROR(__xludf.DUMMYFUNCTION("""COMPUTED_VALUE"""),0)</f>
        <v>0</v>
      </c>
      <c r="O22" s="173">
        <f ca="1">IFERROR(__xludf.DUMMYFUNCTION("""COMPUTED_VALUE"""),0)</f>
        <v>0</v>
      </c>
      <c r="P22" s="173">
        <f ca="1">IFERROR(__xludf.DUMMYFUNCTION("""COMPUTED_VALUE"""),0)</f>
        <v>0</v>
      </c>
      <c r="Q22" s="173">
        <f ca="1">IFERROR(__xludf.DUMMYFUNCTION("""COMPUTED_VALUE"""),0)</f>
        <v>0</v>
      </c>
      <c r="R22" s="173">
        <f ca="1">IFERROR(__xludf.DUMMYFUNCTION("""COMPUTED_VALUE"""),0)</f>
        <v>0</v>
      </c>
      <c r="S22" s="173">
        <f ca="1">IFERROR(__xludf.DUMMYFUNCTION("""COMPUTED_VALUE"""),0)</f>
        <v>0</v>
      </c>
      <c r="T22" s="173">
        <f ca="1">IFERROR(__xludf.DUMMYFUNCTION("""COMPUTED_VALUE"""),0)</f>
        <v>0</v>
      </c>
      <c r="U22" s="173">
        <f ca="1">IFERROR(__xludf.DUMMYFUNCTION("""COMPUTED_VALUE"""),0)</f>
        <v>0</v>
      </c>
      <c r="V22" s="173">
        <f ca="1">IFERROR(__xludf.DUMMYFUNCTION("""COMPUTED_VALUE"""),0)</f>
        <v>0</v>
      </c>
      <c r="W22" s="184">
        <f ca="1">IFERROR(__xludf.DUMMYFUNCTION("""COMPUTED_VALUE"""),0.0259999999543651)</f>
        <v>2.59999999543651E-2</v>
      </c>
      <c r="X22" s="173">
        <f ca="1">IFERROR(__xludf.DUMMYFUNCTION("""COMPUTED_VALUE"""),0.0380000000000038)</f>
        <v>3.8000000000003802E-2</v>
      </c>
      <c r="Y22" s="173">
        <f ca="1">IFERROR(__xludf.DUMMYFUNCTION("""COMPUTED_VALUE"""),0)</f>
        <v>0</v>
      </c>
      <c r="Z22" s="177"/>
      <c r="AA22" s="178"/>
    </row>
    <row r="23" spans="1:27" ht="30">
      <c r="A23" s="185" t="s">
        <v>105</v>
      </c>
      <c r="B23" s="173">
        <f ca="1">IFERROR(__xludf.DUMMYFUNCTION("""COMPUTED_VALUE"""),2106118.3)</f>
        <v>2106118.2999999998</v>
      </c>
      <c r="C23" s="173">
        <f ca="1">IFERROR(__xludf.DUMMYFUNCTION("""COMPUTED_VALUE"""),1731745.4)</f>
        <v>1731745.4</v>
      </c>
      <c r="D23" s="173">
        <f ca="1">IFERROR(__xludf.DUMMYFUNCTION("""COMPUTED_VALUE"""),1696805.875)</f>
        <v>1696805.875</v>
      </c>
      <c r="E23" s="173">
        <f ca="1">IFERROR(__xludf.DUMMYFUNCTION("""COMPUTED_VALUE"""),34939.5249999999)</f>
        <v>34939.5249999999</v>
      </c>
      <c r="F23" s="173">
        <f ca="1">IFERROR(__xludf.DUMMYFUNCTION("""COMPUTED_VALUE"""),97.9824098276802)</f>
        <v>97.9824098276802</v>
      </c>
      <c r="G23" s="173">
        <f ca="1">IFERROR(__xludf.DUMMYFUNCTION("""COMPUTED_VALUE"""),933786.5)</f>
        <v>933786.5</v>
      </c>
      <c r="H23" s="173">
        <f ca="1">IFERROR(__xludf.DUMMYFUNCTION("""COMPUTED_VALUE"""),933511.701)</f>
        <v>933511.701</v>
      </c>
      <c r="I23" s="173">
        <f ca="1">IFERROR(__xludf.DUMMYFUNCTION("""COMPUTED_VALUE"""),274.798999999766)</f>
        <v>274.79899999976601</v>
      </c>
      <c r="J23" s="174">
        <f ca="1">IFERROR(__xludf.DUMMYFUNCTION("""COMPUTED_VALUE"""),99.970571538569)</f>
        <v>99.970571538569004</v>
      </c>
      <c r="K23" s="175">
        <f ca="1">IFERROR(__xludf.DUMMYFUNCTION("""COMPUTED_VALUE"""),231.480000000008)</f>
        <v>231.480000000008</v>
      </c>
      <c r="L23" s="173">
        <f ca="1">IFERROR(__xludf.DUMMYFUNCTION("""COMPUTED_VALUE"""),13.3609999999999)</f>
        <v>13.360999999999899</v>
      </c>
      <c r="M23" s="173">
        <f ca="1">IFERROR(__xludf.DUMMYFUNCTION("""COMPUTED_VALUE"""),0)</f>
        <v>0</v>
      </c>
      <c r="N23" s="173">
        <f ca="1">IFERROR(__xludf.DUMMYFUNCTION("""COMPUTED_VALUE"""),0)</f>
        <v>0</v>
      </c>
      <c r="O23" s="173">
        <f ca="1">IFERROR(__xludf.DUMMYFUNCTION("""COMPUTED_VALUE"""),0)</f>
        <v>0</v>
      </c>
      <c r="P23" s="173">
        <f ca="1">IFERROR(__xludf.DUMMYFUNCTION("""COMPUTED_VALUE"""),0)</f>
        <v>0</v>
      </c>
      <c r="Q23" s="173">
        <f ca="1">IFERROR(__xludf.DUMMYFUNCTION("""COMPUTED_VALUE"""),0.0570000000000163)</f>
        <v>5.7000000000016302E-2</v>
      </c>
      <c r="R23" s="173">
        <f ca="1">IFERROR(__xludf.DUMMYFUNCTION("""COMPUTED_VALUE"""),0.13299999999981)</f>
        <v>0.13299999999980999</v>
      </c>
      <c r="S23" s="173">
        <f ca="1">IFERROR(__xludf.DUMMYFUNCTION("""COMPUTED_VALUE"""),0)</f>
        <v>0</v>
      </c>
      <c r="T23" s="173">
        <f ca="1">IFERROR(__xludf.DUMMYFUNCTION("""COMPUTED_VALUE"""),0)</f>
        <v>0</v>
      </c>
      <c r="U23" s="175">
        <f ca="1">IFERROR(__xludf.DUMMYFUNCTION("""COMPUTED_VALUE"""),22.5040000000008)</f>
        <v>22.504000000000801</v>
      </c>
      <c r="V23" s="173">
        <f ca="1">IFERROR(__xludf.DUMMYFUNCTION("""COMPUTED_VALUE"""),6.27100000000001)</f>
        <v>6.2710000000000097</v>
      </c>
      <c r="W23" s="183">
        <f ca="1">IFERROR(__xludf.DUMMYFUNCTION("""COMPUTED_VALUE"""),0.847999999998137)</f>
        <v>0.84799999999813702</v>
      </c>
      <c r="X23" s="173">
        <f ca="1">IFERROR(__xludf.DUMMYFUNCTION("""COMPUTED_VALUE"""),0.104999999999868)</f>
        <v>0.104999999999868</v>
      </c>
      <c r="Y23" s="173">
        <f ca="1">IFERROR(__xludf.DUMMYFUNCTION("""COMPUTED_VALUE"""),0.0400000000000773)</f>
        <v>4.00000000000773E-2</v>
      </c>
      <c r="Z23" s="177"/>
      <c r="AA23" s="178"/>
    </row>
    <row r="24" spans="1:27" ht="16.5" customHeight="1">
      <c r="A24" s="172" t="s">
        <v>106</v>
      </c>
      <c r="B24" s="173">
        <f ca="1">IFERROR(__xludf.DUMMYFUNCTION("""COMPUTED_VALUE"""),1758925.7)</f>
        <v>1758925.7</v>
      </c>
      <c r="C24" s="173">
        <f ca="1">IFERROR(__xludf.DUMMYFUNCTION("""COMPUTED_VALUE"""),1018192.9)</f>
        <v>1018192.9</v>
      </c>
      <c r="D24" s="173">
        <f ca="1">IFERROR(__xludf.DUMMYFUNCTION("""COMPUTED_VALUE"""),1003682.216)</f>
        <v>1003682.216</v>
      </c>
      <c r="E24" s="173">
        <f ca="1">IFERROR(__xludf.DUMMYFUNCTION("""COMPUTED_VALUE"""),14510.684)</f>
        <v>14510.683999999999</v>
      </c>
      <c r="F24" s="173">
        <f ca="1">IFERROR(__xludf.DUMMYFUNCTION("""COMPUTED_VALUE"""),98.5748590468466)</f>
        <v>98.574859046846598</v>
      </c>
      <c r="G24" s="173">
        <f ca="1">IFERROR(__xludf.DUMMYFUNCTION("""COMPUTED_VALUE"""),873890.6)</f>
        <v>873890.6</v>
      </c>
      <c r="H24" s="173">
        <f ca="1">IFERROR(__xludf.DUMMYFUNCTION("""COMPUTED_VALUE"""),873843.478)</f>
        <v>873843.478</v>
      </c>
      <c r="I24" s="173">
        <f ca="1">IFERROR(__xludf.DUMMYFUNCTION("""COMPUTED_VALUE"""),47.1219999999739)</f>
        <v>47.121999999973902</v>
      </c>
      <c r="J24" s="174">
        <f ca="1">IFERROR(__xludf.DUMMYFUNCTION("""COMPUTED_VALUE"""),99.9946077918677)</f>
        <v>99.994607791867693</v>
      </c>
      <c r="K24" s="173">
        <f ca="1">IFERROR(__xludf.DUMMYFUNCTION("""COMPUTED_VALUE"""),2.11999999999534)</f>
        <v>2.1199999999953398</v>
      </c>
      <c r="L24" s="173">
        <f ca="1">IFERROR(__xludf.DUMMYFUNCTION("""COMPUTED_VALUE"""),0)</f>
        <v>0</v>
      </c>
      <c r="M24" s="173">
        <f ca="1">IFERROR(__xludf.DUMMYFUNCTION("""COMPUTED_VALUE"""),0.00100000000020372)</f>
        <v>1.0000000002037201E-3</v>
      </c>
      <c r="N24" s="173">
        <f ca="1">IFERROR(__xludf.DUMMYFUNCTION("""COMPUTED_VALUE"""),0)</f>
        <v>0</v>
      </c>
      <c r="O24" s="173">
        <f ca="1">IFERROR(__xludf.DUMMYFUNCTION("""COMPUTED_VALUE"""),0.064)</f>
        <v>6.4000000000000001E-2</v>
      </c>
      <c r="P24" s="173">
        <f ca="1">IFERROR(__xludf.DUMMYFUNCTION("""COMPUTED_VALUE"""),0)</f>
        <v>0</v>
      </c>
      <c r="Q24" s="173">
        <f ca="1">IFERROR(__xludf.DUMMYFUNCTION("""COMPUTED_VALUE"""),0.0940000000009604)</f>
        <v>9.4000000000960399E-2</v>
      </c>
      <c r="R24" s="173">
        <f ca="1">IFERROR(__xludf.DUMMYFUNCTION("""COMPUTED_VALUE"""),0)</f>
        <v>0</v>
      </c>
      <c r="S24" s="173">
        <f ca="1">IFERROR(__xludf.DUMMYFUNCTION("""COMPUTED_VALUE"""),0)</f>
        <v>0</v>
      </c>
      <c r="T24" s="173">
        <f ca="1">IFERROR(__xludf.DUMMYFUNCTION("""COMPUTED_VALUE"""),0)</f>
        <v>0</v>
      </c>
      <c r="U24" s="173">
        <f ca="1">IFERROR(__xludf.DUMMYFUNCTION("""COMPUTED_VALUE"""),0)</f>
        <v>0</v>
      </c>
      <c r="V24" s="173">
        <f ca="1">IFERROR(__xludf.DUMMYFUNCTION("""COMPUTED_VALUE"""),0)</f>
        <v>0</v>
      </c>
      <c r="W24" s="183">
        <f ca="1">IFERROR(__xludf.DUMMYFUNCTION("""COMPUTED_VALUE"""),0)</f>
        <v>0</v>
      </c>
      <c r="X24" s="173">
        <f ca="1">IFERROR(__xludf.DUMMYFUNCTION("""COMPUTED_VALUE"""),44.843)</f>
        <v>44.843000000000004</v>
      </c>
      <c r="Y24" s="173">
        <f ca="1">IFERROR(__xludf.DUMMYFUNCTION("""COMPUTED_VALUE"""),0)</f>
        <v>0</v>
      </c>
      <c r="Z24" s="177"/>
      <c r="AA24" s="178"/>
    </row>
    <row r="25" spans="1:27" ht="12.75">
      <c r="A25" s="186" t="s">
        <v>107</v>
      </c>
      <c r="B25" s="173">
        <f ca="1">IFERROR(__xludf.DUMMYFUNCTION("""COMPUTED_VALUE"""),496354.2)</f>
        <v>496354.2</v>
      </c>
      <c r="C25" s="173">
        <f ca="1">IFERROR(__xludf.DUMMYFUNCTION("""COMPUTED_VALUE"""),340724.2)</f>
        <v>340724.2</v>
      </c>
      <c r="D25" s="173">
        <f ca="1">IFERROR(__xludf.DUMMYFUNCTION("""COMPUTED_VALUE"""),314674.634)</f>
        <v>314674.63400000002</v>
      </c>
      <c r="E25" s="173">
        <f ca="1">IFERROR(__xludf.DUMMYFUNCTION("""COMPUTED_VALUE"""),26049.5659999999)</f>
        <v>26049.565999999901</v>
      </c>
      <c r="F25" s="173">
        <f ca="1">IFERROR(__xludf.DUMMYFUNCTION("""COMPUTED_VALUE"""),92.3546475419122)</f>
        <v>92.3546475419122</v>
      </c>
      <c r="G25" s="173">
        <f ca="1">IFERROR(__xludf.DUMMYFUNCTION("""COMPUTED_VALUE"""),225490.9)</f>
        <v>225490.9</v>
      </c>
      <c r="H25" s="173">
        <f ca="1">IFERROR(__xludf.DUMMYFUNCTION("""COMPUTED_VALUE"""),225210.754)</f>
        <v>225210.75399999999</v>
      </c>
      <c r="I25" s="173">
        <f ca="1">IFERROR(__xludf.DUMMYFUNCTION("""COMPUTED_VALUE"""),280.146000000007)</f>
        <v>280.14600000000701</v>
      </c>
      <c r="J25" s="174">
        <f ca="1">IFERROR(__xludf.DUMMYFUNCTION("""COMPUTED_VALUE"""),99.8757617269699)</f>
        <v>99.875761726969898</v>
      </c>
      <c r="K25" s="173">
        <f ca="1">IFERROR(__xludf.DUMMYFUNCTION("""COMPUTED_VALUE"""),175.449999999999)</f>
        <v>175.44999999999899</v>
      </c>
      <c r="L25" s="173">
        <f ca="1">IFERROR(__xludf.DUMMYFUNCTION("""COMPUTED_VALUE"""),57.0099999999999)</f>
        <v>57.009999999999899</v>
      </c>
      <c r="M25" s="173">
        <f ca="1">IFERROR(__xludf.DUMMYFUNCTION("""COMPUTED_VALUE"""),0)</f>
        <v>0</v>
      </c>
      <c r="N25" s="173">
        <f ca="1">IFERROR(__xludf.DUMMYFUNCTION("""COMPUTED_VALUE"""),0)</f>
        <v>0</v>
      </c>
      <c r="O25" s="173">
        <f ca="1">IFERROR(__xludf.DUMMYFUNCTION("""COMPUTED_VALUE"""),0)</f>
        <v>0</v>
      </c>
      <c r="P25" s="173">
        <f ca="1">IFERROR(__xludf.DUMMYFUNCTION("""COMPUTED_VALUE"""),0)</f>
        <v>0</v>
      </c>
      <c r="Q25" s="173">
        <f ca="1">IFERROR(__xludf.DUMMYFUNCTION("""COMPUTED_VALUE"""),0.340000000000145)</f>
        <v>0.34000000000014502</v>
      </c>
      <c r="R25" s="173">
        <f ca="1">IFERROR(__xludf.DUMMYFUNCTION("""COMPUTED_VALUE"""),0.0399999999999636)</f>
        <v>3.9999999999963599E-2</v>
      </c>
      <c r="S25" s="173">
        <f ca="1">IFERROR(__xludf.DUMMYFUNCTION("""COMPUTED_VALUE"""),0)</f>
        <v>0</v>
      </c>
      <c r="T25" s="173">
        <f ca="1">IFERROR(__xludf.DUMMYFUNCTION("""COMPUTED_VALUE"""),0)</f>
        <v>0</v>
      </c>
      <c r="U25" s="173">
        <f ca="1">IFERROR(__xludf.DUMMYFUNCTION("""COMPUTED_VALUE"""),0.11999999999989)</f>
        <v>0.11999999999989</v>
      </c>
      <c r="V25" s="173">
        <f ca="1">IFERROR(__xludf.DUMMYFUNCTION("""COMPUTED_VALUE"""),46)</f>
        <v>46</v>
      </c>
      <c r="W25" s="187">
        <f ca="1">IFERROR(__xludf.DUMMYFUNCTION("""COMPUTED_VALUE"""),0)</f>
        <v>0</v>
      </c>
      <c r="X25" s="173">
        <f ca="1">IFERROR(__xludf.DUMMYFUNCTION("""COMPUTED_VALUE"""),1.126)</f>
        <v>1.1259999999999999</v>
      </c>
      <c r="Y25" s="173">
        <f ca="1">IFERROR(__xludf.DUMMYFUNCTION("""COMPUTED_VALUE"""),0.0599999999999454)</f>
        <v>5.9999999999945403E-2</v>
      </c>
      <c r="Z25" s="177"/>
      <c r="AA25" s="178"/>
    </row>
    <row r="26" spans="1:27" ht="12.75">
      <c r="A26" s="186" t="s">
        <v>108</v>
      </c>
      <c r="B26" s="173">
        <f ca="1">IFERROR(__xludf.DUMMYFUNCTION("""COMPUTED_VALUE"""),1531644.3)</f>
        <v>1531644.3</v>
      </c>
      <c r="C26" s="173">
        <f ca="1">IFERROR(__xludf.DUMMYFUNCTION("""COMPUTED_VALUE"""),1076007)</f>
        <v>1076007</v>
      </c>
      <c r="D26" s="173">
        <f ca="1">IFERROR(__xludf.DUMMYFUNCTION("""COMPUTED_VALUE"""),1075998.879)</f>
        <v>1075998.879</v>
      </c>
      <c r="E26" s="173">
        <f ca="1">IFERROR(__xludf.DUMMYFUNCTION("""COMPUTED_VALUE"""),8.12100000004284)</f>
        <v>8.1210000000428408</v>
      </c>
      <c r="F26" s="173">
        <f ca="1">IFERROR(__xludf.DUMMYFUNCTION("""COMPUTED_VALUE"""),99.999245265133)</f>
        <v>99.999245265132998</v>
      </c>
      <c r="G26" s="173">
        <f ca="1">IFERROR(__xludf.DUMMYFUNCTION("""COMPUTED_VALUE"""),770187.9)</f>
        <v>770187.9</v>
      </c>
      <c r="H26" s="173">
        <f ca="1">IFERROR(__xludf.DUMMYFUNCTION("""COMPUTED_VALUE"""),770178.781999999)</f>
        <v>770178.78199999896</v>
      </c>
      <c r="I26" s="173">
        <f ca="1">IFERROR(__xludf.DUMMYFUNCTION("""COMPUTED_VALUE"""),9.11800000013318)</f>
        <v>9.1180000001331791</v>
      </c>
      <c r="J26" s="174">
        <f ca="1">IFERROR(__xludf.DUMMYFUNCTION("""COMPUTED_VALUE"""),99.9988161330501)</f>
        <v>99.998816133050099</v>
      </c>
      <c r="K26" s="179">
        <f ca="1">IFERROR(__xludf.DUMMYFUNCTION("""COMPUTED_VALUE"""),0)</f>
        <v>0</v>
      </c>
      <c r="L26" s="173">
        <f ca="1">IFERROR(__xludf.DUMMYFUNCTION("""COMPUTED_VALUE"""),7.16599999999994)</f>
        <v>7.16599999999994</v>
      </c>
      <c r="M26" s="173">
        <f ca="1">IFERROR(__xludf.DUMMYFUNCTION("""COMPUTED_VALUE"""),0)</f>
        <v>0</v>
      </c>
      <c r="N26" s="173">
        <f ca="1">IFERROR(__xludf.DUMMYFUNCTION("""COMPUTED_VALUE"""),0)</f>
        <v>0</v>
      </c>
      <c r="O26" s="173">
        <f ca="1">IFERROR(__xludf.DUMMYFUNCTION("""COMPUTED_VALUE"""),0.110000000000582)</f>
        <v>0.11000000000058199</v>
      </c>
      <c r="P26" s="173">
        <f ca="1">IFERROR(__xludf.DUMMYFUNCTION("""COMPUTED_VALUE"""),0)</f>
        <v>0</v>
      </c>
      <c r="Q26" s="173">
        <f ca="1">IFERROR(__xludf.DUMMYFUNCTION("""COMPUTED_VALUE"""),0.872999999999592)</f>
        <v>0.87299999999959199</v>
      </c>
      <c r="R26" s="173">
        <f ca="1">IFERROR(__xludf.DUMMYFUNCTION("""COMPUTED_VALUE"""),0.0229999999992287)</f>
        <v>2.29999999992287E-2</v>
      </c>
      <c r="S26" s="173">
        <f ca="1">IFERROR(__xludf.DUMMYFUNCTION("""COMPUTED_VALUE"""),0)</f>
        <v>0</v>
      </c>
      <c r="T26" s="173">
        <f ca="1">IFERROR(__xludf.DUMMYFUNCTION("""COMPUTED_VALUE"""),0)</f>
        <v>0</v>
      </c>
      <c r="U26" s="173">
        <f ca="1">IFERROR(__xludf.DUMMYFUNCTION("""COMPUTED_VALUE"""),0.888999999999214)</f>
        <v>0.88899999999921397</v>
      </c>
      <c r="V26" s="173">
        <f ca="1">IFERROR(__xludf.DUMMYFUNCTION("""COMPUTED_VALUE"""),0.000999999999976353)</f>
        <v>9.9999999997635292E-4</v>
      </c>
      <c r="W26" s="183">
        <f ca="1">IFERROR(__xludf.DUMMYFUNCTION("""COMPUTED_VALUE"""),0.0559999999823048)</f>
        <v>5.5999999982304802E-2</v>
      </c>
      <c r="X26" s="173">
        <f ca="1">IFERROR(__xludf.DUMMYFUNCTION("""COMPUTED_VALUE"""),0)</f>
        <v>0</v>
      </c>
      <c r="Y26" s="173">
        <f ca="1">IFERROR(__xludf.DUMMYFUNCTION("""COMPUTED_VALUE"""),0)</f>
        <v>0</v>
      </c>
      <c r="Z26" s="177"/>
      <c r="AA26" s="178"/>
    </row>
    <row r="27" spans="1:27" ht="12.75">
      <c r="A27" s="186" t="s">
        <v>109</v>
      </c>
      <c r="B27" s="173">
        <f ca="1">IFERROR(__xludf.DUMMYFUNCTION("""COMPUTED_VALUE"""),1816082.09999999)</f>
        <v>1816082.0999999901</v>
      </c>
      <c r="C27" s="173">
        <f ca="1">IFERROR(__xludf.DUMMYFUNCTION("""COMPUTED_VALUE"""),1392107.4)</f>
        <v>1392107.4</v>
      </c>
      <c r="D27" s="173">
        <f ca="1">IFERROR(__xludf.DUMMYFUNCTION("""COMPUTED_VALUE"""),1364520.381)</f>
        <v>1364520.3810000001</v>
      </c>
      <c r="E27" s="173">
        <f ca="1">IFERROR(__xludf.DUMMYFUNCTION("""COMPUTED_VALUE"""),27587.019)</f>
        <v>27587.019</v>
      </c>
      <c r="F27" s="173">
        <f ca="1">IFERROR(__xludf.DUMMYFUNCTION("""COMPUTED_VALUE"""),98.0183268187497)</f>
        <v>98.018326818749699</v>
      </c>
      <c r="G27" s="173">
        <f ca="1">IFERROR(__xludf.DUMMYFUNCTION("""COMPUTED_VALUE"""),934680.3)</f>
        <v>934680.3</v>
      </c>
      <c r="H27" s="173">
        <f ca="1">IFERROR(__xludf.DUMMYFUNCTION("""COMPUTED_VALUE"""),934486.65)</f>
        <v>934486.65</v>
      </c>
      <c r="I27" s="173">
        <f ca="1">IFERROR(__xludf.DUMMYFUNCTION("""COMPUTED_VALUE"""),193.650000000023)</f>
        <v>193.650000000023</v>
      </c>
      <c r="J27" s="174">
        <f ca="1">IFERROR(__xludf.DUMMYFUNCTION("""COMPUTED_VALUE"""),99.9792816859411)</f>
        <v>99.979281685941103</v>
      </c>
      <c r="K27" s="175">
        <f ca="1">IFERROR(__xludf.DUMMYFUNCTION("""COMPUTED_VALUE"""),12.9880000000039)</f>
        <v>12.9880000000039</v>
      </c>
      <c r="L27" s="173">
        <f ca="1">IFERROR(__xludf.DUMMYFUNCTION("""COMPUTED_VALUE"""),0)</f>
        <v>0</v>
      </c>
      <c r="M27" s="175">
        <f ca="1">IFERROR(__xludf.DUMMYFUNCTION("""COMPUTED_VALUE"""),0.578999999999723)</f>
        <v>0.57899999999972296</v>
      </c>
      <c r="N27" s="173">
        <f ca="1">IFERROR(__xludf.DUMMYFUNCTION("""COMPUTED_VALUE"""),0)</f>
        <v>0</v>
      </c>
      <c r="O27" s="173">
        <f ca="1">IFERROR(__xludf.DUMMYFUNCTION("""COMPUTED_VALUE"""),0)</f>
        <v>0</v>
      </c>
      <c r="P27" s="173">
        <f ca="1">IFERROR(__xludf.DUMMYFUNCTION("""COMPUTED_VALUE"""),0)</f>
        <v>0</v>
      </c>
      <c r="Q27" s="175">
        <f ca="1">IFERROR(__xludf.DUMMYFUNCTION("""COMPUTED_VALUE"""),0)</f>
        <v>0</v>
      </c>
      <c r="R27" s="180">
        <f ca="1">IFERROR(__xludf.DUMMYFUNCTION("""COMPUTED_VALUE"""),179.900999999999)</f>
        <v>179.90099999999899</v>
      </c>
      <c r="S27" s="173">
        <f ca="1">IFERROR(__xludf.DUMMYFUNCTION("""COMPUTED_VALUE"""),0)</f>
        <v>0</v>
      </c>
      <c r="T27" s="173">
        <f ca="1">IFERROR(__xludf.DUMMYFUNCTION("""COMPUTED_VALUE"""),0)</f>
        <v>0</v>
      </c>
      <c r="U27" s="175">
        <f ca="1">IFERROR(__xludf.DUMMYFUNCTION("""COMPUTED_VALUE"""),0.00999999999839929)</f>
        <v>9.9999999983992893E-3</v>
      </c>
      <c r="V27" s="173">
        <f ca="1">IFERROR(__xludf.DUMMYFUNCTION("""COMPUTED_VALUE"""),0.0960000000000036)</f>
        <v>9.6000000000003596E-2</v>
      </c>
      <c r="W27" s="175">
        <f ca="1">IFERROR(__xludf.DUMMYFUNCTION("""COMPUTED_VALUE"""),0)</f>
        <v>0</v>
      </c>
      <c r="X27" s="173">
        <f ca="1">IFERROR(__xludf.DUMMYFUNCTION("""COMPUTED_VALUE"""),0.0549999999999784)</f>
        <v>5.49999999999784E-2</v>
      </c>
      <c r="Y27" s="173">
        <f ca="1">IFERROR(__xludf.DUMMYFUNCTION("""COMPUTED_VALUE"""),0.0200000000000954)</f>
        <v>2.00000000000954E-2</v>
      </c>
      <c r="Z27" s="177"/>
      <c r="AA27" s="178"/>
    </row>
    <row r="28" spans="1:27" ht="27.75" customHeight="1">
      <c r="A28" s="188"/>
      <c r="B28" s="189"/>
      <c r="C28" s="189"/>
      <c r="D28" s="189"/>
      <c r="E28" s="189"/>
      <c r="F28" s="189"/>
      <c r="G28" s="189"/>
      <c r="H28" s="189"/>
      <c r="I28" s="190"/>
      <c r="J28" s="189"/>
      <c r="K28" s="188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91"/>
      <c r="X28" s="189"/>
      <c r="Y28" s="189"/>
      <c r="Z28" s="189"/>
      <c r="AA28" s="192"/>
    </row>
    <row r="29" spans="1:27" ht="54" customHeight="1">
      <c r="A29" s="193" t="s">
        <v>110</v>
      </c>
      <c r="B29" s="62"/>
      <c r="C29" s="62"/>
      <c r="D29" s="62"/>
      <c r="E29" s="62"/>
      <c r="F29" s="62"/>
      <c r="G29" s="62"/>
      <c r="H29" s="62"/>
      <c r="I29" s="134"/>
      <c r="J29" s="193"/>
      <c r="K29" s="193"/>
      <c r="L29" s="193">
        <v>96</v>
      </c>
      <c r="M29" s="134"/>
      <c r="N29" s="74"/>
      <c r="O29" s="134"/>
      <c r="P29" s="134"/>
      <c r="Q29" s="134"/>
      <c r="R29" s="134"/>
      <c r="S29" s="194"/>
      <c r="T29" s="195"/>
      <c r="U29" s="194"/>
      <c r="V29" s="62"/>
      <c r="W29" s="151"/>
      <c r="X29" s="146"/>
      <c r="Y29" s="146"/>
      <c r="Z29" s="146"/>
      <c r="AA29" s="47"/>
    </row>
    <row r="30" spans="1:27" ht="12.75">
      <c r="A30" s="193" t="s">
        <v>111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193">
        <v>87</v>
      </c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151"/>
      <c r="X30" s="62"/>
      <c r="Y30" s="62"/>
      <c r="Z30" s="62"/>
      <c r="AA30" s="47"/>
    </row>
    <row r="31" spans="1:27" ht="12.75">
      <c r="A31" s="193" t="s">
        <v>112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193">
        <v>315</v>
      </c>
      <c r="R31" s="62"/>
      <c r="S31" s="62"/>
      <c r="T31" s="62"/>
      <c r="U31" s="62"/>
      <c r="V31" s="62"/>
      <c r="W31" s="151"/>
      <c r="X31" s="62"/>
      <c r="Y31" s="62"/>
      <c r="Z31" s="62"/>
      <c r="AA31" s="47"/>
    </row>
    <row r="32" spans="1:27" ht="12.75">
      <c r="A32" s="193" t="s">
        <v>113</v>
      </c>
      <c r="B32" s="62"/>
      <c r="C32" s="62"/>
      <c r="D32" s="62"/>
      <c r="E32" s="62"/>
      <c r="F32" s="62"/>
      <c r="G32" s="62"/>
      <c r="H32" s="62"/>
      <c r="I32" s="62"/>
      <c r="J32" s="62"/>
      <c r="K32" s="62">
        <f>194.4+185.1</f>
        <v>379.5</v>
      </c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151"/>
      <c r="X32" s="62"/>
      <c r="Y32" s="62"/>
      <c r="Z32" s="62"/>
      <c r="AA32" s="47"/>
    </row>
    <row r="33" spans="1:27" ht="12.75">
      <c r="A33" s="193" t="s">
        <v>114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134">
        <f ca="1">S7</f>
        <v>9.4</v>
      </c>
      <c r="T33" s="62"/>
      <c r="U33" s="62"/>
      <c r="V33" s="62"/>
      <c r="W33" s="151"/>
      <c r="X33" s="62"/>
      <c r="Y33" s="62"/>
      <c r="Z33" s="62"/>
      <c r="AA33" s="47"/>
    </row>
    <row r="34" spans="1:27" ht="12.75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151"/>
      <c r="X34" s="62"/>
      <c r="Y34" s="62"/>
      <c r="Z34" s="62"/>
      <c r="AA34" s="47"/>
    </row>
    <row r="35" spans="1:27" ht="12.75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151"/>
      <c r="X35" s="62"/>
      <c r="Y35" s="62"/>
      <c r="Z35" s="62"/>
      <c r="AA35" s="47"/>
    </row>
    <row r="36" spans="1:27" ht="12.75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151"/>
      <c r="X36" s="62"/>
      <c r="Y36" s="62"/>
      <c r="Z36" s="62"/>
      <c r="AA36" s="47"/>
    </row>
    <row r="37" spans="1:27" ht="12.75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151"/>
      <c r="X37" s="62"/>
      <c r="Y37" s="62"/>
      <c r="Z37" s="62"/>
      <c r="AA37" s="47"/>
    </row>
    <row r="38" spans="1:27" ht="12.75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151"/>
      <c r="X38" s="62"/>
      <c r="Y38" s="62"/>
      <c r="Z38" s="62"/>
      <c r="AA38" s="47"/>
    </row>
    <row r="39" spans="1:27" ht="12.75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151"/>
      <c r="X39" s="62"/>
      <c r="Y39" s="62"/>
      <c r="Z39" s="62"/>
      <c r="AA39" s="47"/>
    </row>
    <row r="40" spans="1:27" ht="12.75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151"/>
      <c r="X40" s="62"/>
      <c r="Y40" s="62"/>
      <c r="Z40" s="62"/>
      <c r="AA40" s="47"/>
    </row>
    <row r="41" spans="1:27" ht="12.75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151"/>
      <c r="X41" s="62"/>
      <c r="Y41" s="62"/>
      <c r="Z41" s="62"/>
      <c r="AA41" s="47"/>
    </row>
    <row r="42" spans="1:27" ht="12.75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151"/>
      <c r="X42" s="62"/>
      <c r="Y42" s="62"/>
      <c r="Z42" s="62"/>
      <c r="AA42" s="47"/>
    </row>
    <row r="43" spans="1:27" ht="12.75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151"/>
      <c r="X43" s="62"/>
      <c r="Y43" s="62"/>
      <c r="Z43" s="62"/>
      <c r="AA43" s="47"/>
    </row>
    <row r="44" spans="1:27" ht="12.75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151"/>
      <c r="X44" s="62"/>
      <c r="Y44" s="62"/>
      <c r="Z44" s="62"/>
      <c r="AA44" s="47"/>
    </row>
    <row r="45" spans="1:27" ht="12.75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151"/>
      <c r="X45" s="62"/>
      <c r="Y45" s="62"/>
      <c r="Z45" s="62"/>
      <c r="AA45" s="47"/>
    </row>
    <row r="46" spans="1:27" ht="12.75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151"/>
      <c r="X46" s="62"/>
      <c r="Y46" s="62"/>
      <c r="Z46" s="62"/>
      <c r="AA46" s="47"/>
    </row>
    <row r="47" spans="1:27" ht="12.75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151"/>
      <c r="X47" s="62"/>
      <c r="Y47" s="62"/>
      <c r="Z47" s="62"/>
      <c r="AA47" s="47"/>
    </row>
    <row r="48" spans="1:27" ht="12.75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151"/>
      <c r="X48" s="62"/>
      <c r="Y48" s="62"/>
      <c r="Z48" s="62"/>
      <c r="AA48" s="47"/>
    </row>
    <row r="49" spans="1:27" ht="12.75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151"/>
      <c r="X49" s="62"/>
      <c r="Y49" s="62"/>
      <c r="Z49" s="62"/>
      <c r="AA49" s="47"/>
    </row>
    <row r="50" spans="1:27" ht="12.75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151"/>
      <c r="X50" s="62"/>
      <c r="Y50" s="62"/>
      <c r="Z50" s="62"/>
      <c r="AA50" s="47"/>
    </row>
    <row r="51" spans="1:27" ht="12.75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151"/>
      <c r="X51" s="62"/>
      <c r="Y51" s="62"/>
      <c r="Z51" s="62"/>
      <c r="AA51" s="47"/>
    </row>
    <row r="52" spans="1:27" ht="12.75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151"/>
      <c r="X52" s="62"/>
      <c r="Y52" s="62"/>
      <c r="Z52" s="62"/>
      <c r="AA52" s="47"/>
    </row>
    <row r="53" spans="1:27" ht="12.75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151"/>
      <c r="X53" s="62"/>
      <c r="Y53" s="62"/>
      <c r="Z53" s="62"/>
      <c r="AA53" s="47"/>
    </row>
    <row r="54" spans="1:27" ht="12.75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151"/>
      <c r="X54" s="62"/>
      <c r="Y54" s="62"/>
      <c r="Z54" s="62"/>
      <c r="AA54" s="47"/>
    </row>
    <row r="55" spans="1:27" ht="12.75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151"/>
      <c r="X55" s="62"/>
      <c r="Y55" s="62"/>
      <c r="Z55" s="62"/>
      <c r="AA55" s="47"/>
    </row>
    <row r="56" spans="1:27" ht="12.75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151"/>
      <c r="X56" s="62"/>
      <c r="Y56" s="62"/>
      <c r="Z56" s="62"/>
      <c r="AA56" s="47"/>
    </row>
    <row r="57" spans="1:27" ht="12.75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151"/>
      <c r="X57" s="62"/>
      <c r="Y57" s="62"/>
      <c r="Z57" s="62"/>
      <c r="AA57" s="47"/>
    </row>
    <row r="58" spans="1:27" ht="12.75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151"/>
      <c r="X58" s="62"/>
      <c r="Y58" s="62"/>
      <c r="Z58" s="62"/>
      <c r="AA58" s="47"/>
    </row>
    <row r="59" spans="1:27" ht="12.75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151"/>
      <c r="X59" s="62"/>
      <c r="Y59" s="62"/>
      <c r="Z59" s="62"/>
      <c r="AA59" s="47"/>
    </row>
    <row r="60" spans="1:27" ht="12.75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151"/>
      <c r="X60" s="62"/>
      <c r="Y60" s="62"/>
      <c r="Z60" s="62"/>
      <c r="AA60" s="47"/>
    </row>
    <row r="61" spans="1:27" ht="12.75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151"/>
      <c r="X61" s="62"/>
      <c r="Y61" s="62"/>
      <c r="Z61" s="62"/>
      <c r="AA61" s="47"/>
    </row>
    <row r="62" spans="1:27" ht="12.75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151"/>
      <c r="X62" s="62"/>
      <c r="Y62" s="62"/>
      <c r="Z62" s="62"/>
      <c r="AA62" s="47"/>
    </row>
    <row r="63" spans="1:27" ht="12.75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151"/>
      <c r="X63" s="62"/>
      <c r="Y63" s="62"/>
      <c r="Z63" s="62"/>
      <c r="AA63" s="47"/>
    </row>
    <row r="64" spans="1:27" ht="12.75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151"/>
      <c r="X64" s="62"/>
      <c r="Y64" s="62"/>
      <c r="Z64" s="62"/>
      <c r="AA64" s="47"/>
    </row>
    <row r="65" spans="1:27" ht="12.75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151"/>
      <c r="X65" s="62"/>
      <c r="Y65" s="62"/>
      <c r="Z65" s="62"/>
      <c r="AA65" s="47"/>
    </row>
    <row r="66" spans="1:27" ht="12.75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151"/>
      <c r="X66" s="62"/>
      <c r="Y66" s="62"/>
      <c r="Z66" s="62"/>
      <c r="AA66" s="47"/>
    </row>
    <row r="67" spans="1:27" ht="12.75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151"/>
      <c r="X67" s="62"/>
      <c r="Y67" s="62"/>
      <c r="Z67" s="62"/>
      <c r="AA67" s="47"/>
    </row>
    <row r="68" spans="1:27" ht="12.75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151"/>
      <c r="X68" s="62"/>
      <c r="Y68" s="62"/>
      <c r="Z68" s="62"/>
      <c r="AA68" s="47"/>
    </row>
    <row r="69" spans="1:27" ht="12.75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151"/>
      <c r="X69" s="62"/>
      <c r="Y69" s="62"/>
      <c r="Z69" s="62"/>
      <c r="AA69" s="47"/>
    </row>
    <row r="70" spans="1:27" ht="12.75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151"/>
      <c r="X70" s="62"/>
      <c r="Y70" s="62"/>
      <c r="Z70" s="62"/>
      <c r="AA70" s="47"/>
    </row>
    <row r="71" spans="1:27" ht="12.75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151"/>
      <c r="X71" s="62"/>
      <c r="Y71" s="62"/>
      <c r="Z71" s="62"/>
      <c r="AA71" s="47"/>
    </row>
    <row r="72" spans="1:27" ht="12.75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151"/>
      <c r="X72" s="62"/>
      <c r="Y72" s="62"/>
      <c r="Z72" s="62"/>
      <c r="AA72" s="47"/>
    </row>
    <row r="73" spans="1:27" ht="12.75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151"/>
      <c r="X73" s="62"/>
      <c r="Y73" s="62"/>
      <c r="Z73" s="62"/>
      <c r="AA73" s="47"/>
    </row>
    <row r="74" spans="1:27" ht="12.75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151"/>
      <c r="X74" s="62"/>
      <c r="Y74" s="62"/>
      <c r="Z74" s="62"/>
      <c r="AA74" s="47"/>
    </row>
    <row r="75" spans="1:27" ht="12.75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151"/>
      <c r="X75" s="62"/>
      <c r="Y75" s="62"/>
      <c r="Z75" s="62"/>
      <c r="AA75" s="47"/>
    </row>
    <row r="76" spans="1:27" ht="12.75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151"/>
      <c r="X76" s="62"/>
      <c r="Y76" s="62"/>
      <c r="Z76" s="62"/>
      <c r="AA76" s="47"/>
    </row>
    <row r="77" spans="1:27" ht="12.75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151"/>
      <c r="X77" s="62"/>
      <c r="Y77" s="62"/>
      <c r="Z77" s="62"/>
      <c r="AA77" s="47"/>
    </row>
    <row r="78" spans="1:27" ht="12.75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151"/>
      <c r="X78" s="62"/>
      <c r="Y78" s="62"/>
      <c r="Z78" s="62"/>
      <c r="AA78" s="47"/>
    </row>
    <row r="79" spans="1:27" ht="12.75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151"/>
      <c r="X79" s="62"/>
      <c r="Y79" s="62"/>
      <c r="Z79" s="62"/>
      <c r="AA79" s="47"/>
    </row>
    <row r="80" spans="1:27" ht="12.75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151"/>
      <c r="X80" s="62"/>
      <c r="Y80" s="62"/>
      <c r="Z80" s="62"/>
      <c r="AA80" s="47"/>
    </row>
    <row r="81" spans="1:27" ht="12.75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151"/>
      <c r="X81" s="62"/>
      <c r="Y81" s="62"/>
      <c r="Z81" s="62"/>
      <c r="AA81" s="47"/>
    </row>
    <row r="82" spans="1:27" ht="12.75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151"/>
      <c r="X82" s="62"/>
      <c r="Y82" s="62"/>
      <c r="Z82" s="62"/>
      <c r="AA82" s="47"/>
    </row>
    <row r="83" spans="1:27" ht="12.75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151"/>
      <c r="X83" s="62"/>
      <c r="Y83" s="62"/>
      <c r="Z83" s="62"/>
      <c r="AA83" s="47"/>
    </row>
    <row r="84" spans="1:27" ht="12.75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151"/>
      <c r="X84" s="62"/>
      <c r="Y84" s="62"/>
      <c r="Z84" s="62"/>
      <c r="AA84" s="47"/>
    </row>
    <row r="85" spans="1:27" ht="12.75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151"/>
      <c r="X85" s="62"/>
      <c r="Y85" s="62"/>
      <c r="Z85" s="62"/>
      <c r="AA85" s="47"/>
    </row>
    <row r="86" spans="1:27" ht="12.75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151"/>
      <c r="X86" s="62"/>
      <c r="Y86" s="62"/>
      <c r="Z86" s="62"/>
      <c r="AA86" s="47"/>
    </row>
    <row r="87" spans="1:27" ht="12.75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151"/>
      <c r="X87" s="62"/>
      <c r="Y87" s="62"/>
      <c r="Z87" s="62"/>
      <c r="AA87" s="47"/>
    </row>
    <row r="88" spans="1:27" ht="12.75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151"/>
      <c r="X88" s="62"/>
      <c r="Y88" s="62"/>
      <c r="Z88" s="62"/>
      <c r="AA88" s="47"/>
    </row>
    <row r="89" spans="1:27" ht="12.75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151"/>
      <c r="X89" s="62"/>
      <c r="Y89" s="62"/>
      <c r="Z89" s="62"/>
      <c r="AA89" s="47"/>
    </row>
    <row r="90" spans="1:27" ht="12.75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151"/>
      <c r="X90" s="62"/>
      <c r="Y90" s="62"/>
      <c r="Z90" s="62"/>
      <c r="AA90" s="47"/>
    </row>
    <row r="91" spans="1:27" ht="12.75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151"/>
      <c r="X91" s="62"/>
      <c r="Y91" s="62"/>
      <c r="Z91" s="62"/>
      <c r="AA91" s="47"/>
    </row>
    <row r="92" spans="1:27" ht="12.75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151"/>
      <c r="X92" s="62"/>
      <c r="Y92" s="62"/>
      <c r="Z92" s="62"/>
      <c r="AA92" s="47"/>
    </row>
    <row r="93" spans="1:27" ht="12.75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151"/>
      <c r="X93" s="62"/>
      <c r="Y93" s="62"/>
      <c r="Z93" s="62"/>
      <c r="AA93" s="47"/>
    </row>
    <row r="94" spans="1:27" ht="12.75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151"/>
      <c r="X94" s="62"/>
      <c r="Y94" s="62"/>
      <c r="Z94" s="62"/>
      <c r="AA94" s="47"/>
    </row>
    <row r="95" spans="1:27" ht="12.75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151"/>
      <c r="X95" s="62"/>
      <c r="Y95" s="62"/>
      <c r="Z95" s="62"/>
      <c r="AA95" s="47"/>
    </row>
    <row r="96" spans="1:27" ht="12.75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151"/>
      <c r="X96" s="62"/>
      <c r="Y96" s="62"/>
      <c r="Z96" s="62"/>
      <c r="AA96" s="47"/>
    </row>
    <row r="97" spans="1:27" ht="12.75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151"/>
      <c r="X97" s="62"/>
      <c r="Y97" s="62"/>
      <c r="Z97" s="62"/>
      <c r="AA97" s="47"/>
    </row>
    <row r="98" spans="1:27" ht="12.75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151"/>
      <c r="X98" s="62"/>
      <c r="Y98" s="62"/>
      <c r="Z98" s="62"/>
      <c r="AA98" s="47"/>
    </row>
    <row r="99" spans="1:27" ht="12.75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151"/>
      <c r="X99" s="62"/>
      <c r="Y99" s="62"/>
      <c r="Z99" s="62"/>
      <c r="AA99" s="47"/>
    </row>
    <row r="100" spans="1:27" ht="12.75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151"/>
      <c r="X100" s="62"/>
      <c r="Y100" s="62"/>
      <c r="Z100" s="62"/>
      <c r="AA100" s="47"/>
    </row>
    <row r="101" spans="1:27" ht="12.75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151"/>
      <c r="X101" s="62"/>
      <c r="Y101" s="62"/>
      <c r="Z101" s="62"/>
      <c r="AA101" s="47"/>
    </row>
    <row r="102" spans="1:27" ht="12.75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151"/>
      <c r="X102" s="62"/>
      <c r="Y102" s="62"/>
      <c r="Z102" s="62"/>
      <c r="AA102" s="47"/>
    </row>
    <row r="103" spans="1:27" ht="12.75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151"/>
      <c r="X103" s="62"/>
      <c r="Y103" s="62"/>
      <c r="Z103" s="62"/>
      <c r="AA103" s="47"/>
    </row>
    <row r="104" spans="1:27" ht="12.75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151"/>
      <c r="X104" s="62"/>
      <c r="Y104" s="62"/>
      <c r="Z104" s="62"/>
      <c r="AA104" s="47"/>
    </row>
    <row r="105" spans="1:27" ht="12.75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151"/>
      <c r="X105" s="62"/>
      <c r="Y105" s="62"/>
      <c r="Z105" s="62"/>
      <c r="AA105" s="47"/>
    </row>
    <row r="106" spans="1:27" ht="12.75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151"/>
      <c r="X106" s="62"/>
      <c r="Y106" s="62"/>
      <c r="Z106" s="62"/>
      <c r="AA106" s="47"/>
    </row>
    <row r="107" spans="1:27" ht="12.75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151"/>
      <c r="X107" s="62"/>
      <c r="Y107" s="62"/>
      <c r="Z107" s="62"/>
      <c r="AA107" s="47"/>
    </row>
    <row r="108" spans="1:27" ht="12.75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151"/>
      <c r="X108" s="62"/>
      <c r="Y108" s="62"/>
      <c r="Z108" s="62"/>
      <c r="AA108" s="47"/>
    </row>
    <row r="109" spans="1:27" ht="12.75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151"/>
      <c r="X109" s="62"/>
      <c r="Y109" s="62"/>
      <c r="Z109" s="62"/>
      <c r="AA109" s="47"/>
    </row>
    <row r="110" spans="1:27" ht="12.75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151"/>
      <c r="X110" s="62"/>
      <c r="Y110" s="62"/>
      <c r="Z110" s="62"/>
      <c r="AA110" s="47"/>
    </row>
    <row r="111" spans="1:27" ht="12.75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151"/>
      <c r="X111" s="62"/>
      <c r="Y111" s="62"/>
      <c r="Z111" s="62"/>
      <c r="AA111" s="47"/>
    </row>
    <row r="112" spans="1:27" ht="12.75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151"/>
      <c r="X112" s="62"/>
      <c r="Y112" s="62"/>
      <c r="Z112" s="62"/>
      <c r="AA112" s="47"/>
    </row>
    <row r="113" spans="1:27" ht="12.75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151"/>
      <c r="X113" s="62"/>
      <c r="Y113" s="62"/>
      <c r="Z113" s="62"/>
      <c r="AA113" s="47"/>
    </row>
    <row r="114" spans="1:27" ht="12.75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151"/>
      <c r="X114" s="62"/>
      <c r="Y114" s="62"/>
      <c r="Z114" s="62"/>
      <c r="AA114" s="47"/>
    </row>
    <row r="115" spans="1:27" ht="12.75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151"/>
      <c r="X115" s="62"/>
      <c r="Y115" s="62"/>
      <c r="Z115" s="62"/>
      <c r="AA115" s="47"/>
    </row>
    <row r="116" spans="1:27" ht="12.75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151"/>
      <c r="X116" s="62"/>
      <c r="Y116" s="62"/>
      <c r="Z116" s="62"/>
      <c r="AA116" s="47"/>
    </row>
    <row r="117" spans="1:27" ht="12.75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151"/>
      <c r="X117" s="62"/>
      <c r="Y117" s="62"/>
      <c r="Z117" s="62"/>
      <c r="AA117" s="47"/>
    </row>
    <row r="118" spans="1:27" ht="12.75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151"/>
      <c r="X118" s="62"/>
      <c r="Y118" s="62"/>
      <c r="Z118" s="62"/>
      <c r="AA118" s="47"/>
    </row>
    <row r="119" spans="1:27" ht="12.75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151"/>
      <c r="X119" s="62"/>
      <c r="Y119" s="62"/>
      <c r="Z119" s="62"/>
      <c r="AA119" s="47"/>
    </row>
    <row r="120" spans="1:27" ht="12.75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151"/>
      <c r="X120" s="62"/>
      <c r="Y120" s="62"/>
      <c r="Z120" s="62"/>
      <c r="AA120" s="47"/>
    </row>
    <row r="121" spans="1:27" ht="12.75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151"/>
      <c r="X121" s="62"/>
      <c r="Y121" s="62"/>
      <c r="Z121" s="62"/>
      <c r="AA121" s="47"/>
    </row>
    <row r="122" spans="1:27" ht="12.75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151"/>
      <c r="X122" s="62"/>
      <c r="Y122" s="62"/>
      <c r="Z122" s="62"/>
      <c r="AA122" s="47"/>
    </row>
    <row r="123" spans="1:27" ht="12.75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151"/>
      <c r="X123" s="62"/>
      <c r="Y123" s="62"/>
      <c r="Z123" s="62"/>
      <c r="AA123" s="47"/>
    </row>
    <row r="124" spans="1:27" ht="12.75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151"/>
      <c r="X124" s="62"/>
      <c r="Y124" s="62"/>
      <c r="Z124" s="62"/>
      <c r="AA124" s="47"/>
    </row>
    <row r="125" spans="1:27" ht="12.75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151"/>
      <c r="X125" s="62"/>
      <c r="Y125" s="62"/>
      <c r="Z125" s="62"/>
      <c r="AA125" s="47"/>
    </row>
    <row r="126" spans="1:27" ht="12.75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151"/>
      <c r="X126" s="62"/>
      <c r="Y126" s="62"/>
      <c r="Z126" s="62"/>
      <c r="AA126" s="47"/>
    </row>
    <row r="127" spans="1:27" ht="12.75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151"/>
      <c r="X127" s="62"/>
      <c r="Y127" s="62"/>
      <c r="Z127" s="62"/>
      <c r="AA127" s="47"/>
    </row>
    <row r="128" spans="1:27" ht="12.75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151"/>
      <c r="X128" s="62"/>
      <c r="Y128" s="62"/>
      <c r="Z128" s="62"/>
      <c r="AA128" s="47"/>
    </row>
    <row r="129" spans="1:27" ht="12.75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151"/>
      <c r="X129" s="62"/>
      <c r="Y129" s="62"/>
      <c r="Z129" s="62"/>
      <c r="AA129" s="47"/>
    </row>
    <row r="130" spans="1:27" ht="12.75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151"/>
      <c r="X130" s="62"/>
      <c r="Y130" s="62"/>
      <c r="Z130" s="62"/>
      <c r="AA130" s="47"/>
    </row>
    <row r="131" spans="1:27" ht="12.75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151"/>
      <c r="X131" s="62"/>
      <c r="Y131" s="62"/>
      <c r="Z131" s="62"/>
      <c r="AA131" s="47"/>
    </row>
    <row r="132" spans="1:27" ht="12.75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151"/>
      <c r="X132" s="62"/>
      <c r="Y132" s="62"/>
      <c r="Z132" s="62"/>
      <c r="AA132" s="47"/>
    </row>
    <row r="133" spans="1:27" ht="12.75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151"/>
      <c r="X133" s="62"/>
      <c r="Y133" s="62"/>
      <c r="Z133" s="62"/>
      <c r="AA133" s="47"/>
    </row>
    <row r="134" spans="1:27" ht="12.75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151"/>
      <c r="X134" s="62"/>
      <c r="Y134" s="62"/>
      <c r="Z134" s="62"/>
      <c r="AA134" s="47"/>
    </row>
    <row r="135" spans="1:27" ht="12.75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151"/>
      <c r="X135" s="62"/>
      <c r="Y135" s="62"/>
      <c r="Z135" s="62"/>
      <c r="AA135" s="47"/>
    </row>
    <row r="136" spans="1:27" ht="12.75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151"/>
      <c r="X136" s="62"/>
      <c r="Y136" s="62"/>
      <c r="Z136" s="62"/>
      <c r="AA136" s="47"/>
    </row>
    <row r="137" spans="1:27" ht="12.75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151"/>
      <c r="X137" s="62"/>
      <c r="Y137" s="62"/>
      <c r="Z137" s="62"/>
      <c r="AA137" s="47"/>
    </row>
    <row r="138" spans="1:27" ht="12.75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151"/>
      <c r="X138" s="62"/>
      <c r="Y138" s="62"/>
      <c r="Z138" s="62"/>
      <c r="AA138" s="47"/>
    </row>
    <row r="139" spans="1:27" ht="12.75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151"/>
      <c r="X139" s="62"/>
      <c r="Y139" s="62"/>
      <c r="Z139" s="62"/>
      <c r="AA139" s="47"/>
    </row>
    <row r="140" spans="1:27" ht="12.75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151"/>
      <c r="X140" s="62"/>
      <c r="Y140" s="62"/>
      <c r="Z140" s="62"/>
      <c r="AA140" s="47"/>
    </row>
    <row r="141" spans="1:27" ht="12.75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151"/>
      <c r="X141" s="62"/>
      <c r="Y141" s="62"/>
      <c r="Z141" s="62"/>
      <c r="AA141" s="47"/>
    </row>
    <row r="142" spans="1:27" ht="12.75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151"/>
      <c r="X142" s="62"/>
      <c r="Y142" s="62"/>
      <c r="Z142" s="62"/>
      <c r="AA142" s="47"/>
    </row>
    <row r="143" spans="1:27" ht="12.75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151"/>
      <c r="X143" s="62"/>
      <c r="Y143" s="62"/>
      <c r="Z143" s="62"/>
      <c r="AA143" s="47"/>
    </row>
    <row r="144" spans="1:27" ht="12.75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151"/>
      <c r="X144" s="62"/>
      <c r="Y144" s="62"/>
      <c r="Z144" s="62"/>
      <c r="AA144" s="47"/>
    </row>
    <row r="145" spans="1:27" ht="12.75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151"/>
      <c r="X145" s="62"/>
      <c r="Y145" s="62"/>
      <c r="Z145" s="62"/>
      <c r="AA145" s="47"/>
    </row>
    <row r="146" spans="1:27" ht="12.75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151"/>
      <c r="X146" s="62"/>
      <c r="Y146" s="62"/>
      <c r="Z146" s="62"/>
      <c r="AA146" s="47"/>
    </row>
    <row r="147" spans="1:27" ht="12.75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151"/>
      <c r="X147" s="62"/>
      <c r="Y147" s="62"/>
      <c r="Z147" s="62"/>
      <c r="AA147" s="47"/>
    </row>
    <row r="148" spans="1:27" ht="12.75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151"/>
      <c r="X148" s="62"/>
      <c r="Y148" s="62"/>
      <c r="Z148" s="62"/>
      <c r="AA148" s="47"/>
    </row>
    <row r="149" spans="1:27" ht="12.75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151"/>
      <c r="X149" s="62"/>
      <c r="Y149" s="62"/>
      <c r="Z149" s="62"/>
      <c r="AA149" s="47"/>
    </row>
    <row r="150" spans="1:27" ht="12.75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151"/>
      <c r="X150" s="62"/>
      <c r="Y150" s="62"/>
      <c r="Z150" s="62"/>
      <c r="AA150" s="47"/>
    </row>
    <row r="151" spans="1:27" ht="12.75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151"/>
      <c r="X151" s="62"/>
      <c r="Y151" s="62"/>
      <c r="Z151" s="62"/>
      <c r="AA151" s="47"/>
    </row>
    <row r="152" spans="1:27" ht="12.75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151"/>
      <c r="X152" s="62"/>
      <c r="Y152" s="62"/>
      <c r="Z152" s="62"/>
      <c r="AA152" s="47"/>
    </row>
    <row r="153" spans="1:27" ht="12.75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151"/>
      <c r="X153" s="62"/>
      <c r="Y153" s="62"/>
      <c r="Z153" s="62"/>
      <c r="AA153" s="47"/>
    </row>
    <row r="154" spans="1:27" ht="12.75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151"/>
      <c r="X154" s="62"/>
      <c r="Y154" s="62"/>
      <c r="Z154" s="62"/>
      <c r="AA154" s="47"/>
    </row>
    <row r="155" spans="1:27" ht="12.75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151"/>
      <c r="X155" s="62"/>
      <c r="Y155" s="62"/>
      <c r="Z155" s="62"/>
      <c r="AA155" s="47"/>
    </row>
    <row r="156" spans="1:27" ht="12.75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151"/>
      <c r="X156" s="62"/>
      <c r="Y156" s="62"/>
      <c r="Z156" s="62"/>
      <c r="AA156" s="47"/>
    </row>
    <row r="157" spans="1:27" ht="12.75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151"/>
      <c r="X157" s="62"/>
      <c r="Y157" s="62"/>
      <c r="Z157" s="62"/>
      <c r="AA157" s="47"/>
    </row>
    <row r="158" spans="1:27" ht="12.75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151"/>
      <c r="X158" s="62"/>
      <c r="Y158" s="62"/>
      <c r="Z158" s="62"/>
      <c r="AA158" s="47"/>
    </row>
    <row r="159" spans="1:27" ht="12.75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151"/>
      <c r="X159" s="62"/>
      <c r="Y159" s="62"/>
      <c r="Z159" s="62"/>
      <c r="AA159" s="47"/>
    </row>
    <row r="160" spans="1:27" ht="12.75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151"/>
      <c r="X160" s="62"/>
      <c r="Y160" s="62"/>
      <c r="Z160" s="62"/>
      <c r="AA160" s="47"/>
    </row>
    <row r="161" spans="1:27" ht="12.75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151"/>
      <c r="X161" s="62"/>
      <c r="Y161" s="62"/>
      <c r="Z161" s="62"/>
      <c r="AA161" s="47"/>
    </row>
    <row r="162" spans="1:27" ht="12.75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151"/>
      <c r="X162" s="62"/>
      <c r="Y162" s="62"/>
      <c r="Z162" s="62"/>
      <c r="AA162" s="47"/>
    </row>
    <row r="163" spans="1:27" ht="12.75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151"/>
      <c r="X163" s="62"/>
      <c r="Y163" s="62"/>
      <c r="Z163" s="62"/>
      <c r="AA163" s="47"/>
    </row>
    <row r="164" spans="1:27" ht="12.75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151"/>
      <c r="X164" s="62"/>
      <c r="Y164" s="62"/>
      <c r="Z164" s="62"/>
      <c r="AA164" s="47"/>
    </row>
    <row r="165" spans="1:27" ht="12.75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151"/>
      <c r="X165" s="62"/>
      <c r="Y165" s="62"/>
      <c r="Z165" s="62"/>
      <c r="AA165" s="47"/>
    </row>
    <row r="166" spans="1:27" ht="12.75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151"/>
      <c r="X166" s="62"/>
      <c r="Y166" s="62"/>
      <c r="Z166" s="62"/>
      <c r="AA166" s="47"/>
    </row>
    <row r="167" spans="1:27" ht="12.75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151"/>
      <c r="X167" s="62"/>
      <c r="Y167" s="62"/>
      <c r="Z167" s="62"/>
      <c r="AA167" s="47"/>
    </row>
    <row r="168" spans="1:27" ht="12.75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151"/>
      <c r="X168" s="62"/>
      <c r="Y168" s="62"/>
      <c r="Z168" s="62"/>
      <c r="AA168" s="47"/>
    </row>
    <row r="169" spans="1:27" ht="12.75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151"/>
      <c r="X169" s="62"/>
      <c r="Y169" s="62"/>
      <c r="Z169" s="62"/>
      <c r="AA169" s="47"/>
    </row>
    <row r="170" spans="1:27" ht="12.75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151"/>
      <c r="X170" s="62"/>
      <c r="Y170" s="62"/>
      <c r="Z170" s="62"/>
      <c r="AA170" s="47"/>
    </row>
    <row r="171" spans="1:27" ht="12.75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151"/>
      <c r="X171" s="62"/>
      <c r="Y171" s="62"/>
      <c r="Z171" s="62"/>
      <c r="AA171" s="47"/>
    </row>
    <row r="172" spans="1:27" ht="12.75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151"/>
      <c r="X172" s="62"/>
      <c r="Y172" s="62"/>
      <c r="Z172" s="62"/>
      <c r="AA172" s="47"/>
    </row>
    <row r="173" spans="1:27" ht="12.75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151"/>
      <c r="X173" s="62"/>
      <c r="Y173" s="62"/>
      <c r="Z173" s="62"/>
      <c r="AA173" s="47"/>
    </row>
    <row r="174" spans="1:27" ht="12.75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151"/>
      <c r="X174" s="62"/>
      <c r="Y174" s="62"/>
      <c r="Z174" s="62"/>
      <c r="AA174" s="47"/>
    </row>
    <row r="175" spans="1:27" ht="12.75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151"/>
      <c r="X175" s="62"/>
      <c r="Y175" s="62"/>
      <c r="Z175" s="62"/>
      <c r="AA175" s="47"/>
    </row>
    <row r="176" spans="1:27" ht="12.75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151"/>
      <c r="X176" s="62"/>
      <c r="Y176" s="62"/>
      <c r="Z176" s="62"/>
      <c r="AA176" s="47"/>
    </row>
    <row r="177" spans="1:27" ht="12.75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151"/>
      <c r="X177" s="62"/>
      <c r="Y177" s="62"/>
      <c r="Z177" s="62"/>
      <c r="AA177" s="47"/>
    </row>
    <row r="178" spans="1:27" ht="12.75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151"/>
      <c r="X178" s="62"/>
      <c r="Y178" s="62"/>
      <c r="Z178" s="62"/>
      <c r="AA178" s="47"/>
    </row>
    <row r="179" spans="1:27" ht="12.75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151"/>
      <c r="X179" s="62"/>
      <c r="Y179" s="62"/>
      <c r="Z179" s="62"/>
      <c r="AA179" s="47"/>
    </row>
    <row r="180" spans="1:27" ht="12.75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151"/>
      <c r="X180" s="62"/>
      <c r="Y180" s="62"/>
      <c r="Z180" s="62"/>
      <c r="AA180" s="47"/>
    </row>
    <row r="181" spans="1:27" ht="12.75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151"/>
      <c r="X181" s="62"/>
      <c r="Y181" s="62"/>
      <c r="Z181" s="62"/>
      <c r="AA181" s="47"/>
    </row>
    <row r="182" spans="1:27" ht="12.75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151"/>
      <c r="X182" s="62"/>
      <c r="Y182" s="62"/>
      <c r="Z182" s="62"/>
      <c r="AA182" s="47"/>
    </row>
    <row r="183" spans="1:27" ht="12.75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151"/>
      <c r="X183" s="62"/>
      <c r="Y183" s="62"/>
      <c r="Z183" s="62"/>
      <c r="AA183" s="47"/>
    </row>
    <row r="184" spans="1:27" ht="12.75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151"/>
      <c r="X184" s="62"/>
      <c r="Y184" s="62"/>
      <c r="Z184" s="62"/>
      <c r="AA184" s="47"/>
    </row>
    <row r="185" spans="1:27" ht="12.75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151"/>
      <c r="X185" s="62"/>
      <c r="Y185" s="62"/>
      <c r="Z185" s="62"/>
      <c r="AA185" s="47"/>
    </row>
    <row r="186" spans="1:27" ht="12.75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151"/>
      <c r="X186" s="62"/>
      <c r="Y186" s="62"/>
      <c r="Z186" s="62"/>
      <c r="AA186" s="47"/>
    </row>
    <row r="187" spans="1:27" ht="12.75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151"/>
      <c r="X187" s="62"/>
      <c r="Y187" s="62"/>
      <c r="Z187" s="62"/>
      <c r="AA187" s="47"/>
    </row>
    <row r="188" spans="1:27" ht="12.75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151"/>
      <c r="X188" s="62"/>
      <c r="Y188" s="62"/>
      <c r="Z188" s="62"/>
      <c r="AA188" s="47"/>
    </row>
    <row r="189" spans="1:27" ht="12.75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151"/>
      <c r="X189" s="62"/>
      <c r="Y189" s="62"/>
      <c r="Z189" s="62"/>
      <c r="AA189" s="47"/>
    </row>
    <row r="190" spans="1:27" ht="12.75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151"/>
      <c r="X190" s="62"/>
      <c r="Y190" s="62"/>
      <c r="Z190" s="62"/>
      <c r="AA190" s="47"/>
    </row>
    <row r="191" spans="1:27" ht="12.75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151"/>
      <c r="X191" s="62"/>
      <c r="Y191" s="62"/>
      <c r="Z191" s="62"/>
      <c r="AA191" s="47"/>
    </row>
    <row r="192" spans="1:27" ht="12.75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151"/>
      <c r="X192" s="62"/>
      <c r="Y192" s="62"/>
      <c r="Z192" s="62"/>
      <c r="AA192" s="47"/>
    </row>
    <row r="193" spans="1:27" ht="12.75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151"/>
      <c r="X193" s="62"/>
      <c r="Y193" s="62"/>
      <c r="Z193" s="62"/>
      <c r="AA193" s="47"/>
    </row>
    <row r="194" spans="1:27" ht="12.75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151"/>
      <c r="X194" s="62"/>
      <c r="Y194" s="62"/>
      <c r="Z194" s="62"/>
      <c r="AA194" s="47"/>
    </row>
    <row r="195" spans="1:27" ht="12.75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151"/>
      <c r="X195" s="62"/>
      <c r="Y195" s="62"/>
      <c r="Z195" s="62"/>
      <c r="AA195" s="47"/>
    </row>
    <row r="196" spans="1:27" ht="12.75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151"/>
      <c r="X196" s="62"/>
      <c r="Y196" s="62"/>
      <c r="Z196" s="62"/>
      <c r="AA196" s="47"/>
    </row>
    <row r="197" spans="1:27" ht="12.75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151"/>
      <c r="X197" s="62"/>
      <c r="Y197" s="62"/>
      <c r="Z197" s="62"/>
      <c r="AA197" s="47"/>
    </row>
    <row r="198" spans="1:27" ht="12.75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151"/>
      <c r="X198" s="62"/>
      <c r="Y198" s="62"/>
      <c r="Z198" s="62"/>
      <c r="AA198" s="47"/>
    </row>
    <row r="199" spans="1:27" ht="12.75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151"/>
      <c r="X199" s="62"/>
      <c r="Y199" s="62"/>
      <c r="Z199" s="62"/>
      <c r="AA199" s="47"/>
    </row>
    <row r="200" spans="1:27" ht="12.75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151"/>
      <c r="X200" s="62"/>
      <c r="Y200" s="62"/>
      <c r="Z200" s="62"/>
      <c r="AA200" s="47"/>
    </row>
    <row r="201" spans="1:27" ht="12.75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151"/>
      <c r="X201" s="62"/>
      <c r="Y201" s="62"/>
      <c r="Z201" s="62"/>
      <c r="AA201" s="47"/>
    </row>
    <row r="202" spans="1:27" ht="12.75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151"/>
      <c r="X202" s="62"/>
      <c r="Y202" s="62"/>
      <c r="Z202" s="62"/>
      <c r="AA202" s="47"/>
    </row>
    <row r="203" spans="1:27" ht="12.75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151"/>
      <c r="X203" s="62"/>
      <c r="Y203" s="62"/>
      <c r="Z203" s="62"/>
      <c r="AA203" s="47"/>
    </row>
    <row r="204" spans="1:27" ht="12.75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151"/>
      <c r="X204" s="62"/>
      <c r="Y204" s="62"/>
      <c r="Z204" s="62"/>
      <c r="AA204" s="47"/>
    </row>
    <row r="205" spans="1:27" ht="12.75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151"/>
      <c r="X205" s="62"/>
      <c r="Y205" s="62"/>
      <c r="Z205" s="62"/>
      <c r="AA205" s="47"/>
    </row>
    <row r="206" spans="1:27" ht="12.75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151"/>
      <c r="X206" s="62"/>
      <c r="Y206" s="62"/>
      <c r="Z206" s="62"/>
      <c r="AA206" s="47"/>
    </row>
    <row r="207" spans="1:27" ht="12.75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151"/>
      <c r="X207" s="62"/>
      <c r="Y207" s="62"/>
      <c r="Z207" s="62"/>
      <c r="AA207" s="47"/>
    </row>
    <row r="208" spans="1:27" ht="12.75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151"/>
      <c r="X208" s="62"/>
      <c r="Y208" s="62"/>
      <c r="Z208" s="62"/>
      <c r="AA208" s="47"/>
    </row>
    <row r="209" spans="1:27" ht="12.75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151"/>
      <c r="X209" s="62"/>
      <c r="Y209" s="62"/>
      <c r="Z209" s="62"/>
      <c r="AA209" s="47"/>
    </row>
    <row r="210" spans="1:27" ht="12.75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151"/>
      <c r="X210" s="62"/>
      <c r="Y210" s="62"/>
      <c r="Z210" s="62"/>
      <c r="AA210" s="47"/>
    </row>
    <row r="211" spans="1:27" ht="12.75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151"/>
      <c r="X211" s="62"/>
      <c r="Y211" s="62"/>
      <c r="Z211" s="62"/>
      <c r="AA211" s="47"/>
    </row>
    <row r="212" spans="1:27" ht="12.75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151"/>
      <c r="X212" s="62"/>
      <c r="Y212" s="62"/>
      <c r="Z212" s="62"/>
      <c r="AA212" s="47"/>
    </row>
    <row r="213" spans="1:27" ht="12.75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151"/>
      <c r="X213" s="62"/>
      <c r="Y213" s="62"/>
      <c r="Z213" s="62"/>
      <c r="AA213" s="47"/>
    </row>
    <row r="214" spans="1:27" ht="12.75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151"/>
      <c r="X214" s="62"/>
      <c r="Y214" s="62"/>
      <c r="Z214" s="62"/>
      <c r="AA214" s="47"/>
    </row>
    <row r="215" spans="1:27" ht="12.75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151"/>
      <c r="X215" s="62"/>
      <c r="Y215" s="62"/>
      <c r="Z215" s="62"/>
      <c r="AA215" s="47"/>
    </row>
    <row r="216" spans="1:27" ht="12.75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151"/>
      <c r="X216" s="62"/>
      <c r="Y216" s="62"/>
      <c r="Z216" s="62"/>
      <c r="AA216" s="47"/>
    </row>
    <row r="217" spans="1:27" ht="12.75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151"/>
      <c r="X217" s="62"/>
      <c r="Y217" s="62"/>
      <c r="Z217" s="62"/>
      <c r="AA217" s="47"/>
    </row>
    <row r="218" spans="1:27" ht="12.75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151"/>
      <c r="X218" s="62"/>
      <c r="Y218" s="62"/>
      <c r="Z218" s="62"/>
      <c r="AA218" s="47"/>
    </row>
    <row r="219" spans="1:27" ht="12.75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151"/>
      <c r="X219" s="62"/>
      <c r="Y219" s="62"/>
      <c r="Z219" s="62"/>
      <c r="AA219" s="47"/>
    </row>
    <row r="220" spans="1:27" ht="12.75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151"/>
      <c r="X220" s="62"/>
      <c r="Y220" s="62"/>
      <c r="Z220" s="62"/>
      <c r="AA220" s="47"/>
    </row>
    <row r="221" spans="1:27" ht="12.75">
      <c r="A221" s="62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151"/>
      <c r="X221" s="62"/>
      <c r="Y221" s="62"/>
      <c r="Z221" s="62"/>
      <c r="AA221" s="47"/>
    </row>
    <row r="222" spans="1:27" ht="12.75">
      <c r="A222" s="62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151"/>
      <c r="X222" s="62"/>
      <c r="Y222" s="62"/>
      <c r="Z222" s="62"/>
      <c r="AA222" s="47"/>
    </row>
    <row r="223" spans="1:27" ht="12.75">
      <c r="A223" s="62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151"/>
      <c r="X223" s="62"/>
      <c r="Y223" s="62"/>
      <c r="Z223" s="62"/>
      <c r="AA223" s="47"/>
    </row>
    <row r="224" spans="1:27" ht="12.75">
      <c r="A224" s="62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151"/>
      <c r="X224" s="62"/>
      <c r="Y224" s="62"/>
      <c r="Z224" s="62"/>
      <c r="AA224" s="47"/>
    </row>
    <row r="225" spans="1:27" ht="12.75">
      <c r="A225" s="62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151"/>
      <c r="X225" s="62"/>
      <c r="Y225" s="62"/>
      <c r="Z225" s="62"/>
      <c r="AA225" s="47"/>
    </row>
    <row r="226" spans="1:27" ht="12.75">
      <c r="A226" s="62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151"/>
      <c r="X226" s="62"/>
      <c r="Y226" s="62"/>
      <c r="Z226" s="62"/>
      <c r="AA226" s="47"/>
    </row>
    <row r="227" spans="1:27" ht="12.75">
      <c r="A227" s="62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151"/>
      <c r="X227" s="62"/>
      <c r="Y227" s="62"/>
      <c r="Z227" s="62"/>
      <c r="AA227" s="47"/>
    </row>
    <row r="228" spans="1:27" ht="12.75">
      <c r="A228" s="62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151"/>
      <c r="X228" s="62"/>
      <c r="Y228" s="62"/>
      <c r="Z228" s="62"/>
      <c r="AA228" s="47"/>
    </row>
    <row r="229" spans="1:27" ht="12.75">
      <c r="A229" s="62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151"/>
      <c r="X229" s="62"/>
      <c r="Y229" s="62"/>
      <c r="Z229" s="62"/>
      <c r="AA229" s="47"/>
    </row>
    <row r="230" spans="1:27" ht="12.75">
      <c r="A230" s="62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151"/>
      <c r="X230" s="62"/>
      <c r="Y230" s="62"/>
      <c r="Z230" s="62"/>
      <c r="AA230" s="47"/>
    </row>
    <row r="231" spans="1:27" ht="12.75">
      <c r="A231" s="62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151"/>
      <c r="X231" s="62"/>
      <c r="Y231" s="62"/>
      <c r="Z231" s="62"/>
      <c r="AA231" s="47"/>
    </row>
    <row r="232" spans="1:27" ht="12.75">
      <c r="A232" s="62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151"/>
      <c r="X232" s="62"/>
      <c r="Y232" s="62"/>
      <c r="Z232" s="62"/>
      <c r="AA232" s="47"/>
    </row>
    <row r="233" spans="1:27" ht="12.75">
      <c r="A233" s="62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151"/>
      <c r="X233" s="62"/>
      <c r="Y233" s="62"/>
      <c r="Z233" s="62"/>
      <c r="AA233" s="47"/>
    </row>
    <row r="234" spans="1:27" ht="12.75">
      <c r="A234" s="62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151"/>
      <c r="X234" s="62"/>
      <c r="Y234" s="62"/>
      <c r="Z234" s="62"/>
      <c r="AA234" s="47"/>
    </row>
    <row r="235" spans="1:27" ht="12.75">
      <c r="A235" s="62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151"/>
      <c r="X235" s="62"/>
      <c r="Y235" s="62"/>
      <c r="Z235" s="62"/>
      <c r="AA235" s="47"/>
    </row>
    <row r="236" spans="1:27" ht="12.75">
      <c r="A236" s="62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151"/>
      <c r="X236" s="62"/>
      <c r="Y236" s="62"/>
      <c r="Z236" s="62"/>
      <c r="AA236" s="47"/>
    </row>
    <row r="237" spans="1:27" ht="12.75">
      <c r="A237" s="62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151"/>
      <c r="X237" s="62"/>
      <c r="Y237" s="62"/>
      <c r="Z237" s="62"/>
      <c r="AA237" s="47"/>
    </row>
    <row r="238" spans="1:27" ht="12.75">
      <c r="A238" s="62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151"/>
      <c r="X238" s="62"/>
      <c r="Y238" s="62"/>
      <c r="Z238" s="62"/>
      <c r="AA238" s="47"/>
    </row>
    <row r="239" spans="1:27" ht="12.75">
      <c r="A239" s="62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151"/>
      <c r="X239" s="62"/>
      <c r="Y239" s="62"/>
      <c r="Z239" s="62"/>
      <c r="AA239" s="47"/>
    </row>
    <row r="240" spans="1:27" ht="12.75">
      <c r="A240" s="62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151"/>
      <c r="X240" s="62"/>
      <c r="Y240" s="62"/>
      <c r="Z240" s="62"/>
      <c r="AA240" s="47"/>
    </row>
    <row r="241" spans="1:27" ht="12.75">
      <c r="A241" s="62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151"/>
      <c r="X241" s="62"/>
      <c r="Y241" s="62"/>
      <c r="Z241" s="62"/>
      <c r="AA241" s="47"/>
    </row>
    <row r="242" spans="1:27" ht="12.75">
      <c r="A242" s="62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151"/>
      <c r="X242" s="62"/>
      <c r="Y242" s="62"/>
      <c r="Z242" s="62"/>
      <c r="AA242" s="47"/>
    </row>
    <row r="243" spans="1:27" ht="12.75">
      <c r="A243" s="62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151"/>
      <c r="X243" s="62"/>
      <c r="Y243" s="62"/>
      <c r="Z243" s="62"/>
      <c r="AA243" s="47"/>
    </row>
    <row r="244" spans="1:27" ht="12.75">
      <c r="A244" s="62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151"/>
      <c r="X244" s="62"/>
      <c r="Y244" s="62"/>
      <c r="Z244" s="62"/>
      <c r="AA244" s="47"/>
    </row>
    <row r="245" spans="1:27" ht="12.75">
      <c r="A245" s="62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151"/>
      <c r="X245" s="62"/>
      <c r="Y245" s="62"/>
      <c r="Z245" s="62"/>
      <c r="AA245" s="47"/>
    </row>
    <row r="246" spans="1:27" ht="12.75">
      <c r="A246" s="62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151"/>
      <c r="X246" s="62"/>
      <c r="Y246" s="62"/>
      <c r="Z246" s="62"/>
      <c r="AA246" s="47"/>
    </row>
    <row r="247" spans="1:27" ht="12.75">
      <c r="A247" s="62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151"/>
      <c r="X247" s="62"/>
      <c r="Y247" s="62"/>
      <c r="Z247" s="62"/>
      <c r="AA247" s="47"/>
    </row>
    <row r="248" spans="1:27" ht="12.75">
      <c r="A248" s="62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151"/>
      <c r="X248" s="62"/>
      <c r="Y248" s="62"/>
      <c r="Z248" s="62"/>
      <c r="AA248" s="47"/>
    </row>
    <row r="249" spans="1:27" ht="12.75">
      <c r="A249" s="62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151"/>
      <c r="X249" s="62"/>
      <c r="Y249" s="62"/>
      <c r="Z249" s="62"/>
      <c r="AA249" s="47"/>
    </row>
    <row r="250" spans="1:27" ht="12.75">
      <c r="A250" s="62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151"/>
      <c r="X250" s="62"/>
      <c r="Y250" s="62"/>
      <c r="Z250" s="62"/>
      <c r="AA250" s="47"/>
    </row>
    <row r="251" spans="1:27" ht="12.75">
      <c r="A251" s="62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151"/>
      <c r="X251" s="62"/>
      <c r="Y251" s="62"/>
      <c r="Z251" s="62"/>
      <c r="AA251" s="47"/>
    </row>
    <row r="252" spans="1:27" ht="12.75">
      <c r="A252" s="62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151"/>
      <c r="X252" s="62"/>
      <c r="Y252" s="62"/>
      <c r="Z252" s="62"/>
      <c r="AA252" s="47"/>
    </row>
    <row r="253" spans="1:27" ht="12.75">
      <c r="A253" s="62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151"/>
      <c r="X253" s="62"/>
      <c r="Y253" s="62"/>
      <c r="Z253" s="62"/>
      <c r="AA253" s="47"/>
    </row>
    <row r="254" spans="1:27" ht="12.75">
      <c r="A254" s="62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151"/>
      <c r="X254" s="62"/>
      <c r="Y254" s="62"/>
      <c r="Z254" s="62"/>
      <c r="AA254" s="47"/>
    </row>
    <row r="255" spans="1:27" ht="12.75">
      <c r="A255" s="62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151"/>
      <c r="X255" s="62"/>
      <c r="Y255" s="62"/>
      <c r="Z255" s="62"/>
      <c r="AA255" s="47"/>
    </row>
    <row r="256" spans="1:27" ht="12.75">
      <c r="A256" s="62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151"/>
      <c r="X256" s="62"/>
      <c r="Y256" s="62"/>
      <c r="Z256" s="62"/>
      <c r="AA256" s="47"/>
    </row>
    <row r="257" spans="1:27" ht="12.75">
      <c r="A257" s="62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151"/>
      <c r="X257" s="62"/>
      <c r="Y257" s="62"/>
      <c r="Z257" s="62"/>
      <c r="AA257" s="47"/>
    </row>
    <row r="258" spans="1:27" ht="12.75">
      <c r="A258" s="62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151"/>
      <c r="X258" s="62"/>
      <c r="Y258" s="62"/>
      <c r="Z258" s="62"/>
      <c r="AA258" s="47"/>
    </row>
    <row r="259" spans="1:27" ht="12.75">
      <c r="A259" s="62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151"/>
      <c r="X259" s="62"/>
      <c r="Y259" s="62"/>
      <c r="Z259" s="62"/>
      <c r="AA259" s="47"/>
    </row>
    <row r="260" spans="1:27" ht="12.75">
      <c r="A260" s="62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151"/>
      <c r="X260" s="62"/>
      <c r="Y260" s="62"/>
      <c r="Z260" s="62"/>
      <c r="AA260" s="47"/>
    </row>
    <row r="261" spans="1:27" ht="12.75">
      <c r="A261" s="62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151"/>
      <c r="X261" s="62"/>
      <c r="Y261" s="62"/>
      <c r="Z261" s="62"/>
      <c r="AA261" s="47"/>
    </row>
    <row r="262" spans="1:27" ht="12.75">
      <c r="A262" s="62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151"/>
      <c r="X262" s="62"/>
      <c r="Y262" s="62"/>
      <c r="Z262" s="62"/>
      <c r="AA262" s="47"/>
    </row>
    <row r="263" spans="1:27" ht="12.75">
      <c r="A263" s="62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151"/>
      <c r="X263" s="62"/>
      <c r="Y263" s="62"/>
      <c r="Z263" s="62"/>
      <c r="AA263" s="47"/>
    </row>
    <row r="264" spans="1:27" ht="12.75">
      <c r="A264" s="62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151"/>
      <c r="X264" s="62"/>
      <c r="Y264" s="62"/>
      <c r="Z264" s="62"/>
      <c r="AA264" s="47"/>
    </row>
    <row r="265" spans="1:27" ht="12.75">
      <c r="A265" s="62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151"/>
      <c r="X265" s="62"/>
      <c r="Y265" s="62"/>
      <c r="Z265" s="62"/>
      <c r="AA265" s="47"/>
    </row>
    <row r="266" spans="1:27" ht="12.75">
      <c r="A266" s="62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151"/>
      <c r="X266" s="62"/>
      <c r="Y266" s="62"/>
      <c r="Z266" s="62"/>
      <c r="AA266" s="47"/>
    </row>
    <row r="267" spans="1:27" ht="12.75">
      <c r="A267" s="62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151"/>
      <c r="X267" s="62"/>
      <c r="Y267" s="62"/>
      <c r="Z267" s="62"/>
      <c r="AA267" s="47"/>
    </row>
    <row r="268" spans="1:27" ht="12.75">
      <c r="A268" s="62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151"/>
      <c r="X268" s="62"/>
      <c r="Y268" s="62"/>
      <c r="Z268" s="62"/>
      <c r="AA268" s="47"/>
    </row>
    <row r="269" spans="1:27" ht="12.75">
      <c r="A269" s="62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151"/>
      <c r="X269" s="62"/>
      <c r="Y269" s="62"/>
      <c r="Z269" s="62"/>
      <c r="AA269" s="47"/>
    </row>
    <row r="270" spans="1:27" ht="12.75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151"/>
      <c r="X270" s="62"/>
      <c r="Y270" s="62"/>
      <c r="Z270" s="62"/>
      <c r="AA270" s="47"/>
    </row>
    <row r="271" spans="1:27" ht="12.75">
      <c r="A271" s="62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151"/>
      <c r="X271" s="62"/>
      <c r="Y271" s="62"/>
      <c r="Z271" s="62"/>
      <c r="AA271" s="47"/>
    </row>
    <row r="272" spans="1:27" ht="12.75">
      <c r="A272" s="62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151"/>
      <c r="X272" s="62"/>
      <c r="Y272" s="62"/>
      <c r="Z272" s="62"/>
      <c r="AA272" s="47"/>
    </row>
    <row r="273" spans="1:27" ht="12.75">
      <c r="A273" s="62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151"/>
      <c r="X273" s="62"/>
      <c r="Y273" s="62"/>
      <c r="Z273" s="62"/>
      <c r="AA273" s="47"/>
    </row>
    <row r="274" spans="1:27" ht="12.75">
      <c r="A274" s="62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151"/>
      <c r="X274" s="62"/>
      <c r="Y274" s="62"/>
      <c r="Z274" s="62"/>
      <c r="AA274" s="47"/>
    </row>
    <row r="275" spans="1:27" ht="12.75">
      <c r="A275" s="62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151"/>
      <c r="X275" s="62"/>
      <c r="Y275" s="62"/>
      <c r="Z275" s="62"/>
      <c r="AA275" s="47"/>
    </row>
    <row r="276" spans="1:27" ht="12.75">
      <c r="A276" s="62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151"/>
      <c r="X276" s="62"/>
      <c r="Y276" s="62"/>
      <c r="Z276" s="62"/>
      <c r="AA276" s="47"/>
    </row>
    <row r="277" spans="1:27" ht="12.75">
      <c r="A277" s="62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151"/>
      <c r="X277" s="62"/>
      <c r="Y277" s="62"/>
      <c r="Z277" s="62"/>
      <c r="AA277" s="47"/>
    </row>
    <row r="278" spans="1:27" ht="12.75">
      <c r="A278" s="62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151"/>
      <c r="X278" s="62"/>
      <c r="Y278" s="62"/>
      <c r="Z278" s="62"/>
      <c r="AA278" s="47"/>
    </row>
    <row r="279" spans="1:27" ht="12.75">
      <c r="A279" s="62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151"/>
      <c r="X279" s="62"/>
      <c r="Y279" s="62"/>
      <c r="Z279" s="62"/>
      <c r="AA279" s="47"/>
    </row>
    <row r="280" spans="1:27" ht="12.75">
      <c r="A280" s="62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151"/>
      <c r="X280" s="62"/>
      <c r="Y280" s="62"/>
      <c r="Z280" s="62"/>
      <c r="AA280" s="47"/>
    </row>
    <row r="281" spans="1:27" ht="12.75">
      <c r="A281" s="62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151"/>
      <c r="X281" s="62"/>
      <c r="Y281" s="62"/>
      <c r="Z281" s="62"/>
      <c r="AA281" s="47"/>
    </row>
    <row r="282" spans="1:27" ht="12.75">
      <c r="A282" s="62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151"/>
      <c r="X282" s="62"/>
      <c r="Y282" s="62"/>
      <c r="Z282" s="62"/>
      <c r="AA282" s="47"/>
    </row>
    <row r="283" spans="1:27" ht="12.75">
      <c r="A283" s="62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151"/>
      <c r="X283" s="62"/>
      <c r="Y283" s="62"/>
      <c r="Z283" s="62"/>
      <c r="AA283" s="47"/>
    </row>
    <row r="284" spans="1:27" ht="12.75">
      <c r="A284" s="62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151"/>
      <c r="X284" s="62"/>
      <c r="Y284" s="62"/>
      <c r="Z284" s="62"/>
      <c r="AA284" s="47"/>
    </row>
    <row r="285" spans="1:27" ht="12.75">
      <c r="A285" s="62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151"/>
      <c r="X285" s="62"/>
      <c r="Y285" s="62"/>
      <c r="Z285" s="62"/>
      <c r="AA285" s="47"/>
    </row>
    <row r="286" spans="1:27" ht="12.75">
      <c r="A286" s="62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151"/>
      <c r="X286" s="62"/>
      <c r="Y286" s="62"/>
      <c r="Z286" s="62"/>
      <c r="AA286" s="47"/>
    </row>
    <row r="287" spans="1:27" ht="12.75">
      <c r="A287" s="62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151"/>
      <c r="X287" s="62"/>
      <c r="Y287" s="62"/>
      <c r="Z287" s="62"/>
      <c r="AA287" s="47"/>
    </row>
    <row r="288" spans="1:27" ht="12.75">
      <c r="A288" s="62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151"/>
      <c r="X288" s="62"/>
      <c r="Y288" s="62"/>
      <c r="Z288" s="62"/>
      <c r="AA288" s="47"/>
    </row>
    <row r="289" spans="1:27" ht="12.75">
      <c r="A289" s="62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151"/>
      <c r="X289" s="62"/>
      <c r="Y289" s="62"/>
      <c r="Z289" s="62"/>
      <c r="AA289" s="47"/>
    </row>
    <row r="290" spans="1:27" ht="12.75">
      <c r="A290" s="62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151"/>
      <c r="X290" s="62"/>
      <c r="Y290" s="62"/>
      <c r="Z290" s="62"/>
      <c r="AA290" s="47"/>
    </row>
    <row r="291" spans="1:27" ht="12.75">
      <c r="A291" s="62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151"/>
      <c r="X291" s="62"/>
      <c r="Y291" s="62"/>
      <c r="Z291" s="62"/>
      <c r="AA291" s="47"/>
    </row>
    <row r="292" spans="1:27" ht="12.75">
      <c r="A292" s="62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151"/>
      <c r="X292" s="62"/>
      <c r="Y292" s="62"/>
      <c r="Z292" s="62"/>
      <c r="AA292" s="47"/>
    </row>
    <row r="293" spans="1:27" ht="12.75">
      <c r="A293" s="62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151"/>
      <c r="X293" s="62"/>
      <c r="Y293" s="62"/>
      <c r="Z293" s="62"/>
      <c r="AA293" s="47"/>
    </row>
    <row r="294" spans="1:27" ht="12.75">
      <c r="A294" s="62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151"/>
      <c r="X294" s="62"/>
      <c r="Y294" s="62"/>
      <c r="Z294" s="62"/>
      <c r="AA294" s="47"/>
    </row>
    <row r="295" spans="1:27" ht="12.75">
      <c r="A295" s="62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151"/>
      <c r="X295" s="62"/>
      <c r="Y295" s="62"/>
      <c r="Z295" s="62"/>
      <c r="AA295" s="47"/>
    </row>
    <row r="296" spans="1:27" ht="12.75">
      <c r="A296" s="62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151"/>
      <c r="X296" s="62"/>
      <c r="Y296" s="62"/>
      <c r="Z296" s="62"/>
      <c r="AA296" s="47"/>
    </row>
    <row r="297" spans="1:27" ht="12.75">
      <c r="A297" s="62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151"/>
      <c r="X297" s="62"/>
      <c r="Y297" s="62"/>
      <c r="Z297" s="62"/>
      <c r="AA297" s="47"/>
    </row>
    <row r="298" spans="1:27" ht="12.75">
      <c r="A298" s="62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151"/>
      <c r="X298" s="62"/>
      <c r="Y298" s="62"/>
      <c r="Z298" s="62"/>
      <c r="AA298" s="47"/>
    </row>
    <row r="299" spans="1:27" ht="12.75">
      <c r="A299" s="62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151"/>
      <c r="X299" s="62"/>
      <c r="Y299" s="62"/>
      <c r="Z299" s="62"/>
      <c r="AA299" s="47"/>
    </row>
    <row r="300" spans="1:27" ht="12.75">
      <c r="A300" s="62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151"/>
      <c r="X300" s="62"/>
      <c r="Y300" s="62"/>
      <c r="Z300" s="62"/>
      <c r="AA300" s="47"/>
    </row>
    <row r="301" spans="1:27" ht="12.75">
      <c r="A301" s="62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151"/>
      <c r="X301" s="62"/>
      <c r="Y301" s="62"/>
      <c r="Z301" s="62"/>
      <c r="AA301" s="47"/>
    </row>
    <row r="302" spans="1:27" ht="12.75">
      <c r="A302" s="62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151"/>
      <c r="X302" s="62"/>
      <c r="Y302" s="62"/>
      <c r="Z302" s="62"/>
      <c r="AA302" s="47"/>
    </row>
    <row r="303" spans="1:27" ht="12.75">
      <c r="A303" s="62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151"/>
      <c r="X303" s="62"/>
      <c r="Y303" s="62"/>
      <c r="Z303" s="62"/>
      <c r="AA303" s="47"/>
    </row>
    <row r="304" spans="1:27" ht="12.75">
      <c r="A304" s="62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151"/>
      <c r="X304" s="62"/>
      <c r="Y304" s="62"/>
      <c r="Z304" s="62"/>
      <c r="AA304" s="47"/>
    </row>
    <row r="305" spans="1:27" ht="12.75">
      <c r="A305" s="62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151"/>
      <c r="X305" s="62"/>
      <c r="Y305" s="62"/>
      <c r="Z305" s="62"/>
      <c r="AA305" s="47"/>
    </row>
    <row r="306" spans="1:27" ht="12.75">
      <c r="A306" s="62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151"/>
      <c r="X306" s="62"/>
      <c r="Y306" s="62"/>
      <c r="Z306" s="62"/>
      <c r="AA306" s="47"/>
    </row>
    <row r="307" spans="1:27" ht="12.75">
      <c r="A307" s="62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151"/>
      <c r="X307" s="62"/>
      <c r="Y307" s="62"/>
      <c r="Z307" s="62"/>
      <c r="AA307" s="47"/>
    </row>
    <row r="308" spans="1:27" ht="12.75">
      <c r="A308" s="62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151"/>
      <c r="X308" s="62"/>
      <c r="Y308" s="62"/>
      <c r="Z308" s="62"/>
      <c r="AA308" s="47"/>
    </row>
    <row r="309" spans="1:27" ht="12.75">
      <c r="A309" s="62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151"/>
      <c r="X309" s="62"/>
      <c r="Y309" s="62"/>
      <c r="Z309" s="62"/>
      <c r="AA309" s="47"/>
    </row>
    <row r="310" spans="1:27" ht="12.75">
      <c r="A310" s="62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151"/>
      <c r="X310" s="62"/>
      <c r="Y310" s="62"/>
      <c r="Z310" s="62"/>
      <c r="AA310" s="47"/>
    </row>
    <row r="311" spans="1:27" ht="12.75">
      <c r="A311" s="62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151"/>
      <c r="X311" s="62"/>
      <c r="Y311" s="62"/>
      <c r="Z311" s="62"/>
      <c r="AA311" s="47"/>
    </row>
    <row r="312" spans="1:27" ht="12.75">
      <c r="A312" s="62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151"/>
      <c r="X312" s="62"/>
      <c r="Y312" s="62"/>
      <c r="Z312" s="62"/>
      <c r="AA312" s="47"/>
    </row>
    <row r="313" spans="1:27" ht="12.75">
      <c r="A313" s="62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151"/>
      <c r="X313" s="62"/>
      <c r="Y313" s="62"/>
      <c r="Z313" s="62"/>
      <c r="AA313" s="47"/>
    </row>
    <row r="314" spans="1:27" ht="12.75">
      <c r="A314" s="62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151"/>
      <c r="X314" s="62"/>
      <c r="Y314" s="62"/>
      <c r="Z314" s="62"/>
      <c r="AA314" s="47"/>
    </row>
    <row r="315" spans="1:27" ht="12.75">
      <c r="A315" s="62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151"/>
      <c r="X315" s="62"/>
      <c r="Y315" s="62"/>
      <c r="Z315" s="62"/>
      <c r="AA315" s="47"/>
    </row>
    <row r="316" spans="1:27" ht="12.75">
      <c r="A316" s="62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151"/>
      <c r="X316" s="62"/>
      <c r="Y316" s="62"/>
      <c r="Z316" s="62"/>
      <c r="AA316" s="47"/>
    </row>
    <row r="317" spans="1:27" ht="12.75">
      <c r="A317" s="62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151"/>
      <c r="X317" s="62"/>
      <c r="Y317" s="62"/>
      <c r="Z317" s="62"/>
      <c r="AA317" s="47"/>
    </row>
    <row r="318" spans="1:27" ht="12.75">
      <c r="A318" s="62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151"/>
      <c r="X318" s="62"/>
      <c r="Y318" s="62"/>
      <c r="Z318" s="62"/>
      <c r="AA318" s="47"/>
    </row>
    <row r="319" spans="1:27" ht="12.75">
      <c r="A319" s="62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151"/>
      <c r="X319" s="62"/>
      <c r="Y319" s="62"/>
      <c r="Z319" s="62"/>
      <c r="AA319" s="47"/>
    </row>
    <row r="320" spans="1:27" ht="12.75">
      <c r="A320" s="62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151"/>
      <c r="X320" s="62"/>
      <c r="Y320" s="62"/>
      <c r="Z320" s="62"/>
      <c r="AA320" s="47"/>
    </row>
    <row r="321" spans="1:27" ht="12.75">
      <c r="A321" s="62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151"/>
      <c r="X321" s="62"/>
      <c r="Y321" s="62"/>
      <c r="Z321" s="62"/>
      <c r="AA321" s="47"/>
    </row>
    <row r="322" spans="1:27" ht="12.75">
      <c r="A322" s="62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151"/>
      <c r="X322" s="62"/>
      <c r="Y322" s="62"/>
      <c r="Z322" s="62"/>
      <c r="AA322" s="47"/>
    </row>
    <row r="323" spans="1:27" ht="12.75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151"/>
      <c r="X323" s="62"/>
      <c r="Y323" s="62"/>
      <c r="Z323" s="62"/>
      <c r="AA323" s="47"/>
    </row>
    <row r="324" spans="1:27" ht="12.75">
      <c r="A324" s="62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151"/>
      <c r="X324" s="62"/>
      <c r="Y324" s="62"/>
      <c r="Z324" s="62"/>
      <c r="AA324" s="47"/>
    </row>
    <row r="325" spans="1:27" ht="12.75">
      <c r="A325" s="62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151"/>
      <c r="X325" s="62"/>
      <c r="Y325" s="62"/>
      <c r="Z325" s="62"/>
      <c r="AA325" s="47"/>
    </row>
    <row r="326" spans="1:27" ht="12.75">
      <c r="A326" s="62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151"/>
      <c r="X326" s="62"/>
      <c r="Y326" s="62"/>
      <c r="Z326" s="62"/>
      <c r="AA326" s="47"/>
    </row>
    <row r="327" spans="1:27" ht="12.75">
      <c r="A327" s="62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151"/>
      <c r="X327" s="62"/>
      <c r="Y327" s="62"/>
      <c r="Z327" s="62"/>
      <c r="AA327" s="47"/>
    </row>
    <row r="328" spans="1:27" ht="12.75">
      <c r="A328" s="62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151"/>
      <c r="X328" s="62"/>
      <c r="Y328" s="62"/>
      <c r="Z328" s="62"/>
      <c r="AA328" s="47"/>
    </row>
    <row r="329" spans="1:27" ht="12.75">
      <c r="A329" s="62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151"/>
      <c r="X329" s="62"/>
      <c r="Y329" s="62"/>
      <c r="Z329" s="62"/>
      <c r="AA329" s="47"/>
    </row>
    <row r="330" spans="1:27" ht="12.75">
      <c r="A330" s="62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151"/>
      <c r="X330" s="62"/>
      <c r="Y330" s="62"/>
      <c r="Z330" s="62"/>
      <c r="AA330" s="47"/>
    </row>
    <row r="331" spans="1:27" ht="12.75">
      <c r="A331" s="62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151"/>
      <c r="X331" s="62"/>
      <c r="Y331" s="62"/>
      <c r="Z331" s="62"/>
      <c r="AA331" s="47"/>
    </row>
    <row r="332" spans="1:27" ht="12.75">
      <c r="A332" s="62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151"/>
      <c r="X332" s="62"/>
      <c r="Y332" s="62"/>
      <c r="Z332" s="62"/>
      <c r="AA332" s="47"/>
    </row>
    <row r="333" spans="1:27" ht="12.75">
      <c r="A333" s="62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151"/>
      <c r="X333" s="62"/>
      <c r="Y333" s="62"/>
      <c r="Z333" s="62"/>
      <c r="AA333" s="47"/>
    </row>
    <row r="334" spans="1:27" ht="12.75">
      <c r="A334" s="62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151"/>
      <c r="X334" s="62"/>
      <c r="Y334" s="62"/>
      <c r="Z334" s="62"/>
      <c r="AA334" s="47"/>
    </row>
    <row r="335" spans="1:27" ht="12.75">
      <c r="A335" s="62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151"/>
      <c r="X335" s="62"/>
      <c r="Y335" s="62"/>
      <c r="Z335" s="62"/>
      <c r="AA335" s="47"/>
    </row>
    <row r="336" spans="1:27" ht="12.75">
      <c r="A336" s="62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151"/>
      <c r="X336" s="62"/>
      <c r="Y336" s="62"/>
      <c r="Z336" s="62"/>
      <c r="AA336" s="47"/>
    </row>
    <row r="337" spans="1:27" ht="12.75">
      <c r="A337" s="62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151"/>
      <c r="X337" s="62"/>
      <c r="Y337" s="62"/>
      <c r="Z337" s="62"/>
      <c r="AA337" s="47"/>
    </row>
    <row r="338" spans="1:27" ht="12.75">
      <c r="A338" s="62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151"/>
      <c r="X338" s="62"/>
      <c r="Y338" s="62"/>
      <c r="Z338" s="62"/>
      <c r="AA338" s="47"/>
    </row>
    <row r="339" spans="1:27" ht="12.75">
      <c r="A339" s="62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151"/>
      <c r="X339" s="62"/>
      <c r="Y339" s="62"/>
      <c r="Z339" s="62"/>
      <c r="AA339" s="47"/>
    </row>
    <row r="340" spans="1:27" ht="12.75">
      <c r="A340" s="62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151"/>
      <c r="X340" s="62"/>
      <c r="Y340" s="62"/>
      <c r="Z340" s="62"/>
      <c r="AA340" s="47"/>
    </row>
    <row r="341" spans="1:27" ht="12.75">
      <c r="A341" s="62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151"/>
      <c r="X341" s="62"/>
      <c r="Y341" s="62"/>
      <c r="Z341" s="62"/>
      <c r="AA341" s="47"/>
    </row>
    <row r="342" spans="1:27" ht="12.75">
      <c r="A342" s="62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151"/>
      <c r="X342" s="62"/>
      <c r="Y342" s="62"/>
      <c r="Z342" s="62"/>
      <c r="AA342" s="47"/>
    </row>
    <row r="343" spans="1:27" ht="12.75">
      <c r="A343" s="62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151"/>
      <c r="X343" s="62"/>
      <c r="Y343" s="62"/>
      <c r="Z343" s="62"/>
      <c r="AA343" s="47"/>
    </row>
    <row r="344" spans="1:27" ht="12.75">
      <c r="A344" s="62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151"/>
      <c r="X344" s="62"/>
      <c r="Y344" s="62"/>
      <c r="Z344" s="62"/>
      <c r="AA344" s="47"/>
    </row>
    <row r="345" spans="1:27" ht="12.75">
      <c r="A345" s="62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151"/>
      <c r="X345" s="62"/>
      <c r="Y345" s="62"/>
      <c r="Z345" s="62"/>
      <c r="AA345" s="47"/>
    </row>
    <row r="346" spans="1:27" ht="12.75">
      <c r="A346" s="62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151"/>
      <c r="X346" s="62"/>
      <c r="Y346" s="62"/>
      <c r="Z346" s="62"/>
      <c r="AA346" s="47"/>
    </row>
    <row r="347" spans="1:27" ht="12.75">
      <c r="A347" s="62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151"/>
      <c r="X347" s="62"/>
      <c r="Y347" s="62"/>
      <c r="Z347" s="62"/>
      <c r="AA347" s="47"/>
    </row>
    <row r="348" spans="1:27" ht="12.75">
      <c r="A348" s="62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151"/>
      <c r="X348" s="62"/>
      <c r="Y348" s="62"/>
      <c r="Z348" s="62"/>
      <c r="AA348" s="47"/>
    </row>
    <row r="349" spans="1:27" ht="12.75">
      <c r="A349" s="62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151"/>
      <c r="X349" s="62"/>
      <c r="Y349" s="62"/>
      <c r="Z349" s="62"/>
      <c r="AA349" s="47"/>
    </row>
    <row r="350" spans="1:27" ht="12.75">
      <c r="A350" s="62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151"/>
      <c r="X350" s="62"/>
      <c r="Y350" s="62"/>
      <c r="Z350" s="62"/>
      <c r="AA350" s="47"/>
    </row>
    <row r="351" spans="1:27" ht="12.75">
      <c r="A351" s="62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151"/>
      <c r="X351" s="62"/>
      <c r="Y351" s="62"/>
      <c r="Z351" s="62"/>
      <c r="AA351" s="47"/>
    </row>
    <row r="352" spans="1:27" ht="12.75">
      <c r="A352" s="62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151"/>
      <c r="X352" s="62"/>
      <c r="Y352" s="62"/>
      <c r="Z352" s="62"/>
      <c r="AA352" s="47"/>
    </row>
    <row r="353" spans="1:27" ht="12.75">
      <c r="A353" s="62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151"/>
      <c r="X353" s="62"/>
      <c r="Y353" s="62"/>
      <c r="Z353" s="62"/>
      <c r="AA353" s="47"/>
    </row>
    <row r="354" spans="1:27" ht="12.75">
      <c r="A354" s="62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151"/>
      <c r="X354" s="62"/>
      <c r="Y354" s="62"/>
      <c r="Z354" s="62"/>
      <c r="AA354" s="47"/>
    </row>
    <row r="355" spans="1:27" ht="12.75">
      <c r="A355" s="62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151"/>
      <c r="X355" s="62"/>
      <c r="Y355" s="62"/>
      <c r="Z355" s="62"/>
      <c r="AA355" s="47"/>
    </row>
    <row r="356" spans="1:27" ht="12.75">
      <c r="A356" s="62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151"/>
      <c r="X356" s="62"/>
      <c r="Y356" s="62"/>
      <c r="Z356" s="62"/>
      <c r="AA356" s="47"/>
    </row>
    <row r="357" spans="1:27" ht="12.75">
      <c r="A357" s="62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151"/>
      <c r="X357" s="62"/>
      <c r="Y357" s="62"/>
      <c r="Z357" s="62"/>
      <c r="AA357" s="47"/>
    </row>
    <row r="358" spans="1:27" ht="12.75">
      <c r="A358" s="62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151"/>
      <c r="X358" s="62"/>
      <c r="Y358" s="62"/>
      <c r="Z358" s="62"/>
      <c r="AA358" s="47"/>
    </row>
    <row r="359" spans="1:27" ht="12.75">
      <c r="A359" s="62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151"/>
      <c r="X359" s="62"/>
      <c r="Y359" s="62"/>
      <c r="Z359" s="62"/>
      <c r="AA359" s="47"/>
    </row>
    <row r="360" spans="1:27" ht="12.75">
      <c r="A360" s="62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151"/>
      <c r="X360" s="62"/>
      <c r="Y360" s="62"/>
      <c r="Z360" s="62"/>
      <c r="AA360" s="47"/>
    </row>
    <row r="361" spans="1:27" ht="12.75">
      <c r="A361" s="62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151"/>
      <c r="X361" s="62"/>
      <c r="Y361" s="62"/>
      <c r="Z361" s="62"/>
      <c r="AA361" s="47"/>
    </row>
    <row r="362" spans="1:27" ht="12.75">
      <c r="A362" s="62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151"/>
      <c r="X362" s="62"/>
      <c r="Y362" s="62"/>
      <c r="Z362" s="62"/>
      <c r="AA362" s="47"/>
    </row>
    <row r="363" spans="1:27" ht="12.75">
      <c r="A363" s="62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151"/>
      <c r="X363" s="62"/>
      <c r="Y363" s="62"/>
      <c r="Z363" s="62"/>
      <c r="AA363" s="47"/>
    </row>
    <row r="364" spans="1:27" ht="12.75">
      <c r="A364" s="62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151"/>
      <c r="X364" s="62"/>
      <c r="Y364" s="62"/>
      <c r="Z364" s="62"/>
      <c r="AA364" s="47"/>
    </row>
    <row r="365" spans="1:27" ht="12.75">
      <c r="A365" s="62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151"/>
      <c r="X365" s="62"/>
      <c r="Y365" s="62"/>
      <c r="Z365" s="62"/>
      <c r="AA365" s="47"/>
    </row>
    <row r="366" spans="1:27" ht="12.75">
      <c r="A366" s="62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151"/>
      <c r="X366" s="62"/>
      <c r="Y366" s="62"/>
      <c r="Z366" s="62"/>
      <c r="AA366" s="47"/>
    </row>
    <row r="367" spans="1:27" ht="12.75">
      <c r="A367" s="62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151"/>
      <c r="X367" s="62"/>
      <c r="Y367" s="62"/>
      <c r="Z367" s="62"/>
      <c r="AA367" s="47"/>
    </row>
    <row r="368" spans="1:27" ht="12.75">
      <c r="A368" s="62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151"/>
      <c r="X368" s="62"/>
      <c r="Y368" s="62"/>
      <c r="Z368" s="62"/>
      <c r="AA368" s="47"/>
    </row>
    <row r="369" spans="1:27" ht="12.75">
      <c r="A369" s="62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151"/>
      <c r="X369" s="62"/>
      <c r="Y369" s="62"/>
      <c r="Z369" s="62"/>
      <c r="AA369" s="47"/>
    </row>
    <row r="370" spans="1:27" ht="12.75">
      <c r="A370" s="62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151"/>
      <c r="X370" s="62"/>
      <c r="Y370" s="62"/>
      <c r="Z370" s="62"/>
      <c r="AA370" s="47"/>
    </row>
    <row r="371" spans="1:27" ht="12.75">
      <c r="A371" s="62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151"/>
      <c r="X371" s="62"/>
      <c r="Y371" s="62"/>
      <c r="Z371" s="62"/>
      <c r="AA371" s="47"/>
    </row>
    <row r="372" spans="1:27" ht="12.75">
      <c r="A372" s="62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151"/>
      <c r="X372" s="62"/>
      <c r="Y372" s="62"/>
      <c r="Z372" s="62"/>
      <c r="AA372" s="47"/>
    </row>
    <row r="373" spans="1:27" ht="12.75">
      <c r="A373" s="62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151"/>
      <c r="X373" s="62"/>
      <c r="Y373" s="62"/>
      <c r="Z373" s="62"/>
      <c r="AA373" s="47"/>
    </row>
    <row r="374" spans="1:27" ht="12.75">
      <c r="A374" s="62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151"/>
      <c r="X374" s="62"/>
      <c r="Y374" s="62"/>
      <c r="Z374" s="62"/>
      <c r="AA374" s="47"/>
    </row>
    <row r="375" spans="1:27" ht="12.75">
      <c r="A375" s="62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151"/>
      <c r="X375" s="62"/>
      <c r="Y375" s="62"/>
      <c r="Z375" s="62"/>
      <c r="AA375" s="47"/>
    </row>
    <row r="376" spans="1:27" ht="12.75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151"/>
      <c r="X376" s="62"/>
      <c r="Y376" s="62"/>
      <c r="Z376" s="62"/>
      <c r="AA376" s="47"/>
    </row>
    <row r="377" spans="1:27" ht="12.75">
      <c r="A377" s="62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151"/>
      <c r="X377" s="62"/>
      <c r="Y377" s="62"/>
      <c r="Z377" s="62"/>
      <c r="AA377" s="47"/>
    </row>
    <row r="378" spans="1:27" ht="12.75">
      <c r="A378" s="62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151"/>
      <c r="X378" s="62"/>
      <c r="Y378" s="62"/>
      <c r="Z378" s="62"/>
      <c r="AA378" s="47"/>
    </row>
    <row r="379" spans="1:27" ht="12.75">
      <c r="A379" s="62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151"/>
      <c r="X379" s="62"/>
      <c r="Y379" s="62"/>
      <c r="Z379" s="62"/>
      <c r="AA379" s="47"/>
    </row>
    <row r="380" spans="1:27" ht="12.75">
      <c r="A380" s="62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151"/>
      <c r="X380" s="62"/>
      <c r="Y380" s="62"/>
      <c r="Z380" s="62"/>
      <c r="AA380" s="47"/>
    </row>
    <row r="381" spans="1:27" ht="12.75">
      <c r="A381" s="62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151"/>
      <c r="X381" s="62"/>
      <c r="Y381" s="62"/>
      <c r="Z381" s="62"/>
      <c r="AA381" s="47"/>
    </row>
    <row r="382" spans="1:27" ht="12.75">
      <c r="A382" s="62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151"/>
      <c r="X382" s="62"/>
      <c r="Y382" s="62"/>
      <c r="Z382" s="62"/>
      <c r="AA382" s="47"/>
    </row>
    <row r="383" spans="1:27" ht="12.75">
      <c r="A383" s="62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151"/>
      <c r="X383" s="62"/>
      <c r="Y383" s="62"/>
      <c r="Z383" s="62"/>
      <c r="AA383" s="47"/>
    </row>
    <row r="384" spans="1:27" ht="12.75">
      <c r="A384" s="62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151"/>
      <c r="X384" s="62"/>
      <c r="Y384" s="62"/>
      <c r="Z384" s="62"/>
      <c r="AA384" s="47"/>
    </row>
    <row r="385" spans="1:27" ht="12.75">
      <c r="A385" s="62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151"/>
      <c r="X385" s="62"/>
      <c r="Y385" s="62"/>
      <c r="Z385" s="62"/>
      <c r="AA385" s="47"/>
    </row>
    <row r="386" spans="1:27" ht="12.75">
      <c r="A386" s="62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151"/>
      <c r="X386" s="62"/>
      <c r="Y386" s="62"/>
      <c r="Z386" s="62"/>
      <c r="AA386" s="47"/>
    </row>
    <row r="387" spans="1:27" ht="12.75">
      <c r="A387" s="62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151"/>
      <c r="X387" s="62"/>
      <c r="Y387" s="62"/>
      <c r="Z387" s="62"/>
      <c r="AA387" s="47"/>
    </row>
    <row r="388" spans="1:27" ht="12.75">
      <c r="A388" s="62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151"/>
      <c r="X388" s="62"/>
      <c r="Y388" s="62"/>
      <c r="Z388" s="62"/>
      <c r="AA388" s="47"/>
    </row>
    <row r="389" spans="1:27" ht="12.75">
      <c r="A389" s="62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151"/>
      <c r="X389" s="62"/>
      <c r="Y389" s="62"/>
      <c r="Z389" s="62"/>
      <c r="AA389" s="47"/>
    </row>
    <row r="390" spans="1:27" ht="12.75">
      <c r="A390" s="62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151"/>
      <c r="X390" s="62"/>
      <c r="Y390" s="62"/>
      <c r="Z390" s="62"/>
      <c r="AA390" s="47"/>
    </row>
    <row r="391" spans="1:27" ht="12.75">
      <c r="A391" s="62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151"/>
      <c r="X391" s="62"/>
      <c r="Y391" s="62"/>
      <c r="Z391" s="62"/>
      <c r="AA391" s="47"/>
    </row>
    <row r="392" spans="1:27" ht="12.75">
      <c r="A392" s="62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151"/>
      <c r="X392" s="62"/>
      <c r="Y392" s="62"/>
      <c r="Z392" s="62"/>
      <c r="AA392" s="47"/>
    </row>
    <row r="393" spans="1:27" ht="12.75">
      <c r="A393" s="62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151"/>
      <c r="X393" s="62"/>
      <c r="Y393" s="62"/>
      <c r="Z393" s="62"/>
      <c r="AA393" s="47"/>
    </row>
    <row r="394" spans="1:27" ht="12.75">
      <c r="A394" s="62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151"/>
      <c r="X394" s="62"/>
      <c r="Y394" s="62"/>
      <c r="Z394" s="62"/>
      <c r="AA394" s="47"/>
    </row>
    <row r="395" spans="1:27" ht="12.75">
      <c r="A395" s="62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151"/>
      <c r="X395" s="62"/>
      <c r="Y395" s="62"/>
      <c r="Z395" s="62"/>
      <c r="AA395" s="47"/>
    </row>
    <row r="396" spans="1:27" ht="12.75">
      <c r="A396" s="62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151"/>
      <c r="X396" s="62"/>
      <c r="Y396" s="62"/>
      <c r="Z396" s="62"/>
      <c r="AA396" s="47"/>
    </row>
    <row r="397" spans="1:27" ht="12.75">
      <c r="A397" s="62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151"/>
      <c r="X397" s="62"/>
      <c r="Y397" s="62"/>
      <c r="Z397" s="62"/>
      <c r="AA397" s="47"/>
    </row>
    <row r="398" spans="1:27" ht="12.75">
      <c r="A398" s="62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151"/>
      <c r="X398" s="62"/>
      <c r="Y398" s="62"/>
      <c r="Z398" s="62"/>
      <c r="AA398" s="47"/>
    </row>
    <row r="399" spans="1:27" ht="12.75">
      <c r="A399" s="62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151"/>
      <c r="X399" s="62"/>
      <c r="Y399" s="62"/>
      <c r="Z399" s="62"/>
      <c r="AA399" s="47"/>
    </row>
    <row r="400" spans="1:27" ht="12.75">
      <c r="A400" s="62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151"/>
      <c r="X400" s="62"/>
      <c r="Y400" s="62"/>
      <c r="Z400" s="62"/>
      <c r="AA400" s="47"/>
    </row>
    <row r="401" spans="1:27" ht="12.75">
      <c r="A401" s="62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151"/>
      <c r="X401" s="62"/>
      <c r="Y401" s="62"/>
      <c r="Z401" s="62"/>
      <c r="AA401" s="47"/>
    </row>
    <row r="402" spans="1:27" ht="12.75">
      <c r="A402" s="62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151"/>
      <c r="X402" s="62"/>
      <c r="Y402" s="62"/>
      <c r="Z402" s="62"/>
      <c r="AA402" s="47"/>
    </row>
    <row r="403" spans="1:27" ht="12.75">
      <c r="A403" s="62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151"/>
      <c r="X403" s="62"/>
      <c r="Y403" s="62"/>
      <c r="Z403" s="62"/>
      <c r="AA403" s="47"/>
    </row>
    <row r="404" spans="1:27" ht="12.75">
      <c r="A404" s="62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151"/>
      <c r="X404" s="62"/>
      <c r="Y404" s="62"/>
      <c r="Z404" s="62"/>
      <c r="AA404" s="47"/>
    </row>
    <row r="405" spans="1:27" ht="12.75">
      <c r="A405" s="62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151"/>
      <c r="X405" s="62"/>
      <c r="Y405" s="62"/>
      <c r="Z405" s="62"/>
      <c r="AA405" s="47"/>
    </row>
    <row r="406" spans="1:27" ht="12.75">
      <c r="A406" s="62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151"/>
      <c r="X406" s="62"/>
      <c r="Y406" s="62"/>
      <c r="Z406" s="62"/>
      <c r="AA406" s="47"/>
    </row>
    <row r="407" spans="1:27" ht="12.75">
      <c r="A407" s="62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151"/>
      <c r="X407" s="62"/>
      <c r="Y407" s="62"/>
      <c r="Z407" s="62"/>
      <c r="AA407" s="47"/>
    </row>
    <row r="408" spans="1:27" ht="12.75">
      <c r="A408" s="62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151"/>
      <c r="X408" s="62"/>
      <c r="Y408" s="62"/>
      <c r="Z408" s="62"/>
      <c r="AA408" s="47"/>
    </row>
    <row r="409" spans="1:27" ht="12.75">
      <c r="A409" s="62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151"/>
      <c r="X409" s="62"/>
      <c r="Y409" s="62"/>
      <c r="Z409" s="62"/>
      <c r="AA409" s="47"/>
    </row>
    <row r="410" spans="1:27" ht="12.75">
      <c r="A410" s="62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151"/>
      <c r="X410" s="62"/>
      <c r="Y410" s="62"/>
      <c r="Z410" s="62"/>
      <c r="AA410" s="47"/>
    </row>
    <row r="411" spans="1:27" ht="12.75">
      <c r="A411" s="62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151"/>
      <c r="X411" s="62"/>
      <c r="Y411" s="62"/>
      <c r="Z411" s="62"/>
      <c r="AA411" s="47"/>
    </row>
    <row r="412" spans="1:27" ht="12.75">
      <c r="A412" s="62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151"/>
      <c r="X412" s="62"/>
      <c r="Y412" s="62"/>
      <c r="Z412" s="62"/>
      <c r="AA412" s="47"/>
    </row>
    <row r="413" spans="1:27" ht="12.75">
      <c r="A413" s="62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151"/>
      <c r="X413" s="62"/>
      <c r="Y413" s="62"/>
      <c r="Z413" s="62"/>
      <c r="AA413" s="47"/>
    </row>
    <row r="414" spans="1:27" ht="12.75">
      <c r="A414" s="62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151"/>
      <c r="X414" s="62"/>
      <c r="Y414" s="62"/>
      <c r="Z414" s="62"/>
      <c r="AA414" s="47"/>
    </row>
    <row r="415" spans="1:27" ht="12.75">
      <c r="A415" s="62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151"/>
      <c r="X415" s="62"/>
      <c r="Y415" s="62"/>
      <c r="Z415" s="62"/>
      <c r="AA415" s="47"/>
    </row>
    <row r="416" spans="1:27" ht="12.75">
      <c r="A416" s="62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151"/>
      <c r="X416" s="62"/>
      <c r="Y416" s="62"/>
      <c r="Z416" s="62"/>
      <c r="AA416" s="47"/>
    </row>
    <row r="417" spans="1:27" ht="12.75">
      <c r="A417" s="62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151"/>
      <c r="X417" s="62"/>
      <c r="Y417" s="62"/>
      <c r="Z417" s="62"/>
      <c r="AA417" s="47"/>
    </row>
    <row r="418" spans="1:27" ht="12.75">
      <c r="A418" s="62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151"/>
      <c r="X418" s="62"/>
      <c r="Y418" s="62"/>
      <c r="Z418" s="62"/>
      <c r="AA418" s="47"/>
    </row>
    <row r="419" spans="1:27" ht="12.75">
      <c r="A419" s="62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151"/>
      <c r="X419" s="62"/>
      <c r="Y419" s="62"/>
      <c r="Z419" s="62"/>
      <c r="AA419" s="47"/>
    </row>
    <row r="420" spans="1:27" ht="12.75">
      <c r="A420" s="62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151"/>
      <c r="X420" s="62"/>
      <c r="Y420" s="62"/>
      <c r="Z420" s="62"/>
      <c r="AA420" s="47"/>
    </row>
    <row r="421" spans="1:27" ht="12.75">
      <c r="A421" s="62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151"/>
      <c r="X421" s="62"/>
      <c r="Y421" s="62"/>
      <c r="Z421" s="62"/>
      <c r="AA421" s="47"/>
    </row>
    <row r="422" spans="1:27" ht="12.75">
      <c r="A422" s="62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151"/>
      <c r="X422" s="62"/>
      <c r="Y422" s="62"/>
      <c r="Z422" s="62"/>
      <c r="AA422" s="47"/>
    </row>
    <row r="423" spans="1:27" ht="12.75">
      <c r="A423" s="62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151"/>
      <c r="X423" s="62"/>
      <c r="Y423" s="62"/>
      <c r="Z423" s="62"/>
      <c r="AA423" s="47"/>
    </row>
    <row r="424" spans="1:27" ht="12.75">
      <c r="A424" s="62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151"/>
      <c r="X424" s="62"/>
      <c r="Y424" s="62"/>
      <c r="Z424" s="62"/>
      <c r="AA424" s="47"/>
    </row>
    <row r="425" spans="1:27" ht="12.75">
      <c r="A425" s="62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151"/>
      <c r="X425" s="62"/>
      <c r="Y425" s="62"/>
      <c r="Z425" s="62"/>
      <c r="AA425" s="47"/>
    </row>
    <row r="426" spans="1:27" ht="12.75">
      <c r="A426" s="62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151"/>
      <c r="X426" s="62"/>
      <c r="Y426" s="62"/>
      <c r="Z426" s="62"/>
      <c r="AA426" s="47"/>
    </row>
    <row r="427" spans="1:27" ht="12.75">
      <c r="A427" s="62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151"/>
      <c r="X427" s="62"/>
      <c r="Y427" s="62"/>
      <c r="Z427" s="62"/>
      <c r="AA427" s="47"/>
    </row>
    <row r="428" spans="1:27" ht="12.75">
      <c r="A428" s="62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151"/>
      <c r="X428" s="62"/>
      <c r="Y428" s="62"/>
      <c r="Z428" s="62"/>
      <c r="AA428" s="47"/>
    </row>
    <row r="429" spans="1:27" ht="12.75">
      <c r="A429" s="62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151"/>
      <c r="X429" s="62"/>
      <c r="Y429" s="62"/>
      <c r="Z429" s="62"/>
      <c r="AA429" s="47"/>
    </row>
    <row r="430" spans="1:27" ht="12.75">
      <c r="A430" s="62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151"/>
      <c r="X430" s="62"/>
      <c r="Y430" s="62"/>
      <c r="Z430" s="62"/>
      <c r="AA430" s="47"/>
    </row>
    <row r="431" spans="1:27" ht="12.75">
      <c r="A431" s="62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151"/>
      <c r="X431" s="62"/>
      <c r="Y431" s="62"/>
      <c r="Z431" s="62"/>
      <c r="AA431" s="47"/>
    </row>
    <row r="432" spans="1:27" ht="12.75">
      <c r="A432" s="62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151"/>
      <c r="X432" s="62"/>
      <c r="Y432" s="62"/>
      <c r="Z432" s="62"/>
      <c r="AA432" s="47"/>
    </row>
    <row r="433" spans="1:27" ht="12.75">
      <c r="A433" s="62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151"/>
      <c r="X433" s="62"/>
      <c r="Y433" s="62"/>
      <c r="Z433" s="62"/>
      <c r="AA433" s="47"/>
    </row>
    <row r="434" spans="1:27" ht="12.75">
      <c r="A434" s="62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151"/>
      <c r="X434" s="62"/>
      <c r="Y434" s="62"/>
      <c r="Z434" s="62"/>
      <c r="AA434" s="47"/>
    </row>
    <row r="435" spans="1:27" ht="12.75">
      <c r="A435" s="62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151"/>
      <c r="X435" s="62"/>
      <c r="Y435" s="62"/>
      <c r="Z435" s="62"/>
      <c r="AA435" s="47"/>
    </row>
    <row r="436" spans="1:27" ht="12.75">
      <c r="A436" s="62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151"/>
      <c r="X436" s="62"/>
      <c r="Y436" s="62"/>
      <c r="Z436" s="62"/>
      <c r="AA436" s="47"/>
    </row>
    <row r="437" spans="1:27" ht="12.75">
      <c r="A437" s="62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151"/>
      <c r="X437" s="62"/>
      <c r="Y437" s="62"/>
      <c r="Z437" s="62"/>
      <c r="AA437" s="47"/>
    </row>
    <row r="438" spans="1:27" ht="12.75">
      <c r="A438" s="62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151"/>
      <c r="X438" s="62"/>
      <c r="Y438" s="62"/>
      <c r="Z438" s="62"/>
      <c r="AA438" s="47"/>
    </row>
    <row r="439" spans="1:27" ht="12.75">
      <c r="A439" s="62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151"/>
      <c r="X439" s="62"/>
      <c r="Y439" s="62"/>
      <c r="Z439" s="62"/>
      <c r="AA439" s="47"/>
    </row>
    <row r="440" spans="1:27" ht="12.75">
      <c r="A440" s="62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151"/>
      <c r="X440" s="62"/>
      <c r="Y440" s="62"/>
      <c r="Z440" s="62"/>
      <c r="AA440" s="47"/>
    </row>
    <row r="441" spans="1:27" ht="12.75">
      <c r="A441" s="62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151"/>
      <c r="X441" s="62"/>
      <c r="Y441" s="62"/>
      <c r="Z441" s="62"/>
      <c r="AA441" s="47"/>
    </row>
    <row r="442" spans="1:27" ht="12.75">
      <c r="A442" s="62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151"/>
      <c r="X442" s="62"/>
      <c r="Y442" s="62"/>
      <c r="Z442" s="62"/>
      <c r="AA442" s="47"/>
    </row>
    <row r="443" spans="1:27" ht="12.75">
      <c r="A443" s="62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151"/>
      <c r="X443" s="62"/>
      <c r="Y443" s="62"/>
      <c r="Z443" s="62"/>
      <c r="AA443" s="47"/>
    </row>
    <row r="444" spans="1:27" ht="12.75">
      <c r="A444" s="62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151"/>
      <c r="X444" s="62"/>
      <c r="Y444" s="62"/>
      <c r="Z444" s="62"/>
      <c r="AA444" s="47"/>
    </row>
    <row r="445" spans="1:27" ht="12.75">
      <c r="A445" s="62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151"/>
      <c r="X445" s="62"/>
      <c r="Y445" s="62"/>
      <c r="Z445" s="62"/>
      <c r="AA445" s="47"/>
    </row>
    <row r="446" spans="1:27" ht="12.75">
      <c r="A446" s="62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151"/>
      <c r="X446" s="62"/>
      <c r="Y446" s="62"/>
      <c r="Z446" s="62"/>
      <c r="AA446" s="47"/>
    </row>
    <row r="447" spans="1:27" ht="12.75">
      <c r="A447" s="62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151"/>
      <c r="X447" s="62"/>
      <c r="Y447" s="62"/>
      <c r="Z447" s="62"/>
      <c r="AA447" s="47"/>
    </row>
    <row r="448" spans="1:27" ht="12.75">
      <c r="A448" s="62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151"/>
      <c r="X448" s="62"/>
      <c r="Y448" s="62"/>
      <c r="Z448" s="62"/>
      <c r="AA448" s="47"/>
    </row>
    <row r="449" spans="1:27" ht="12.75">
      <c r="A449" s="62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151"/>
      <c r="X449" s="62"/>
      <c r="Y449" s="62"/>
      <c r="Z449" s="62"/>
      <c r="AA449" s="47"/>
    </row>
    <row r="450" spans="1:27" ht="12.75">
      <c r="A450" s="62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151"/>
      <c r="X450" s="62"/>
      <c r="Y450" s="62"/>
      <c r="Z450" s="62"/>
      <c r="AA450" s="47"/>
    </row>
    <row r="451" spans="1:27" ht="12.75">
      <c r="A451" s="62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151"/>
      <c r="X451" s="62"/>
      <c r="Y451" s="62"/>
      <c r="Z451" s="62"/>
      <c r="AA451" s="47"/>
    </row>
    <row r="452" spans="1:27" ht="12.75">
      <c r="A452" s="62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151"/>
      <c r="X452" s="62"/>
      <c r="Y452" s="62"/>
      <c r="Z452" s="62"/>
      <c r="AA452" s="47"/>
    </row>
    <row r="453" spans="1:27" ht="12.75">
      <c r="A453" s="62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151"/>
      <c r="X453" s="62"/>
      <c r="Y453" s="62"/>
      <c r="Z453" s="62"/>
      <c r="AA453" s="47"/>
    </row>
    <row r="454" spans="1:27" ht="12.75">
      <c r="A454" s="62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151"/>
      <c r="X454" s="62"/>
      <c r="Y454" s="62"/>
      <c r="Z454" s="62"/>
      <c r="AA454" s="47"/>
    </row>
    <row r="455" spans="1:27" ht="12.75">
      <c r="A455" s="62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151"/>
      <c r="X455" s="62"/>
      <c r="Y455" s="62"/>
      <c r="Z455" s="62"/>
      <c r="AA455" s="47"/>
    </row>
    <row r="456" spans="1:27" ht="12.75">
      <c r="A456" s="62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151"/>
      <c r="X456" s="62"/>
      <c r="Y456" s="62"/>
      <c r="Z456" s="62"/>
      <c r="AA456" s="47"/>
    </row>
    <row r="457" spans="1:27" ht="12.75">
      <c r="A457" s="62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151"/>
      <c r="X457" s="62"/>
      <c r="Y457" s="62"/>
      <c r="Z457" s="62"/>
      <c r="AA457" s="47"/>
    </row>
    <row r="458" spans="1:27" ht="12.75">
      <c r="A458" s="62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151"/>
      <c r="X458" s="62"/>
      <c r="Y458" s="62"/>
      <c r="Z458" s="62"/>
      <c r="AA458" s="47"/>
    </row>
    <row r="459" spans="1:27" ht="12.75">
      <c r="A459" s="62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151"/>
      <c r="X459" s="62"/>
      <c r="Y459" s="62"/>
      <c r="Z459" s="62"/>
      <c r="AA459" s="47"/>
    </row>
    <row r="460" spans="1:27" ht="12.75">
      <c r="A460" s="62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151"/>
      <c r="X460" s="62"/>
      <c r="Y460" s="62"/>
      <c r="Z460" s="62"/>
      <c r="AA460" s="47"/>
    </row>
    <row r="461" spans="1:27" ht="12.75">
      <c r="A461" s="62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151"/>
      <c r="X461" s="62"/>
      <c r="Y461" s="62"/>
      <c r="Z461" s="62"/>
      <c r="AA461" s="47"/>
    </row>
    <row r="462" spans="1:27" ht="12.75">
      <c r="A462" s="62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151"/>
      <c r="X462" s="62"/>
      <c r="Y462" s="62"/>
      <c r="Z462" s="62"/>
      <c r="AA462" s="47"/>
    </row>
    <row r="463" spans="1:27" ht="12.75">
      <c r="A463" s="62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151"/>
      <c r="X463" s="62"/>
      <c r="Y463" s="62"/>
      <c r="Z463" s="62"/>
      <c r="AA463" s="47"/>
    </row>
    <row r="464" spans="1:27" ht="12.75">
      <c r="A464" s="62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151"/>
      <c r="X464" s="62"/>
      <c r="Y464" s="62"/>
      <c r="Z464" s="62"/>
      <c r="AA464" s="47"/>
    </row>
    <row r="465" spans="1:27" ht="12.75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151"/>
      <c r="X465" s="62"/>
      <c r="Y465" s="62"/>
      <c r="Z465" s="62"/>
      <c r="AA465" s="47"/>
    </row>
    <row r="466" spans="1:27" ht="12.75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151"/>
      <c r="X466" s="62"/>
      <c r="Y466" s="62"/>
      <c r="Z466" s="62"/>
      <c r="AA466" s="47"/>
    </row>
    <row r="467" spans="1:27" ht="12.75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151"/>
      <c r="X467" s="62"/>
      <c r="Y467" s="62"/>
      <c r="Z467" s="62"/>
      <c r="AA467" s="47"/>
    </row>
    <row r="468" spans="1:27" ht="12.75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151"/>
      <c r="X468" s="62"/>
      <c r="Y468" s="62"/>
      <c r="Z468" s="62"/>
      <c r="AA468" s="47"/>
    </row>
    <row r="469" spans="1:27" ht="12.75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151"/>
      <c r="X469" s="62"/>
      <c r="Y469" s="62"/>
      <c r="Z469" s="62"/>
      <c r="AA469" s="47"/>
    </row>
    <row r="470" spans="1:27" ht="12.75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151"/>
      <c r="X470" s="62"/>
      <c r="Y470" s="62"/>
      <c r="Z470" s="62"/>
      <c r="AA470" s="47"/>
    </row>
    <row r="471" spans="1:27" ht="12.75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151"/>
      <c r="X471" s="62"/>
      <c r="Y471" s="62"/>
      <c r="Z471" s="62"/>
      <c r="AA471" s="47"/>
    </row>
    <row r="472" spans="1:27" ht="12.75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151"/>
      <c r="X472" s="62"/>
      <c r="Y472" s="62"/>
      <c r="Z472" s="62"/>
      <c r="AA472" s="47"/>
    </row>
    <row r="473" spans="1:27" ht="12.75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151"/>
      <c r="X473" s="62"/>
      <c r="Y473" s="62"/>
      <c r="Z473" s="62"/>
      <c r="AA473" s="47"/>
    </row>
    <row r="474" spans="1:27" ht="12.75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151"/>
      <c r="X474" s="62"/>
      <c r="Y474" s="62"/>
      <c r="Z474" s="62"/>
      <c r="AA474" s="47"/>
    </row>
    <row r="475" spans="1:27" ht="12.75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151"/>
      <c r="X475" s="62"/>
      <c r="Y475" s="62"/>
      <c r="Z475" s="62"/>
      <c r="AA475" s="47"/>
    </row>
    <row r="476" spans="1:27" ht="12.75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151"/>
      <c r="X476" s="62"/>
      <c r="Y476" s="62"/>
      <c r="Z476" s="62"/>
      <c r="AA476" s="47"/>
    </row>
    <row r="477" spans="1:27" ht="12.75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151"/>
      <c r="X477" s="62"/>
      <c r="Y477" s="62"/>
      <c r="Z477" s="62"/>
      <c r="AA477" s="47"/>
    </row>
    <row r="478" spans="1:27" ht="12.75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151"/>
      <c r="X478" s="62"/>
      <c r="Y478" s="62"/>
      <c r="Z478" s="62"/>
      <c r="AA478" s="47"/>
    </row>
    <row r="479" spans="1:27" ht="12.75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151"/>
      <c r="X479" s="62"/>
      <c r="Y479" s="62"/>
      <c r="Z479" s="62"/>
      <c r="AA479" s="47"/>
    </row>
    <row r="480" spans="1:27" ht="12.75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151"/>
      <c r="X480" s="62"/>
      <c r="Y480" s="62"/>
      <c r="Z480" s="62"/>
      <c r="AA480" s="47"/>
    </row>
    <row r="481" spans="1:27" ht="12.75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151"/>
      <c r="X481" s="62"/>
      <c r="Y481" s="62"/>
      <c r="Z481" s="62"/>
      <c r="AA481" s="47"/>
    </row>
    <row r="482" spans="1:27" ht="12.75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151"/>
      <c r="X482" s="62"/>
      <c r="Y482" s="62"/>
      <c r="Z482" s="62"/>
      <c r="AA482" s="47"/>
    </row>
    <row r="483" spans="1:27" ht="12.75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151"/>
      <c r="X483" s="62"/>
      <c r="Y483" s="62"/>
      <c r="Z483" s="62"/>
      <c r="AA483" s="47"/>
    </row>
    <row r="484" spans="1:27" ht="12.75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151"/>
      <c r="X484" s="62"/>
      <c r="Y484" s="62"/>
      <c r="Z484" s="62"/>
      <c r="AA484" s="47"/>
    </row>
    <row r="485" spans="1:27" ht="12.75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151"/>
      <c r="X485" s="62"/>
      <c r="Y485" s="62"/>
      <c r="Z485" s="62"/>
      <c r="AA485" s="47"/>
    </row>
    <row r="486" spans="1:27" ht="12.75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151"/>
      <c r="X486" s="62"/>
      <c r="Y486" s="62"/>
      <c r="Z486" s="62"/>
      <c r="AA486" s="47"/>
    </row>
    <row r="487" spans="1:27" ht="12.75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151"/>
      <c r="X487" s="62"/>
      <c r="Y487" s="62"/>
      <c r="Z487" s="62"/>
      <c r="AA487" s="47"/>
    </row>
    <row r="488" spans="1:27" ht="12.75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151"/>
      <c r="X488" s="62"/>
      <c r="Y488" s="62"/>
      <c r="Z488" s="62"/>
      <c r="AA488" s="47"/>
    </row>
    <row r="489" spans="1:27" ht="12.75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151"/>
      <c r="X489" s="62"/>
      <c r="Y489" s="62"/>
      <c r="Z489" s="62"/>
      <c r="AA489" s="47"/>
    </row>
    <row r="490" spans="1:27" ht="12.75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151"/>
      <c r="X490" s="62"/>
      <c r="Y490" s="62"/>
      <c r="Z490" s="62"/>
      <c r="AA490" s="47"/>
    </row>
    <row r="491" spans="1:27" ht="12.75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151"/>
      <c r="X491" s="62"/>
      <c r="Y491" s="62"/>
      <c r="Z491" s="62"/>
      <c r="AA491" s="47"/>
    </row>
    <row r="492" spans="1:27" ht="12.75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151"/>
      <c r="X492" s="62"/>
      <c r="Y492" s="62"/>
      <c r="Z492" s="62"/>
      <c r="AA492" s="47"/>
    </row>
    <row r="493" spans="1:27" ht="12.75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151"/>
      <c r="X493" s="62"/>
      <c r="Y493" s="62"/>
      <c r="Z493" s="62"/>
      <c r="AA493" s="47"/>
    </row>
    <row r="494" spans="1:27" ht="12.75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151"/>
      <c r="X494" s="62"/>
      <c r="Y494" s="62"/>
      <c r="Z494" s="62"/>
      <c r="AA494" s="47"/>
    </row>
    <row r="495" spans="1:27" ht="12.75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151"/>
      <c r="X495" s="62"/>
      <c r="Y495" s="62"/>
      <c r="Z495" s="62"/>
      <c r="AA495" s="47"/>
    </row>
    <row r="496" spans="1:27" ht="12.75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151"/>
      <c r="X496" s="62"/>
      <c r="Y496" s="62"/>
      <c r="Z496" s="62"/>
      <c r="AA496" s="47"/>
    </row>
    <row r="497" spans="1:27" ht="12.75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151"/>
      <c r="X497" s="62"/>
      <c r="Y497" s="62"/>
      <c r="Z497" s="62"/>
      <c r="AA497" s="47"/>
    </row>
    <row r="498" spans="1:27" ht="12.75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151"/>
      <c r="X498" s="62"/>
      <c r="Y498" s="62"/>
      <c r="Z498" s="62"/>
      <c r="AA498" s="47"/>
    </row>
    <row r="499" spans="1:27" ht="12.75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151"/>
      <c r="X499" s="62"/>
      <c r="Y499" s="62"/>
      <c r="Z499" s="62"/>
      <c r="AA499" s="47"/>
    </row>
    <row r="500" spans="1:27" ht="12.75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151"/>
      <c r="X500" s="62"/>
      <c r="Y500" s="62"/>
      <c r="Z500" s="62"/>
      <c r="AA500" s="47"/>
    </row>
    <row r="501" spans="1:27" ht="12.75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151"/>
      <c r="X501" s="62"/>
      <c r="Y501" s="62"/>
      <c r="Z501" s="62"/>
      <c r="AA501" s="47"/>
    </row>
    <row r="502" spans="1:27" ht="12.75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151"/>
      <c r="X502" s="62"/>
      <c r="Y502" s="62"/>
      <c r="Z502" s="62"/>
      <c r="AA502" s="47"/>
    </row>
    <row r="503" spans="1:27" ht="12.75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151"/>
      <c r="X503" s="62"/>
      <c r="Y503" s="62"/>
      <c r="Z503" s="62"/>
      <c r="AA503" s="47"/>
    </row>
    <row r="504" spans="1:27" ht="12.75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151"/>
      <c r="X504" s="62"/>
      <c r="Y504" s="62"/>
      <c r="Z504" s="62"/>
      <c r="AA504" s="47"/>
    </row>
    <row r="505" spans="1:27" ht="12.75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151"/>
      <c r="X505" s="62"/>
      <c r="Y505" s="62"/>
      <c r="Z505" s="62"/>
      <c r="AA505" s="47"/>
    </row>
    <row r="506" spans="1:27" ht="12.75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151"/>
      <c r="X506" s="62"/>
      <c r="Y506" s="62"/>
      <c r="Z506" s="62"/>
      <c r="AA506" s="47"/>
    </row>
    <row r="507" spans="1:27" ht="12.75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151"/>
      <c r="X507" s="62"/>
      <c r="Y507" s="62"/>
      <c r="Z507" s="62"/>
      <c r="AA507" s="47"/>
    </row>
    <row r="508" spans="1:27" ht="12.75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151"/>
      <c r="X508" s="62"/>
      <c r="Y508" s="62"/>
      <c r="Z508" s="62"/>
      <c r="AA508" s="47"/>
    </row>
    <row r="509" spans="1:27" ht="12.75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151"/>
      <c r="X509" s="62"/>
      <c r="Y509" s="62"/>
      <c r="Z509" s="62"/>
      <c r="AA509" s="47"/>
    </row>
    <row r="510" spans="1:27" ht="12.75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151"/>
      <c r="X510" s="62"/>
      <c r="Y510" s="62"/>
      <c r="Z510" s="62"/>
      <c r="AA510" s="47"/>
    </row>
    <row r="511" spans="1:27" ht="12.75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151"/>
      <c r="X511" s="62"/>
      <c r="Y511" s="62"/>
      <c r="Z511" s="62"/>
      <c r="AA511" s="47"/>
    </row>
    <row r="512" spans="1:27" ht="12.75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151"/>
      <c r="X512" s="62"/>
      <c r="Y512" s="62"/>
      <c r="Z512" s="62"/>
      <c r="AA512" s="47"/>
    </row>
    <row r="513" spans="1:27" ht="12.75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151"/>
      <c r="X513" s="62"/>
      <c r="Y513" s="62"/>
      <c r="Z513" s="62"/>
      <c r="AA513" s="47"/>
    </row>
    <row r="514" spans="1:27" ht="12.75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151"/>
      <c r="X514" s="62"/>
      <c r="Y514" s="62"/>
      <c r="Z514" s="62"/>
      <c r="AA514" s="47"/>
    </row>
    <row r="515" spans="1:27" ht="12.75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151"/>
      <c r="X515" s="62"/>
      <c r="Y515" s="62"/>
      <c r="Z515" s="62"/>
      <c r="AA515" s="47"/>
    </row>
    <row r="516" spans="1:27" ht="12.75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151"/>
      <c r="X516" s="62"/>
      <c r="Y516" s="62"/>
      <c r="Z516" s="62"/>
      <c r="AA516" s="47"/>
    </row>
    <row r="517" spans="1:27" ht="12.75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151"/>
      <c r="X517" s="62"/>
      <c r="Y517" s="62"/>
      <c r="Z517" s="62"/>
      <c r="AA517" s="47"/>
    </row>
    <row r="518" spans="1:27" ht="12.75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151"/>
      <c r="X518" s="62"/>
      <c r="Y518" s="62"/>
      <c r="Z518" s="62"/>
      <c r="AA518" s="47"/>
    </row>
    <row r="519" spans="1:27" ht="12.75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151"/>
      <c r="X519" s="62"/>
      <c r="Y519" s="62"/>
      <c r="Z519" s="62"/>
      <c r="AA519" s="47"/>
    </row>
    <row r="520" spans="1:27" ht="12.75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151"/>
      <c r="X520" s="62"/>
      <c r="Y520" s="62"/>
      <c r="Z520" s="62"/>
      <c r="AA520" s="47"/>
    </row>
    <row r="521" spans="1:27" ht="12.75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151"/>
      <c r="X521" s="62"/>
      <c r="Y521" s="62"/>
      <c r="Z521" s="62"/>
      <c r="AA521" s="47"/>
    </row>
    <row r="522" spans="1:27" ht="12.75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151"/>
      <c r="X522" s="62"/>
      <c r="Y522" s="62"/>
      <c r="Z522" s="62"/>
      <c r="AA522" s="47"/>
    </row>
    <row r="523" spans="1:27" ht="12.75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151"/>
      <c r="X523" s="62"/>
      <c r="Y523" s="62"/>
      <c r="Z523" s="62"/>
      <c r="AA523" s="47"/>
    </row>
    <row r="524" spans="1:27" ht="12.75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151"/>
      <c r="X524" s="62"/>
      <c r="Y524" s="62"/>
      <c r="Z524" s="62"/>
      <c r="AA524" s="47"/>
    </row>
    <row r="525" spans="1:27" ht="12.75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151"/>
      <c r="X525" s="62"/>
      <c r="Y525" s="62"/>
      <c r="Z525" s="62"/>
      <c r="AA525" s="47"/>
    </row>
    <row r="526" spans="1:27" ht="12.75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151"/>
      <c r="X526" s="62"/>
      <c r="Y526" s="62"/>
      <c r="Z526" s="62"/>
      <c r="AA526" s="47"/>
    </row>
    <row r="527" spans="1:27" ht="12.75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151"/>
      <c r="X527" s="62"/>
      <c r="Y527" s="62"/>
      <c r="Z527" s="62"/>
      <c r="AA527" s="47"/>
    </row>
    <row r="528" spans="1:27" ht="12.75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151"/>
      <c r="X528" s="62"/>
      <c r="Y528" s="62"/>
      <c r="Z528" s="62"/>
      <c r="AA528" s="47"/>
    </row>
    <row r="529" spans="1:27" ht="12.75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151"/>
      <c r="X529" s="62"/>
      <c r="Y529" s="62"/>
      <c r="Z529" s="62"/>
      <c r="AA529" s="47"/>
    </row>
    <row r="530" spans="1:27" ht="12.75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151"/>
      <c r="X530" s="62"/>
      <c r="Y530" s="62"/>
      <c r="Z530" s="62"/>
      <c r="AA530" s="47"/>
    </row>
    <row r="531" spans="1:27" ht="12.75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151"/>
      <c r="X531" s="62"/>
      <c r="Y531" s="62"/>
      <c r="Z531" s="62"/>
      <c r="AA531" s="47"/>
    </row>
    <row r="532" spans="1:27" ht="12.75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151"/>
      <c r="X532" s="62"/>
      <c r="Y532" s="62"/>
      <c r="Z532" s="62"/>
      <c r="AA532" s="47"/>
    </row>
    <row r="533" spans="1:27" ht="12.75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151"/>
      <c r="X533" s="62"/>
      <c r="Y533" s="62"/>
      <c r="Z533" s="62"/>
      <c r="AA533" s="47"/>
    </row>
    <row r="534" spans="1:27" ht="12.75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151"/>
      <c r="X534" s="62"/>
      <c r="Y534" s="62"/>
      <c r="Z534" s="62"/>
      <c r="AA534" s="47"/>
    </row>
    <row r="535" spans="1:27" ht="12.75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151"/>
      <c r="X535" s="62"/>
      <c r="Y535" s="62"/>
      <c r="Z535" s="62"/>
      <c r="AA535" s="47"/>
    </row>
    <row r="536" spans="1:27" ht="12.75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151"/>
      <c r="X536" s="62"/>
      <c r="Y536" s="62"/>
      <c r="Z536" s="62"/>
      <c r="AA536" s="47"/>
    </row>
    <row r="537" spans="1:27" ht="12.75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151"/>
      <c r="X537" s="62"/>
      <c r="Y537" s="62"/>
      <c r="Z537" s="62"/>
      <c r="AA537" s="47"/>
    </row>
    <row r="538" spans="1:27" ht="12.75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151"/>
      <c r="X538" s="62"/>
      <c r="Y538" s="62"/>
      <c r="Z538" s="62"/>
      <c r="AA538" s="47"/>
    </row>
    <row r="539" spans="1:27" ht="12.75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151"/>
      <c r="X539" s="62"/>
      <c r="Y539" s="62"/>
      <c r="Z539" s="62"/>
      <c r="AA539" s="47"/>
    </row>
    <row r="540" spans="1:27" ht="12.75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151"/>
      <c r="X540" s="62"/>
      <c r="Y540" s="62"/>
      <c r="Z540" s="62"/>
      <c r="AA540" s="47"/>
    </row>
    <row r="541" spans="1:27" ht="12.75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151"/>
      <c r="X541" s="62"/>
      <c r="Y541" s="62"/>
      <c r="Z541" s="62"/>
      <c r="AA541" s="47"/>
    </row>
    <row r="542" spans="1:27" ht="12.75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151"/>
      <c r="X542" s="62"/>
      <c r="Y542" s="62"/>
      <c r="Z542" s="62"/>
      <c r="AA542" s="47"/>
    </row>
    <row r="543" spans="1:27" ht="12.75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151"/>
      <c r="X543" s="62"/>
      <c r="Y543" s="62"/>
      <c r="Z543" s="62"/>
      <c r="AA543" s="47"/>
    </row>
    <row r="544" spans="1:27" ht="12.75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151"/>
      <c r="X544" s="62"/>
      <c r="Y544" s="62"/>
      <c r="Z544" s="62"/>
      <c r="AA544" s="47"/>
    </row>
    <row r="545" spans="1:27" ht="12.75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151"/>
      <c r="X545" s="62"/>
      <c r="Y545" s="62"/>
      <c r="Z545" s="62"/>
      <c r="AA545" s="47"/>
    </row>
    <row r="546" spans="1:27" ht="12.75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151"/>
      <c r="X546" s="62"/>
      <c r="Y546" s="62"/>
      <c r="Z546" s="62"/>
      <c r="AA546" s="47"/>
    </row>
    <row r="547" spans="1:27" ht="12.75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151"/>
      <c r="X547" s="62"/>
      <c r="Y547" s="62"/>
      <c r="Z547" s="62"/>
      <c r="AA547" s="47"/>
    </row>
    <row r="548" spans="1:27" ht="12.75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151"/>
      <c r="X548" s="62"/>
      <c r="Y548" s="62"/>
      <c r="Z548" s="62"/>
      <c r="AA548" s="47"/>
    </row>
    <row r="549" spans="1:27" ht="12.75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151"/>
      <c r="X549" s="62"/>
      <c r="Y549" s="62"/>
      <c r="Z549" s="62"/>
      <c r="AA549" s="47"/>
    </row>
    <row r="550" spans="1:27" ht="12.75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151"/>
      <c r="X550" s="62"/>
      <c r="Y550" s="62"/>
      <c r="Z550" s="62"/>
      <c r="AA550" s="47"/>
    </row>
    <row r="551" spans="1:27" ht="12.75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151"/>
      <c r="X551" s="62"/>
      <c r="Y551" s="62"/>
      <c r="Z551" s="62"/>
      <c r="AA551" s="47"/>
    </row>
    <row r="552" spans="1:27" ht="12.75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151"/>
      <c r="X552" s="62"/>
      <c r="Y552" s="62"/>
      <c r="Z552" s="62"/>
      <c r="AA552" s="47"/>
    </row>
    <row r="553" spans="1:27" ht="12.75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151"/>
      <c r="X553" s="62"/>
      <c r="Y553" s="62"/>
      <c r="Z553" s="62"/>
      <c r="AA553" s="47"/>
    </row>
    <row r="554" spans="1:27" ht="12.75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151"/>
      <c r="X554" s="62"/>
      <c r="Y554" s="62"/>
      <c r="Z554" s="62"/>
      <c r="AA554" s="47"/>
    </row>
    <row r="555" spans="1:27" ht="12.75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151"/>
      <c r="X555" s="62"/>
      <c r="Y555" s="62"/>
      <c r="Z555" s="62"/>
      <c r="AA555" s="47"/>
    </row>
    <row r="556" spans="1:27" ht="12.75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151"/>
      <c r="X556" s="62"/>
      <c r="Y556" s="62"/>
      <c r="Z556" s="62"/>
      <c r="AA556" s="47"/>
    </row>
    <row r="557" spans="1:27" ht="12.75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151"/>
      <c r="X557" s="62"/>
      <c r="Y557" s="62"/>
      <c r="Z557" s="62"/>
      <c r="AA557" s="47"/>
    </row>
    <row r="558" spans="1:27" ht="12.75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151"/>
      <c r="X558" s="62"/>
      <c r="Y558" s="62"/>
      <c r="Z558" s="62"/>
      <c r="AA558" s="47"/>
    </row>
    <row r="559" spans="1:27" ht="12.75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151"/>
      <c r="X559" s="62"/>
      <c r="Y559" s="62"/>
      <c r="Z559" s="62"/>
      <c r="AA559" s="47"/>
    </row>
    <row r="560" spans="1:27" ht="12.75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151"/>
      <c r="X560" s="62"/>
      <c r="Y560" s="62"/>
      <c r="Z560" s="62"/>
      <c r="AA560" s="47"/>
    </row>
    <row r="561" spans="1:27" ht="12.75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151"/>
      <c r="X561" s="62"/>
      <c r="Y561" s="62"/>
      <c r="Z561" s="62"/>
      <c r="AA561" s="47"/>
    </row>
    <row r="562" spans="1:27" ht="12.75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151"/>
      <c r="X562" s="62"/>
      <c r="Y562" s="62"/>
      <c r="Z562" s="62"/>
      <c r="AA562" s="47"/>
    </row>
    <row r="563" spans="1:27" ht="12.75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151"/>
      <c r="X563" s="62"/>
      <c r="Y563" s="62"/>
      <c r="Z563" s="62"/>
      <c r="AA563" s="47"/>
    </row>
    <row r="564" spans="1:27" ht="12.75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151"/>
      <c r="X564" s="62"/>
      <c r="Y564" s="62"/>
      <c r="Z564" s="62"/>
      <c r="AA564" s="47"/>
    </row>
    <row r="565" spans="1:27" ht="12.75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151"/>
      <c r="X565" s="62"/>
      <c r="Y565" s="62"/>
      <c r="Z565" s="62"/>
      <c r="AA565" s="47"/>
    </row>
    <row r="566" spans="1:27" ht="12.75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151"/>
      <c r="X566" s="62"/>
      <c r="Y566" s="62"/>
      <c r="Z566" s="62"/>
      <c r="AA566" s="47"/>
    </row>
    <row r="567" spans="1:27" ht="12.75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151"/>
      <c r="X567" s="62"/>
      <c r="Y567" s="62"/>
      <c r="Z567" s="62"/>
      <c r="AA567" s="47"/>
    </row>
    <row r="568" spans="1:27" ht="12.75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151"/>
      <c r="X568" s="62"/>
      <c r="Y568" s="62"/>
      <c r="Z568" s="62"/>
      <c r="AA568" s="47"/>
    </row>
    <row r="569" spans="1:27" ht="12.75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151"/>
      <c r="X569" s="62"/>
      <c r="Y569" s="62"/>
      <c r="Z569" s="62"/>
      <c r="AA569" s="47"/>
    </row>
    <row r="570" spans="1:27" ht="12.75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151"/>
      <c r="X570" s="62"/>
      <c r="Y570" s="62"/>
      <c r="Z570" s="62"/>
      <c r="AA570" s="47"/>
    </row>
    <row r="571" spans="1:27" ht="12.75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151"/>
      <c r="X571" s="62"/>
      <c r="Y571" s="62"/>
      <c r="Z571" s="62"/>
      <c r="AA571" s="47"/>
    </row>
    <row r="572" spans="1:27" ht="12.75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151"/>
      <c r="X572" s="62"/>
      <c r="Y572" s="62"/>
      <c r="Z572" s="62"/>
      <c r="AA572" s="47"/>
    </row>
    <row r="573" spans="1:27" ht="12.75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151"/>
      <c r="X573" s="62"/>
      <c r="Y573" s="62"/>
      <c r="Z573" s="62"/>
      <c r="AA573" s="47"/>
    </row>
    <row r="574" spans="1:27" ht="12.75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151"/>
      <c r="X574" s="62"/>
      <c r="Y574" s="62"/>
      <c r="Z574" s="62"/>
      <c r="AA574" s="47"/>
    </row>
    <row r="575" spans="1:27" ht="12.75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151"/>
      <c r="X575" s="62"/>
      <c r="Y575" s="62"/>
      <c r="Z575" s="62"/>
      <c r="AA575" s="47"/>
    </row>
    <row r="576" spans="1:27" ht="12.75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151"/>
      <c r="X576" s="62"/>
      <c r="Y576" s="62"/>
      <c r="Z576" s="62"/>
      <c r="AA576" s="47"/>
    </row>
    <row r="577" spans="1:27" ht="12.75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151"/>
      <c r="X577" s="62"/>
      <c r="Y577" s="62"/>
      <c r="Z577" s="62"/>
      <c r="AA577" s="47"/>
    </row>
    <row r="578" spans="1:27" ht="12.75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151"/>
      <c r="X578" s="62"/>
      <c r="Y578" s="62"/>
      <c r="Z578" s="62"/>
      <c r="AA578" s="47"/>
    </row>
    <row r="579" spans="1:27" ht="12.75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151"/>
      <c r="X579" s="62"/>
      <c r="Y579" s="62"/>
      <c r="Z579" s="62"/>
      <c r="AA579" s="47"/>
    </row>
    <row r="580" spans="1:27" ht="12.75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151"/>
      <c r="X580" s="62"/>
      <c r="Y580" s="62"/>
      <c r="Z580" s="62"/>
      <c r="AA580" s="47"/>
    </row>
    <row r="581" spans="1:27" ht="12.75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151"/>
      <c r="X581" s="62"/>
      <c r="Y581" s="62"/>
      <c r="Z581" s="62"/>
      <c r="AA581" s="47"/>
    </row>
    <row r="582" spans="1:27" ht="12.75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151"/>
      <c r="X582" s="62"/>
      <c r="Y582" s="62"/>
      <c r="Z582" s="62"/>
      <c r="AA582" s="47"/>
    </row>
    <row r="583" spans="1:27" ht="12.75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151"/>
      <c r="X583" s="62"/>
      <c r="Y583" s="62"/>
      <c r="Z583" s="62"/>
      <c r="AA583" s="47"/>
    </row>
    <row r="584" spans="1:27" ht="12.75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151"/>
      <c r="X584" s="62"/>
      <c r="Y584" s="62"/>
      <c r="Z584" s="62"/>
      <c r="AA584" s="47"/>
    </row>
    <row r="585" spans="1:27" ht="12.75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151"/>
      <c r="X585" s="62"/>
      <c r="Y585" s="62"/>
      <c r="Z585" s="62"/>
      <c r="AA585" s="47"/>
    </row>
    <row r="586" spans="1:27" ht="12.75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151"/>
      <c r="X586" s="62"/>
      <c r="Y586" s="62"/>
      <c r="Z586" s="62"/>
      <c r="AA586" s="47"/>
    </row>
    <row r="587" spans="1:27" ht="12.75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151"/>
      <c r="X587" s="62"/>
      <c r="Y587" s="62"/>
      <c r="Z587" s="62"/>
      <c r="AA587" s="47"/>
    </row>
    <row r="588" spans="1:27" ht="12.75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151"/>
      <c r="X588" s="62"/>
      <c r="Y588" s="62"/>
      <c r="Z588" s="62"/>
      <c r="AA588" s="47"/>
    </row>
    <row r="589" spans="1:27" ht="12.75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151"/>
      <c r="X589" s="62"/>
      <c r="Y589" s="62"/>
      <c r="Z589" s="62"/>
      <c r="AA589" s="47"/>
    </row>
    <row r="590" spans="1:27" ht="12.75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151"/>
      <c r="X590" s="62"/>
      <c r="Y590" s="62"/>
      <c r="Z590" s="62"/>
      <c r="AA590" s="47"/>
    </row>
    <row r="591" spans="1:27" ht="12.75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151"/>
      <c r="X591" s="62"/>
      <c r="Y591" s="62"/>
      <c r="Z591" s="62"/>
      <c r="AA591" s="47"/>
    </row>
    <row r="592" spans="1:27" ht="12.75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151"/>
      <c r="X592" s="62"/>
      <c r="Y592" s="62"/>
      <c r="Z592" s="62"/>
      <c r="AA592" s="47"/>
    </row>
    <row r="593" spans="1:27" ht="12.75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151"/>
      <c r="X593" s="62"/>
      <c r="Y593" s="62"/>
      <c r="Z593" s="62"/>
      <c r="AA593" s="47"/>
    </row>
    <row r="594" spans="1:27" ht="12.75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151"/>
      <c r="X594" s="62"/>
      <c r="Y594" s="62"/>
      <c r="Z594" s="62"/>
      <c r="AA594" s="47"/>
    </row>
    <row r="595" spans="1:27" ht="12.75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151"/>
      <c r="X595" s="62"/>
      <c r="Y595" s="62"/>
      <c r="Z595" s="62"/>
      <c r="AA595" s="47"/>
    </row>
    <row r="596" spans="1:27" ht="12.75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151"/>
      <c r="X596" s="62"/>
      <c r="Y596" s="62"/>
      <c r="Z596" s="62"/>
      <c r="AA596" s="47"/>
    </row>
    <row r="597" spans="1:27" ht="12.75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151"/>
      <c r="X597" s="62"/>
      <c r="Y597" s="62"/>
      <c r="Z597" s="62"/>
      <c r="AA597" s="47"/>
    </row>
    <row r="598" spans="1:27" ht="12.75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151"/>
      <c r="X598" s="62"/>
      <c r="Y598" s="62"/>
      <c r="Z598" s="62"/>
      <c r="AA598" s="47"/>
    </row>
    <row r="599" spans="1:27" ht="12.75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151"/>
      <c r="X599" s="62"/>
      <c r="Y599" s="62"/>
      <c r="Z599" s="62"/>
      <c r="AA599" s="47"/>
    </row>
    <row r="600" spans="1:27" ht="12.75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151"/>
      <c r="X600" s="62"/>
      <c r="Y600" s="62"/>
      <c r="Z600" s="62"/>
      <c r="AA600" s="47"/>
    </row>
    <row r="601" spans="1:27" ht="12.75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151"/>
      <c r="X601" s="62"/>
      <c r="Y601" s="62"/>
      <c r="Z601" s="62"/>
      <c r="AA601" s="47"/>
    </row>
    <row r="602" spans="1:27" ht="12.75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151"/>
      <c r="X602" s="62"/>
      <c r="Y602" s="62"/>
      <c r="Z602" s="62"/>
      <c r="AA602" s="47"/>
    </row>
    <row r="603" spans="1:27" ht="12.75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151"/>
      <c r="X603" s="62"/>
      <c r="Y603" s="62"/>
      <c r="Z603" s="62"/>
      <c r="AA603" s="47"/>
    </row>
    <row r="604" spans="1:27" ht="12.75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151"/>
      <c r="X604" s="62"/>
      <c r="Y604" s="62"/>
      <c r="Z604" s="62"/>
      <c r="AA604" s="47"/>
    </row>
    <row r="605" spans="1:27" ht="12.75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151"/>
      <c r="X605" s="62"/>
      <c r="Y605" s="62"/>
      <c r="Z605" s="62"/>
      <c r="AA605" s="47"/>
    </row>
    <row r="606" spans="1:27" ht="12.75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151"/>
      <c r="X606" s="62"/>
      <c r="Y606" s="62"/>
      <c r="Z606" s="62"/>
      <c r="AA606" s="47"/>
    </row>
    <row r="607" spans="1:27" ht="12.75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151"/>
      <c r="X607" s="62"/>
      <c r="Y607" s="62"/>
      <c r="Z607" s="62"/>
      <c r="AA607" s="47"/>
    </row>
    <row r="608" spans="1:27" ht="12.75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151"/>
      <c r="X608" s="62"/>
      <c r="Y608" s="62"/>
      <c r="Z608" s="62"/>
      <c r="AA608" s="47"/>
    </row>
    <row r="609" spans="1:27" ht="12.75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151"/>
      <c r="X609" s="62"/>
      <c r="Y609" s="62"/>
      <c r="Z609" s="62"/>
      <c r="AA609" s="47"/>
    </row>
    <row r="610" spans="1:27" ht="12.75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151"/>
      <c r="X610" s="62"/>
      <c r="Y610" s="62"/>
      <c r="Z610" s="62"/>
      <c r="AA610" s="47"/>
    </row>
    <row r="611" spans="1:27" ht="12.75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151"/>
      <c r="X611" s="62"/>
      <c r="Y611" s="62"/>
      <c r="Z611" s="62"/>
      <c r="AA611" s="47"/>
    </row>
    <row r="612" spans="1:27" ht="12.75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151"/>
      <c r="X612" s="62"/>
      <c r="Y612" s="62"/>
      <c r="Z612" s="62"/>
      <c r="AA612" s="47"/>
    </row>
    <row r="613" spans="1:27" ht="12.75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151"/>
      <c r="X613" s="62"/>
      <c r="Y613" s="62"/>
      <c r="Z613" s="62"/>
      <c r="AA613" s="47"/>
    </row>
    <row r="614" spans="1:27" ht="12.75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151"/>
      <c r="X614" s="62"/>
      <c r="Y614" s="62"/>
      <c r="Z614" s="62"/>
      <c r="AA614" s="47"/>
    </row>
    <row r="615" spans="1:27" ht="12.75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151"/>
      <c r="X615" s="62"/>
      <c r="Y615" s="62"/>
      <c r="Z615" s="62"/>
      <c r="AA615" s="47"/>
    </row>
    <row r="616" spans="1:27" ht="12.75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151"/>
      <c r="X616" s="62"/>
      <c r="Y616" s="62"/>
      <c r="Z616" s="62"/>
      <c r="AA616" s="47"/>
    </row>
    <row r="617" spans="1:27" ht="12.75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151"/>
      <c r="X617" s="62"/>
      <c r="Y617" s="62"/>
      <c r="Z617" s="62"/>
      <c r="AA617" s="47"/>
    </row>
    <row r="618" spans="1:27" ht="12.75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151"/>
      <c r="X618" s="62"/>
      <c r="Y618" s="62"/>
      <c r="Z618" s="62"/>
      <c r="AA618" s="47"/>
    </row>
    <row r="619" spans="1:27" ht="12.75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151"/>
      <c r="X619" s="62"/>
      <c r="Y619" s="62"/>
      <c r="Z619" s="62"/>
      <c r="AA619" s="47"/>
    </row>
    <row r="620" spans="1:27" ht="12.75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151"/>
      <c r="X620" s="62"/>
      <c r="Y620" s="62"/>
      <c r="Z620" s="62"/>
      <c r="AA620" s="47"/>
    </row>
    <row r="621" spans="1:27" ht="12.75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151"/>
      <c r="X621" s="62"/>
      <c r="Y621" s="62"/>
      <c r="Z621" s="62"/>
      <c r="AA621" s="47"/>
    </row>
    <row r="622" spans="1:27" ht="12.75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151"/>
      <c r="X622" s="62"/>
      <c r="Y622" s="62"/>
      <c r="Z622" s="62"/>
      <c r="AA622" s="47"/>
    </row>
    <row r="623" spans="1:27" ht="12.75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151"/>
      <c r="X623" s="62"/>
      <c r="Y623" s="62"/>
      <c r="Z623" s="62"/>
      <c r="AA623" s="47"/>
    </row>
    <row r="624" spans="1:27" ht="12.75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151"/>
      <c r="X624" s="62"/>
      <c r="Y624" s="62"/>
      <c r="Z624" s="62"/>
      <c r="AA624" s="47"/>
    </row>
    <row r="625" spans="1:27" ht="12.75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151"/>
      <c r="X625" s="62"/>
      <c r="Y625" s="62"/>
      <c r="Z625" s="62"/>
      <c r="AA625" s="47"/>
    </row>
    <row r="626" spans="1:27" ht="12.75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151"/>
      <c r="X626" s="62"/>
      <c r="Y626" s="62"/>
      <c r="Z626" s="62"/>
      <c r="AA626" s="47"/>
    </row>
    <row r="627" spans="1:27" ht="12.75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151"/>
      <c r="X627" s="62"/>
      <c r="Y627" s="62"/>
      <c r="Z627" s="62"/>
      <c r="AA627" s="47"/>
    </row>
    <row r="628" spans="1:27" ht="12.75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151"/>
      <c r="X628" s="62"/>
      <c r="Y628" s="62"/>
      <c r="Z628" s="62"/>
      <c r="AA628" s="47"/>
    </row>
    <row r="629" spans="1:27" ht="12.75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151"/>
      <c r="X629" s="62"/>
      <c r="Y629" s="62"/>
      <c r="Z629" s="62"/>
      <c r="AA629" s="47"/>
    </row>
    <row r="630" spans="1:27" ht="12.75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151"/>
      <c r="X630" s="62"/>
      <c r="Y630" s="62"/>
      <c r="Z630" s="62"/>
      <c r="AA630" s="47"/>
    </row>
    <row r="631" spans="1:27" ht="12.75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151"/>
      <c r="X631" s="62"/>
      <c r="Y631" s="62"/>
      <c r="Z631" s="62"/>
      <c r="AA631" s="47"/>
    </row>
    <row r="632" spans="1:27" ht="12.75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151"/>
      <c r="X632" s="62"/>
      <c r="Y632" s="62"/>
      <c r="Z632" s="62"/>
      <c r="AA632" s="47"/>
    </row>
    <row r="633" spans="1:27" ht="12.75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151"/>
      <c r="X633" s="62"/>
      <c r="Y633" s="62"/>
      <c r="Z633" s="62"/>
      <c r="AA633" s="47"/>
    </row>
    <row r="634" spans="1:27" ht="12.75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151"/>
      <c r="X634" s="62"/>
      <c r="Y634" s="62"/>
      <c r="Z634" s="62"/>
      <c r="AA634" s="47"/>
    </row>
    <row r="635" spans="1:27" ht="12.75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151"/>
      <c r="X635" s="62"/>
      <c r="Y635" s="62"/>
      <c r="Z635" s="62"/>
      <c r="AA635" s="47"/>
    </row>
    <row r="636" spans="1:27" ht="12.75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151"/>
      <c r="X636" s="62"/>
      <c r="Y636" s="62"/>
      <c r="Z636" s="62"/>
      <c r="AA636" s="47"/>
    </row>
    <row r="637" spans="1:27" ht="12.75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151"/>
      <c r="X637" s="62"/>
      <c r="Y637" s="62"/>
      <c r="Z637" s="62"/>
      <c r="AA637" s="47"/>
    </row>
    <row r="638" spans="1:27" ht="12.75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151"/>
      <c r="X638" s="62"/>
      <c r="Y638" s="62"/>
      <c r="Z638" s="62"/>
      <c r="AA638" s="47"/>
    </row>
    <row r="639" spans="1:27" ht="12.75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151"/>
      <c r="X639" s="62"/>
      <c r="Y639" s="62"/>
      <c r="Z639" s="62"/>
      <c r="AA639" s="47"/>
    </row>
    <row r="640" spans="1:27" ht="12.75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151"/>
      <c r="X640" s="62"/>
      <c r="Y640" s="62"/>
      <c r="Z640" s="62"/>
      <c r="AA640" s="47"/>
    </row>
    <row r="641" spans="1:27" ht="12.75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151"/>
      <c r="X641" s="62"/>
      <c r="Y641" s="62"/>
      <c r="Z641" s="62"/>
      <c r="AA641" s="47"/>
    </row>
    <row r="642" spans="1:27" ht="12.75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151"/>
      <c r="X642" s="62"/>
      <c r="Y642" s="62"/>
      <c r="Z642" s="62"/>
      <c r="AA642" s="47"/>
    </row>
    <row r="643" spans="1:27" ht="12.75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151"/>
      <c r="X643" s="62"/>
      <c r="Y643" s="62"/>
      <c r="Z643" s="62"/>
      <c r="AA643" s="47"/>
    </row>
    <row r="644" spans="1:27" ht="12.75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151"/>
      <c r="X644" s="62"/>
      <c r="Y644" s="62"/>
      <c r="Z644" s="62"/>
      <c r="AA644" s="47"/>
    </row>
    <row r="645" spans="1:27" ht="12.75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151"/>
      <c r="X645" s="62"/>
      <c r="Y645" s="62"/>
      <c r="Z645" s="62"/>
      <c r="AA645" s="47"/>
    </row>
    <row r="646" spans="1:27" ht="12.75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151"/>
      <c r="X646" s="62"/>
      <c r="Y646" s="62"/>
      <c r="Z646" s="62"/>
      <c r="AA646" s="47"/>
    </row>
    <row r="647" spans="1:27" ht="12.75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151"/>
      <c r="X647" s="62"/>
      <c r="Y647" s="62"/>
      <c r="Z647" s="62"/>
      <c r="AA647" s="47"/>
    </row>
    <row r="648" spans="1:27" ht="12.75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151"/>
      <c r="X648" s="62"/>
      <c r="Y648" s="62"/>
      <c r="Z648" s="62"/>
      <c r="AA648" s="47"/>
    </row>
    <row r="649" spans="1:27" ht="12.75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151"/>
      <c r="X649" s="62"/>
      <c r="Y649" s="62"/>
      <c r="Z649" s="62"/>
      <c r="AA649" s="47"/>
    </row>
    <row r="650" spans="1:27" ht="12.75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151"/>
      <c r="X650" s="62"/>
      <c r="Y650" s="62"/>
      <c r="Z650" s="62"/>
      <c r="AA650" s="47"/>
    </row>
    <row r="651" spans="1:27" ht="12.75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151"/>
      <c r="X651" s="62"/>
      <c r="Y651" s="62"/>
      <c r="Z651" s="62"/>
      <c r="AA651" s="47"/>
    </row>
    <row r="652" spans="1:27" ht="12.75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151"/>
      <c r="X652" s="62"/>
      <c r="Y652" s="62"/>
      <c r="Z652" s="62"/>
      <c r="AA652" s="47"/>
    </row>
    <row r="653" spans="1:27" ht="12.75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151"/>
      <c r="X653" s="62"/>
      <c r="Y653" s="62"/>
      <c r="Z653" s="62"/>
      <c r="AA653" s="47"/>
    </row>
    <row r="654" spans="1:27" ht="12.75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151"/>
      <c r="X654" s="62"/>
      <c r="Y654" s="62"/>
      <c r="Z654" s="62"/>
      <c r="AA654" s="47"/>
    </row>
    <row r="655" spans="1:27" ht="12.75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151"/>
      <c r="X655" s="62"/>
      <c r="Y655" s="62"/>
      <c r="Z655" s="62"/>
      <c r="AA655" s="47"/>
    </row>
    <row r="656" spans="1:27" ht="12.75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151"/>
      <c r="X656" s="62"/>
      <c r="Y656" s="62"/>
      <c r="Z656" s="62"/>
      <c r="AA656" s="47"/>
    </row>
    <row r="657" spans="1:27" ht="12.75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151"/>
      <c r="X657" s="62"/>
      <c r="Y657" s="62"/>
      <c r="Z657" s="62"/>
      <c r="AA657" s="47"/>
    </row>
    <row r="658" spans="1:27" ht="12.75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151"/>
      <c r="X658" s="62"/>
      <c r="Y658" s="62"/>
      <c r="Z658" s="62"/>
      <c r="AA658" s="47"/>
    </row>
    <row r="659" spans="1:27" ht="12.75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151"/>
      <c r="X659" s="62"/>
      <c r="Y659" s="62"/>
      <c r="Z659" s="62"/>
      <c r="AA659" s="47"/>
    </row>
    <row r="660" spans="1:27" ht="12.75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151"/>
      <c r="X660" s="62"/>
      <c r="Y660" s="62"/>
      <c r="Z660" s="62"/>
      <c r="AA660" s="47"/>
    </row>
    <row r="661" spans="1:27" ht="12.75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151"/>
      <c r="X661" s="62"/>
      <c r="Y661" s="62"/>
      <c r="Z661" s="62"/>
      <c r="AA661" s="47"/>
    </row>
    <row r="662" spans="1:27" ht="12.75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151"/>
      <c r="X662" s="62"/>
      <c r="Y662" s="62"/>
      <c r="Z662" s="62"/>
      <c r="AA662" s="47"/>
    </row>
    <row r="663" spans="1:27" ht="12.75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151"/>
      <c r="X663" s="62"/>
      <c r="Y663" s="62"/>
      <c r="Z663" s="62"/>
      <c r="AA663" s="47"/>
    </row>
    <row r="664" spans="1:27" ht="12.75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151"/>
      <c r="X664" s="62"/>
      <c r="Y664" s="62"/>
      <c r="Z664" s="62"/>
      <c r="AA664" s="47"/>
    </row>
    <row r="665" spans="1:27" ht="12.75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151"/>
      <c r="X665" s="62"/>
      <c r="Y665" s="62"/>
      <c r="Z665" s="62"/>
      <c r="AA665" s="47"/>
    </row>
    <row r="666" spans="1:27" ht="12.75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151"/>
      <c r="X666" s="62"/>
      <c r="Y666" s="62"/>
      <c r="Z666" s="62"/>
      <c r="AA666" s="47"/>
    </row>
    <row r="667" spans="1:27" ht="12.75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151"/>
      <c r="X667" s="62"/>
      <c r="Y667" s="62"/>
      <c r="Z667" s="62"/>
      <c r="AA667" s="47"/>
    </row>
    <row r="668" spans="1:27" ht="12.75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151"/>
      <c r="X668" s="62"/>
      <c r="Y668" s="62"/>
      <c r="Z668" s="62"/>
      <c r="AA668" s="47"/>
    </row>
    <row r="669" spans="1:27" ht="12.75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151"/>
      <c r="X669" s="62"/>
      <c r="Y669" s="62"/>
      <c r="Z669" s="62"/>
      <c r="AA669" s="47"/>
    </row>
    <row r="670" spans="1:27" ht="12.75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151"/>
      <c r="X670" s="62"/>
      <c r="Y670" s="62"/>
      <c r="Z670" s="62"/>
      <c r="AA670" s="47"/>
    </row>
    <row r="671" spans="1:27" ht="12.75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151"/>
      <c r="X671" s="62"/>
      <c r="Y671" s="62"/>
      <c r="Z671" s="62"/>
      <c r="AA671" s="47"/>
    </row>
    <row r="672" spans="1:27" ht="12.75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151"/>
      <c r="X672" s="62"/>
      <c r="Y672" s="62"/>
      <c r="Z672" s="62"/>
      <c r="AA672" s="47"/>
    </row>
    <row r="673" spans="1:27" ht="12.75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151"/>
      <c r="X673" s="62"/>
      <c r="Y673" s="62"/>
      <c r="Z673" s="62"/>
      <c r="AA673" s="47"/>
    </row>
    <row r="674" spans="1:27" ht="12.75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151"/>
      <c r="X674" s="62"/>
      <c r="Y674" s="62"/>
      <c r="Z674" s="62"/>
      <c r="AA674" s="47"/>
    </row>
    <row r="675" spans="1:27" ht="12.75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151"/>
      <c r="X675" s="62"/>
      <c r="Y675" s="62"/>
      <c r="Z675" s="62"/>
      <c r="AA675" s="47"/>
    </row>
    <row r="676" spans="1:27" ht="12.75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151"/>
      <c r="X676" s="62"/>
      <c r="Y676" s="62"/>
      <c r="Z676" s="62"/>
      <c r="AA676" s="47"/>
    </row>
    <row r="677" spans="1:27" ht="12.75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151"/>
      <c r="X677" s="62"/>
      <c r="Y677" s="62"/>
      <c r="Z677" s="62"/>
      <c r="AA677" s="47"/>
    </row>
    <row r="678" spans="1:27" ht="12.75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151"/>
      <c r="X678" s="62"/>
      <c r="Y678" s="62"/>
      <c r="Z678" s="62"/>
      <c r="AA678" s="47"/>
    </row>
    <row r="679" spans="1:27" ht="12.75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151"/>
      <c r="X679" s="62"/>
      <c r="Y679" s="62"/>
      <c r="Z679" s="62"/>
      <c r="AA679" s="47"/>
    </row>
    <row r="680" spans="1:27" ht="12.75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151"/>
      <c r="X680" s="62"/>
      <c r="Y680" s="62"/>
      <c r="Z680" s="62"/>
      <c r="AA680" s="47"/>
    </row>
    <row r="681" spans="1:27" ht="12.75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151"/>
      <c r="X681" s="62"/>
      <c r="Y681" s="62"/>
      <c r="Z681" s="62"/>
      <c r="AA681" s="47"/>
    </row>
    <row r="682" spans="1:27" ht="12.75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151"/>
      <c r="X682" s="62"/>
      <c r="Y682" s="62"/>
      <c r="Z682" s="62"/>
      <c r="AA682" s="47"/>
    </row>
    <row r="683" spans="1:27" ht="12.75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151"/>
      <c r="X683" s="62"/>
      <c r="Y683" s="62"/>
      <c r="Z683" s="62"/>
      <c r="AA683" s="47"/>
    </row>
    <row r="684" spans="1:27" ht="12.75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151"/>
      <c r="X684" s="62"/>
      <c r="Y684" s="62"/>
      <c r="Z684" s="62"/>
      <c r="AA684" s="47"/>
    </row>
    <row r="685" spans="1:27" ht="12.75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151"/>
      <c r="X685" s="62"/>
      <c r="Y685" s="62"/>
      <c r="Z685" s="62"/>
      <c r="AA685" s="47"/>
    </row>
    <row r="686" spans="1:27" ht="12.75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151"/>
      <c r="X686" s="62"/>
      <c r="Y686" s="62"/>
      <c r="Z686" s="62"/>
      <c r="AA686" s="47"/>
    </row>
    <row r="687" spans="1:27" ht="12.75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151"/>
      <c r="X687" s="62"/>
      <c r="Y687" s="62"/>
      <c r="Z687" s="62"/>
      <c r="AA687" s="47"/>
    </row>
    <row r="688" spans="1:27" ht="12.75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151"/>
      <c r="X688" s="62"/>
      <c r="Y688" s="62"/>
      <c r="Z688" s="62"/>
      <c r="AA688" s="47"/>
    </row>
    <row r="689" spans="1:27" ht="12.75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151"/>
      <c r="X689" s="62"/>
      <c r="Y689" s="62"/>
      <c r="Z689" s="62"/>
      <c r="AA689" s="47"/>
    </row>
    <row r="690" spans="1:27" ht="12.75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151"/>
      <c r="X690" s="62"/>
      <c r="Y690" s="62"/>
      <c r="Z690" s="62"/>
      <c r="AA690" s="47"/>
    </row>
    <row r="691" spans="1:27" ht="12.75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151"/>
      <c r="X691" s="62"/>
      <c r="Y691" s="62"/>
      <c r="Z691" s="62"/>
      <c r="AA691" s="47"/>
    </row>
    <row r="692" spans="1:27" ht="12.75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151"/>
      <c r="X692" s="62"/>
      <c r="Y692" s="62"/>
      <c r="Z692" s="62"/>
      <c r="AA692" s="47"/>
    </row>
    <row r="693" spans="1:27" ht="12.75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151"/>
      <c r="X693" s="62"/>
      <c r="Y693" s="62"/>
      <c r="Z693" s="62"/>
      <c r="AA693" s="47"/>
    </row>
    <row r="694" spans="1:27" ht="12.75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151"/>
      <c r="X694" s="62"/>
      <c r="Y694" s="62"/>
      <c r="Z694" s="62"/>
      <c r="AA694" s="47"/>
    </row>
    <row r="695" spans="1:27" ht="12.75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151"/>
      <c r="X695" s="62"/>
      <c r="Y695" s="62"/>
      <c r="Z695" s="62"/>
      <c r="AA695" s="47"/>
    </row>
    <row r="696" spans="1:27" ht="12.75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151"/>
      <c r="X696" s="62"/>
      <c r="Y696" s="62"/>
      <c r="Z696" s="62"/>
      <c r="AA696" s="47"/>
    </row>
    <row r="697" spans="1:27" ht="12.75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151"/>
      <c r="X697" s="62"/>
      <c r="Y697" s="62"/>
      <c r="Z697" s="62"/>
      <c r="AA697" s="47"/>
    </row>
    <row r="698" spans="1:27" ht="12.75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151"/>
      <c r="X698" s="62"/>
      <c r="Y698" s="62"/>
      <c r="Z698" s="62"/>
      <c r="AA698" s="47"/>
    </row>
    <row r="699" spans="1:27" ht="12.75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151"/>
      <c r="X699" s="62"/>
      <c r="Y699" s="62"/>
      <c r="Z699" s="62"/>
      <c r="AA699" s="47"/>
    </row>
    <row r="700" spans="1:27" ht="12.75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151"/>
      <c r="X700" s="62"/>
      <c r="Y700" s="62"/>
      <c r="Z700" s="62"/>
      <c r="AA700" s="47"/>
    </row>
    <row r="701" spans="1:27" ht="12.75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151"/>
      <c r="X701" s="62"/>
      <c r="Y701" s="62"/>
      <c r="Z701" s="62"/>
      <c r="AA701" s="47"/>
    </row>
    <row r="702" spans="1:27" ht="12.75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151"/>
      <c r="X702" s="62"/>
      <c r="Y702" s="62"/>
      <c r="Z702" s="62"/>
      <c r="AA702" s="47"/>
    </row>
    <row r="703" spans="1:27" ht="12.75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151"/>
      <c r="X703" s="62"/>
      <c r="Y703" s="62"/>
      <c r="Z703" s="62"/>
      <c r="AA703" s="47"/>
    </row>
    <row r="704" spans="1:27" ht="12.75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151"/>
      <c r="X704" s="62"/>
      <c r="Y704" s="62"/>
      <c r="Z704" s="62"/>
      <c r="AA704" s="47"/>
    </row>
    <row r="705" spans="1:27" ht="12.75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151"/>
      <c r="X705" s="62"/>
      <c r="Y705" s="62"/>
      <c r="Z705" s="62"/>
      <c r="AA705" s="47"/>
    </row>
    <row r="706" spans="1:27" ht="12.75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151"/>
      <c r="X706" s="62"/>
      <c r="Y706" s="62"/>
      <c r="Z706" s="62"/>
      <c r="AA706" s="47"/>
    </row>
    <row r="707" spans="1:27" ht="12.75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151"/>
      <c r="X707" s="62"/>
      <c r="Y707" s="62"/>
      <c r="Z707" s="62"/>
      <c r="AA707" s="47"/>
    </row>
    <row r="708" spans="1:27" ht="12.75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151"/>
      <c r="X708" s="62"/>
      <c r="Y708" s="62"/>
      <c r="Z708" s="62"/>
      <c r="AA708" s="47"/>
    </row>
    <row r="709" spans="1:27" ht="12.75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151"/>
      <c r="X709" s="62"/>
      <c r="Y709" s="62"/>
      <c r="Z709" s="62"/>
      <c r="AA709" s="47"/>
    </row>
    <row r="710" spans="1:27" ht="12.75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151"/>
      <c r="X710" s="62"/>
      <c r="Y710" s="62"/>
      <c r="Z710" s="62"/>
      <c r="AA710" s="47"/>
    </row>
    <row r="711" spans="1:27" ht="12.75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151"/>
      <c r="X711" s="62"/>
      <c r="Y711" s="62"/>
      <c r="Z711" s="62"/>
      <c r="AA711" s="47"/>
    </row>
    <row r="712" spans="1:27" ht="12.75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151"/>
      <c r="X712" s="62"/>
      <c r="Y712" s="62"/>
      <c r="Z712" s="62"/>
      <c r="AA712" s="47"/>
    </row>
    <row r="713" spans="1:27" ht="12.75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151"/>
      <c r="X713" s="62"/>
      <c r="Y713" s="62"/>
      <c r="Z713" s="62"/>
      <c r="AA713" s="47"/>
    </row>
    <row r="714" spans="1:27" ht="12.75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151"/>
      <c r="X714" s="62"/>
      <c r="Y714" s="62"/>
      <c r="Z714" s="62"/>
      <c r="AA714" s="47"/>
    </row>
    <row r="715" spans="1:27" ht="12.75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151"/>
      <c r="X715" s="62"/>
      <c r="Y715" s="62"/>
      <c r="Z715" s="62"/>
      <c r="AA715" s="47"/>
    </row>
    <row r="716" spans="1:27" ht="12.75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151"/>
      <c r="X716" s="62"/>
      <c r="Y716" s="62"/>
      <c r="Z716" s="62"/>
      <c r="AA716" s="47"/>
    </row>
    <row r="717" spans="1:27" ht="12.75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151"/>
      <c r="X717" s="62"/>
      <c r="Y717" s="62"/>
      <c r="Z717" s="62"/>
      <c r="AA717" s="47"/>
    </row>
    <row r="718" spans="1:27" ht="12.75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151"/>
      <c r="X718" s="62"/>
      <c r="Y718" s="62"/>
      <c r="Z718" s="62"/>
      <c r="AA718" s="47"/>
    </row>
    <row r="719" spans="1:27" ht="12.75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151"/>
      <c r="X719" s="62"/>
      <c r="Y719" s="62"/>
      <c r="Z719" s="62"/>
      <c r="AA719" s="47"/>
    </row>
    <row r="720" spans="1:27" ht="12.75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151"/>
      <c r="X720" s="62"/>
      <c r="Y720" s="62"/>
      <c r="Z720" s="62"/>
      <c r="AA720" s="47"/>
    </row>
    <row r="721" spans="1:27" ht="12.75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151"/>
      <c r="X721" s="62"/>
      <c r="Y721" s="62"/>
      <c r="Z721" s="62"/>
      <c r="AA721" s="47"/>
    </row>
    <row r="722" spans="1:27" ht="12.75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151"/>
      <c r="X722" s="62"/>
      <c r="Y722" s="62"/>
      <c r="Z722" s="62"/>
      <c r="AA722" s="47"/>
    </row>
    <row r="723" spans="1:27" ht="12.75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151"/>
      <c r="X723" s="62"/>
      <c r="Y723" s="62"/>
      <c r="Z723" s="62"/>
      <c r="AA723" s="47"/>
    </row>
    <row r="724" spans="1:27" ht="12.75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151"/>
      <c r="X724" s="62"/>
      <c r="Y724" s="62"/>
      <c r="Z724" s="62"/>
      <c r="AA724" s="47"/>
    </row>
    <row r="725" spans="1:27" ht="12.75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151"/>
      <c r="X725" s="62"/>
      <c r="Y725" s="62"/>
      <c r="Z725" s="62"/>
      <c r="AA725" s="47"/>
    </row>
    <row r="726" spans="1:27" ht="12.75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151"/>
      <c r="X726" s="62"/>
      <c r="Y726" s="62"/>
      <c r="Z726" s="62"/>
      <c r="AA726" s="47"/>
    </row>
    <row r="727" spans="1:27" ht="12.75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151"/>
      <c r="X727" s="62"/>
      <c r="Y727" s="62"/>
      <c r="Z727" s="62"/>
      <c r="AA727" s="47"/>
    </row>
    <row r="728" spans="1:27" ht="12.75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151"/>
      <c r="X728" s="62"/>
      <c r="Y728" s="62"/>
      <c r="Z728" s="62"/>
      <c r="AA728" s="47"/>
    </row>
    <row r="729" spans="1:27" ht="12.75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151"/>
      <c r="X729" s="62"/>
      <c r="Y729" s="62"/>
      <c r="Z729" s="62"/>
      <c r="AA729" s="47"/>
    </row>
    <row r="730" spans="1:27" ht="12.75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151"/>
      <c r="X730" s="62"/>
      <c r="Y730" s="62"/>
      <c r="Z730" s="62"/>
      <c r="AA730" s="47"/>
    </row>
    <row r="731" spans="1:27" ht="12.75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151"/>
      <c r="X731" s="62"/>
      <c r="Y731" s="62"/>
      <c r="Z731" s="62"/>
      <c r="AA731" s="47"/>
    </row>
    <row r="732" spans="1:27" ht="12.75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151"/>
      <c r="X732" s="62"/>
      <c r="Y732" s="62"/>
      <c r="Z732" s="62"/>
      <c r="AA732" s="47"/>
    </row>
    <row r="733" spans="1:27" ht="12.75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151"/>
      <c r="X733" s="62"/>
      <c r="Y733" s="62"/>
      <c r="Z733" s="62"/>
      <c r="AA733" s="47"/>
    </row>
    <row r="734" spans="1:27" ht="12.75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151"/>
      <c r="X734" s="62"/>
      <c r="Y734" s="62"/>
      <c r="Z734" s="62"/>
      <c r="AA734" s="47"/>
    </row>
    <row r="735" spans="1:27" ht="12.75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151"/>
      <c r="X735" s="62"/>
      <c r="Y735" s="62"/>
      <c r="Z735" s="62"/>
      <c r="AA735" s="47"/>
    </row>
    <row r="736" spans="1:27" ht="12.75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151"/>
      <c r="X736" s="62"/>
      <c r="Y736" s="62"/>
      <c r="Z736" s="62"/>
      <c r="AA736" s="47"/>
    </row>
    <row r="737" spans="1:27" ht="12.75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151"/>
      <c r="X737" s="62"/>
      <c r="Y737" s="62"/>
      <c r="Z737" s="62"/>
      <c r="AA737" s="47"/>
    </row>
    <row r="738" spans="1:27" ht="12.75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151"/>
      <c r="X738" s="62"/>
      <c r="Y738" s="62"/>
      <c r="Z738" s="62"/>
      <c r="AA738" s="47"/>
    </row>
    <row r="739" spans="1:27" ht="12.75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151"/>
      <c r="X739" s="62"/>
      <c r="Y739" s="62"/>
      <c r="Z739" s="62"/>
      <c r="AA739" s="47"/>
    </row>
    <row r="740" spans="1:27" ht="12.75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151"/>
      <c r="X740" s="62"/>
      <c r="Y740" s="62"/>
      <c r="Z740" s="62"/>
      <c r="AA740" s="47"/>
    </row>
    <row r="741" spans="1:27" ht="12.75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151"/>
      <c r="X741" s="62"/>
      <c r="Y741" s="62"/>
      <c r="Z741" s="62"/>
      <c r="AA741" s="47"/>
    </row>
    <row r="742" spans="1:27" ht="12.75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151"/>
      <c r="X742" s="62"/>
      <c r="Y742" s="62"/>
      <c r="Z742" s="62"/>
      <c r="AA742" s="47"/>
    </row>
    <row r="743" spans="1:27" ht="12.75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151"/>
      <c r="X743" s="62"/>
      <c r="Y743" s="62"/>
      <c r="Z743" s="62"/>
      <c r="AA743" s="47"/>
    </row>
    <row r="744" spans="1:27" ht="12.75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151"/>
      <c r="X744" s="62"/>
      <c r="Y744" s="62"/>
      <c r="Z744" s="62"/>
      <c r="AA744" s="47"/>
    </row>
    <row r="745" spans="1:27" ht="12.75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151"/>
      <c r="X745" s="62"/>
      <c r="Y745" s="62"/>
      <c r="Z745" s="62"/>
      <c r="AA745" s="47"/>
    </row>
    <row r="746" spans="1:27" ht="12.75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151"/>
      <c r="X746" s="62"/>
      <c r="Y746" s="62"/>
      <c r="Z746" s="62"/>
      <c r="AA746" s="47"/>
    </row>
    <row r="747" spans="1:27" ht="12.75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151"/>
      <c r="X747" s="62"/>
      <c r="Y747" s="62"/>
      <c r="Z747" s="62"/>
      <c r="AA747" s="47"/>
    </row>
    <row r="748" spans="1:27" ht="12.75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151"/>
      <c r="X748" s="62"/>
      <c r="Y748" s="62"/>
      <c r="Z748" s="62"/>
      <c r="AA748" s="47"/>
    </row>
    <row r="749" spans="1:27" ht="12.75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151"/>
      <c r="X749" s="62"/>
      <c r="Y749" s="62"/>
      <c r="Z749" s="62"/>
      <c r="AA749" s="47"/>
    </row>
    <row r="750" spans="1:27" ht="12.75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151"/>
      <c r="X750" s="62"/>
      <c r="Y750" s="62"/>
      <c r="Z750" s="62"/>
      <c r="AA750" s="47"/>
    </row>
    <row r="751" spans="1:27" ht="12.75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151"/>
      <c r="X751" s="62"/>
      <c r="Y751" s="62"/>
      <c r="Z751" s="62"/>
      <c r="AA751" s="47"/>
    </row>
    <row r="752" spans="1:27" ht="12.75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151"/>
      <c r="X752" s="62"/>
      <c r="Y752" s="62"/>
      <c r="Z752" s="62"/>
      <c r="AA752" s="47"/>
    </row>
    <row r="753" spans="1:27" ht="12.75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151"/>
      <c r="X753" s="62"/>
      <c r="Y753" s="62"/>
      <c r="Z753" s="62"/>
      <c r="AA753" s="47"/>
    </row>
    <row r="754" spans="1:27" ht="12.75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151"/>
      <c r="X754" s="62"/>
      <c r="Y754" s="62"/>
      <c r="Z754" s="62"/>
      <c r="AA754" s="47"/>
    </row>
    <row r="755" spans="1:27" ht="12.75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151"/>
      <c r="X755" s="62"/>
      <c r="Y755" s="62"/>
      <c r="Z755" s="62"/>
      <c r="AA755" s="47"/>
    </row>
    <row r="756" spans="1:27" ht="12.75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151"/>
      <c r="X756" s="62"/>
      <c r="Y756" s="62"/>
      <c r="Z756" s="62"/>
      <c r="AA756" s="47"/>
    </row>
    <row r="757" spans="1:27" ht="12.75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151"/>
      <c r="X757" s="62"/>
      <c r="Y757" s="62"/>
      <c r="Z757" s="62"/>
      <c r="AA757" s="47"/>
    </row>
    <row r="758" spans="1:27" ht="12.75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151"/>
      <c r="X758" s="62"/>
      <c r="Y758" s="62"/>
      <c r="Z758" s="62"/>
      <c r="AA758" s="47"/>
    </row>
    <row r="759" spans="1:27" ht="12.75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151"/>
      <c r="X759" s="62"/>
      <c r="Y759" s="62"/>
      <c r="Z759" s="62"/>
      <c r="AA759" s="47"/>
    </row>
    <row r="760" spans="1:27" ht="12.75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151"/>
      <c r="X760" s="62"/>
      <c r="Y760" s="62"/>
      <c r="Z760" s="62"/>
      <c r="AA760" s="47"/>
    </row>
    <row r="761" spans="1:27" ht="12.75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151"/>
      <c r="X761" s="62"/>
      <c r="Y761" s="62"/>
      <c r="Z761" s="62"/>
      <c r="AA761" s="47"/>
    </row>
    <row r="762" spans="1:27" ht="12.75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151"/>
      <c r="X762" s="62"/>
      <c r="Y762" s="62"/>
      <c r="Z762" s="62"/>
      <c r="AA762" s="47"/>
    </row>
    <row r="763" spans="1:27" ht="12.75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151"/>
      <c r="X763" s="62"/>
      <c r="Y763" s="62"/>
      <c r="Z763" s="62"/>
      <c r="AA763" s="47"/>
    </row>
    <row r="764" spans="1:27" ht="12.75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151"/>
      <c r="X764" s="62"/>
      <c r="Y764" s="62"/>
      <c r="Z764" s="62"/>
      <c r="AA764" s="47"/>
    </row>
    <row r="765" spans="1:27" ht="12.75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151"/>
      <c r="X765" s="62"/>
      <c r="Y765" s="62"/>
      <c r="Z765" s="62"/>
      <c r="AA765" s="47"/>
    </row>
    <row r="766" spans="1:27" ht="12.75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151"/>
      <c r="X766" s="62"/>
      <c r="Y766" s="62"/>
      <c r="Z766" s="62"/>
      <c r="AA766" s="47"/>
    </row>
    <row r="767" spans="1:27" ht="12.75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151"/>
      <c r="X767" s="62"/>
      <c r="Y767" s="62"/>
      <c r="Z767" s="62"/>
      <c r="AA767" s="47"/>
    </row>
    <row r="768" spans="1:27" ht="12.75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151"/>
      <c r="X768" s="62"/>
      <c r="Y768" s="62"/>
      <c r="Z768" s="62"/>
      <c r="AA768" s="47"/>
    </row>
    <row r="769" spans="1:27" ht="12.75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151"/>
      <c r="X769" s="62"/>
      <c r="Y769" s="62"/>
      <c r="Z769" s="62"/>
      <c r="AA769" s="47"/>
    </row>
    <row r="770" spans="1:27" ht="12.75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151"/>
      <c r="X770" s="62"/>
      <c r="Y770" s="62"/>
      <c r="Z770" s="62"/>
      <c r="AA770" s="47"/>
    </row>
    <row r="771" spans="1:27" ht="12.75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151"/>
      <c r="X771" s="62"/>
      <c r="Y771" s="62"/>
      <c r="Z771" s="62"/>
      <c r="AA771" s="47"/>
    </row>
    <row r="772" spans="1:27" ht="12.75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151"/>
      <c r="X772" s="62"/>
      <c r="Y772" s="62"/>
      <c r="Z772" s="62"/>
      <c r="AA772" s="47"/>
    </row>
    <row r="773" spans="1:27" ht="12.75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151"/>
      <c r="X773" s="62"/>
      <c r="Y773" s="62"/>
      <c r="Z773" s="62"/>
      <c r="AA773" s="47"/>
    </row>
    <row r="774" spans="1:27" ht="12.75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151"/>
      <c r="X774" s="62"/>
      <c r="Y774" s="62"/>
      <c r="Z774" s="62"/>
      <c r="AA774" s="47"/>
    </row>
    <row r="775" spans="1:27" ht="12.75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151"/>
      <c r="X775" s="62"/>
      <c r="Y775" s="62"/>
      <c r="Z775" s="62"/>
      <c r="AA775" s="47"/>
    </row>
    <row r="776" spans="1:27" ht="12.75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151"/>
      <c r="X776" s="62"/>
      <c r="Y776" s="62"/>
      <c r="Z776" s="62"/>
      <c r="AA776" s="47"/>
    </row>
    <row r="777" spans="1:27" ht="12.75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151"/>
      <c r="X777" s="62"/>
      <c r="Y777" s="62"/>
      <c r="Z777" s="62"/>
      <c r="AA777" s="47"/>
    </row>
    <row r="778" spans="1:27" ht="12.75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151"/>
      <c r="X778" s="62"/>
      <c r="Y778" s="62"/>
      <c r="Z778" s="62"/>
      <c r="AA778" s="47"/>
    </row>
    <row r="779" spans="1:27" ht="12.75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151"/>
      <c r="X779" s="62"/>
      <c r="Y779" s="62"/>
      <c r="Z779" s="62"/>
      <c r="AA779" s="47"/>
    </row>
    <row r="780" spans="1:27" ht="12.75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151"/>
      <c r="X780" s="62"/>
      <c r="Y780" s="62"/>
      <c r="Z780" s="62"/>
      <c r="AA780" s="47"/>
    </row>
    <row r="781" spans="1:27" ht="12.75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151"/>
      <c r="X781" s="62"/>
      <c r="Y781" s="62"/>
      <c r="Z781" s="62"/>
      <c r="AA781" s="47"/>
    </row>
    <row r="782" spans="1:27" ht="12.75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151"/>
      <c r="X782" s="62"/>
      <c r="Y782" s="62"/>
      <c r="Z782" s="62"/>
      <c r="AA782" s="47"/>
    </row>
    <row r="783" spans="1:27" ht="12.75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151"/>
      <c r="X783" s="62"/>
      <c r="Y783" s="62"/>
      <c r="Z783" s="62"/>
      <c r="AA783" s="47"/>
    </row>
    <row r="784" spans="1:27" ht="12.75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151"/>
      <c r="X784" s="62"/>
      <c r="Y784" s="62"/>
      <c r="Z784" s="62"/>
      <c r="AA784" s="47"/>
    </row>
    <row r="785" spans="1:27" ht="12.75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151"/>
      <c r="X785" s="62"/>
      <c r="Y785" s="62"/>
      <c r="Z785" s="62"/>
      <c r="AA785" s="47"/>
    </row>
    <row r="786" spans="1:27" ht="12.75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151"/>
      <c r="X786" s="62"/>
      <c r="Y786" s="62"/>
      <c r="Z786" s="62"/>
      <c r="AA786" s="47"/>
    </row>
    <row r="787" spans="1:27" ht="12.75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151"/>
      <c r="X787" s="62"/>
      <c r="Y787" s="62"/>
      <c r="Z787" s="62"/>
      <c r="AA787" s="47"/>
    </row>
    <row r="788" spans="1:27" ht="12.75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151"/>
      <c r="X788" s="62"/>
      <c r="Y788" s="62"/>
      <c r="Z788" s="62"/>
      <c r="AA788" s="47"/>
    </row>
    <row r="789" spans="1:27" ht="12.75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151"/>
      <c r="X789" s="62"/>
      <c r="Y789" s="62"/>
      <c r="Z789" s="62"/>
      <c r="AA789" s="47"/>
    </row>
    <row r="790" spans="1:27" ht="12.75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151"/>
      <c r="X790" s="62"/>
      <c r="Y790" s="62"/>
      <c r="Z790" s="62"/>
      <c r="AA790" s="47"/>
    </row>
    <row r="791" spans="1:27" ht="12.75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151"/>
      <c r="X791" s="62"/>
      <c r="Y791" s="62"/>
      <c r="Z791" s="62"/>
      <c r="AA791" s="47"/>
    </row>
    <row r="792" spans="1:27" ht="12.75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151"/>
      <c r="X792" s="62"/>
      <c r="Y792" s="62"/>
      <c r="Z792" s="62"/>
      <c r="AA792" s="47"/>
    </row>
    <row r="793" spans="1:27" ht="12.75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151"/>
      <c r="X793" s="62"/>
      <c r="Y793" s="62"/>
      <c r="Z793" s="62"/>
      <c r="AA793" s="47"/>
    </row>
    <row r="794" spans="1:27" ht="12.75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151"/>
      <c r="X794" s="62"/>
      <c r="Y794" s="62"/>
      <c r="Z794" s="62"/>
      <c r="AA794" s="47"/>
    </row>
    <row r="795" spans="1:27" ht="12.75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151"/>
      <c r="X795" s="62"/>
      <c r="Y795" s="62"/>
      <c r="Z795" s="62"/>
      <c r="AA795" s="47"/>
    </row>
    <row r="796" spans="1:27" ht="12.75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151"/>
      <c r="X796" s="62"/>
      <c r="Y796" s="62"/>
      <c r="Z796" s="62"/>
      <c r="AA796" s="47"/>
    </row>
    <row r="797" spans="1:27" ht="12.75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151"/>
      <c r="X797" s="62"/>
      <c r="Y797" s="62"/>
      <c r="Z797" s="62"/>
      <c r="AA797" s="47"/>
    </row>
    <row r="798" spans="1:27" ht="12.75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151"/>
      <c r="X798" s="62"/>
      <c r="Y798" s="62"/>
      <c r="Z798" s="62"/>
      <c r="AA798" s="47"/>
    </row>
    <row r="799" spans="1:27" ht="12.75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151"/>
      <c r="X799" s="62"/>
      <c r="Y799" s="62"/>
      <c r="Z799" s="62"/>
      <c r="AA799" s="47"/>
    </row>
    <row r="800" spans="1:27" ht="12.75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151"/>
      <c r="X800" s="62"/>
      <c r="Y800" s="62"/>
      <c r="Z800" s="62"/>
      <c r="AA800" s="47"/>
    </row>
    <row r="801" spans="1:27" ht="12.75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151"/>
      <c r="X801" s="62"/>
      <c r="Y801" s="62"/>
      <c r="Z801" s="62"/>
      <c r="AA801" s="47"/>
    </row>
    <row r="802" spans="1:27" ht="12.75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151"/>
      <c r="X802" s="62"/>
      <c r="Y802" s="62"/>
      <c r="Z802" s="62"/>
      <c r="AA802" s="47"/>
    </row>
    <row r="803" spans="1:27" ht="12.75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151"/>
      <c r="X803" s="62"/>
      <c r="Y803" s="62"/>
      <c r="Z803" s="62"/>
      <c r="AA803" s="47"/>
    </row>
    <row r="804" spans="1:27" ht="12.75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151"/>
      <c r="X804" s="62"/>
      <c r="Y804" s="62"/>
      <c r="Z804" s="62"/>
      <c r="AA804" s="47"/>
    </row>
    <row r="805" spans="1:27" ht="12.75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151"/>
      <c r="X805" s="62"/>
      <c r="Y805" s="62"/>
      <c r="Z805" s="62"/>
      <c r="AA805" s="47"/>
    </row>
    <row r="806" spans="1:27" ht="12.75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151"/>
      <c r="X806" s="62"/>
      <c r="Y806" s="62"/>
      <c r="Z806" s="62"/>
      <c r="AA806" s="47"/>
    </row>
    <row r="807" spans="1:27" ht="12.75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151"/>
      <c r="X807" s="62"/>
      <c r="Y807" s="62"/>
      <c r="Z807" s="62"/>
      <c r="AA807" s="47"/>
    </row>
    <row r="808" spans="1:27" ht="12.75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151"/>
      <c r="X808" s="62"/>
      <c r="Y808" s="62"/>
      <c r="Z808" s="62"/>
      <c r="AA808" s="47"/>
    </row>
    <row r="809" spans="1:27" ht="12.75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151"/>
      <c r="X809" s="62"/>
      <c r="Y809" s="62"/>
      <c r="Z809" s="62"/>
      <c r="AA809" s="47"/>
    </row>
    <row r="810" spans="1:27" ht="12.75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151"/>
      <c r="X810" s="62"/>
      <c r="Y810" s="62"/>
      <c r="Z810" s="62"/>
      <c r="AA810" s="47"/>
    </row>
    <row r="811" spans="1:27" ht="12.75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151"/>
      <c r="X811" s="62"/>
      <c r="Y811" s="62"/>
      <c r="Z811" s="62"/>
      <c r="AA811" s="47"/>
    </row>
    <row r="812" spans="1:27" ht="12.75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151"/>
      <c r="X812" s="62"/>
      <c r="Y812" s="62"/>
      <c r="Z812" s="62"/>
      <c r="AA812" s="47"/>
    </row>
    <row r="813" spans="1:27" ht="12.75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151"/>
      <c r="X813" s="62"/>
      <c r="Y813" s="62"/>
      <c r="Z813" s="62"/>
      <c r="AA813" s="47"/>
    </row>
    <row r="814" spans="1:27" ht="12.75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151"/>
      <c r="X814" s="62"/>
      <c r="Y814" s="62"/>
      <c r="Z814" s="62"/>
      <c r="AA814" s="47"/>
    </row>
    <row r="815" spans="1:27" ht="12.75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151"/>
      <c r="X815" s="62"/>
      <c r="Y815" s="62"/>
      <c r="Z815" s="62"/>
      <c r="AA815" s="47"/>
    </row>
    <row r="816" spans="1:27" ht="12.75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151"/>
      <c r="X816" s="62"/>
      <c r="Y816" s="62"/>
      <c r="Z816" s="62"/>
      <c r="AA816" s="47"/>
    </row>
    <row r="817" spans="1:27" ht="12.75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151"/>
      <c r="X817" s="62"/>
      <c r="Y817" s="62"/>
      <c r="Z817" s="62"/>
      <c r="AA817" s="47"/>
    </row>
    <row r="818" spans="1:27" ht="12.75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151"/>
      <c r="X818" s="62"/>
      <c r="Y818" s="62"/>
      <c r="Z818" s="62"/>
      <c r="AA818" s="47"/>
    </row>
    <row r="819" spans="1:27" ht="12.75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151"/>
      <c r="X819" s="62"/>
      <c r="Y819" s="62"/>
      <c r="Z819" s="62"/>
      <c r="AA819" s="47"/>
    </row>
    <row r="820" spans="1:27" ht="12.75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151"/>
      <c r="X820" s="62"/>
      <c r="Y820" s="62"/>
      <c r="Z820" s="62"/>
      <c r="AA820" s="47"/>
    </row>
    <row r="821" spans="1:27" ht="12.75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151"/>
      <c r="X821" s="62"/>
      <c r="Y821" s="62"/>
      <c r="Z821" s="62"/>
      <c r="AA821" s="47"/>
    </row>
    <row r="822" spans="1:27" ht="12.75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151"/>
      <c r="X822" s="62"/>
      <c r="Y822" s="62"/>
      <c r="Z822" s="62"/>
      <c r="AA822" s="47"/>
    </row>
    <row r="823" spans="1:27" ht="12.75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151"/>
      <c r="X823" s="62"/>
      <c r="Y823" s="62"/>
      <c r="Z823" s="62"/>
      <c r="AA823" s="47"/>
    </row>
    <row r="824" spans="1:27" ht="12.75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151"/>
      <c r="X824" s="62"/>
      <c r="Y824" s="62"/>
      <c r="Z824" s="62"/>
      <c r="AA824" s="47"/>
    </row>
    <row r="825" spans="1:27" ht="12.75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151"/>
      <c r="X825" s="62"/>
      <c r="Y825" s="62"/>
      <c r="Z825" s="62"/>
      <c r="AA825" s="47"/>
    </row>
    <row r="826" spans="1:27" ht="12.75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151"/>
      <c r="X826" s="62"/>
      <c r="Y826" s="62"/>
      <c r="Z826" s="62"/>
      <c r="AA826" s="47"/>
    </row>
    <row r="827" spans="1:27" ht="12.75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151"/>
      <c r="X827" s="62"/>
      <c r="Y827" s="62"/>
      <c r="Z827" s="62"/>
      <c r="AA827" s="47"/>
    </row>
    <row r="828" spans="1:27" ht="12.75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151"/>
      <c r="X828" s="62"/>
      <c r="Y828" s="62"/>
      <c r="Z828" s="62"/>
      <c r="AA828" s="47"/>
    </row>
    <row r="829" spans="1:27" ht="12.75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151"/>
      <c r="X829" s="62"/>
      <c r="Y829" s="62"/>
      <c r="Z829" s="62"/>
      <c r="AA829" s="47"/>
    </row>
    <row r="830" spans="1:27" ht="12.75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151"/>
      <c r="X830" s="62"/>
      <c r="Y830" s="62"/>
      <c r="Z830" s="62"/>
      <c r="AA830" s="47"/>
    </row>
    <row r="831" spans="1:27" ht="12.75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151"/>
      <c r="X831" s="62"/>
      <c r="Y831" s="62"/>
      <c r="Z831" s="62"/>
      <c r="AA831" s="47"/>
    </row>
    <row r="832" spans="1:27" ht="12.75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151"/>
      <c r="X832" s="62"/>
      <c r="Y832" s="62"/>
      <c r="Z832" s="62"/>
      <c r="AA832" s="47"/>
    </row>
    <row r="833" spans="1:27" ht="12.75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151"/>
      <c r="X833" s="62"/>
      <c r="Y833" s="62"/>
      <c r="Z833" s="62"/>
      <c r="AA833" s="47"/>
    </row>
    <row r="834" spans="1:27" ht="12.75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151"/>
      <c r="X834" s="62"/>
      <c r="Y834" s="62"/>
      <c r="Z834" s="62"/>
      <c r="AA834" s="47"/>
    </row>
    <row r="835" spans="1:27" ht="12.75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151"/>
      <c r="X835" s="62"/>
      <c r="Y835" s="62"/>
      <c r="Z835" s="62"/>
      <c r="AA835" s="47"/>
    </row>
    <row r="836" spans="1:27" ht="12.75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151"/>
      <c r="X836" s="62"/>
      <c r="Y836" s="62"/>
      <c r="Z836" s="62"/>
      <c r="AA836" s="47"/>
    </row>
    <row r="837" spans="1:27" ht="12.75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151"/>
      <c r="X837" s="62"/>
      <c r="Y837" s="62"/>
      <c r="Z837" s="62"/>
      <c r="AA837" s="47"/>
    </row>
    <row r="838" spans="1:27" ht="12.75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151"/>
      <c r="X838" s="62"/>
      <c r="Y838" s="62"/>
      <c r="Z838" s="62"/>
      <c r="AA838" s="47"/>
    </row>
    <row r="839" spans="1:27" ht="12.75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151"/>
      <c r="X839" s="62"/>
      <c r="Y839" s="62"/>
      <c r="Z839" s="62"/>
      <c r="AA839" s="47"/>
    </row>
    <row r="840" spans="1:27" ht="12.75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151"/>
      <c r="X840" s="62"/>
      <c r="Y840" s="62"/>
      <c r="Z840" s="62"/>
      <c r="AA840" s="47"/>
    </row>
    <row r="841" spans="1:27" ht="12.75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151"/>
      <c r="X841" s="62"/>
      <c r="Y841" s="62"/>
      <c r="Z841" s="62"/>
      <c r="AA841" s="47"/>
    </row>
    <row r="842" spans="1:27" ht="12.75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151"/>
      <c r="X842" s="62"/>
      <c r="Y842" s="62"/>
      <c r="Z842" s="62"/>
      <c r="AA842" s="47"/>
    </row>
    <row r="843" spans="1:27" ht="12.75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151"/>
      <c r="X843" s="62"/>
      <c r="Y843" s="62"/>
      <c r="Z843" s="62"/>
      <c r="AA843" s="47"/>
    </row>
    <row r="844" spans="1:27" ht="12.75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151"/>
      <c r="X844" s="62"/>
      <c r="Y844" s="62"/>
      <c r="Z844" s="62"/>
      <c r="AA844" s="47"/>
    </row>
    <row r="845" spans="1:27" ht="12.75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151"/>
      <c r="X845" s="62"/>
      <c r="Y845" s="62"/>
      <c r="Z845" s="62"/>
      <c r="AA845" s="47"/>
    </row>
    <row r="846" spans="1:27" ht="12.75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151"/>
      <c r="X846" s="62"/>
      <c r="Y846" s="62"/>
      <c r="Z846" s="62"/>
      <c r="AA846" s="47"/>
    </row>
    <row r="847" spans="1:27" ht="12.75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151"/>
      <c r="X847" s="62"/>
      <c r="Y847" s="62"/>
      <c r="Z847" s="62"/>
      <c r="AA847" s="47"/>
    </row>
    <row r="848" spans="1:27" ht="12.75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151"/>
      <c r="X848" s="62"/>
      <c r="Y848" s="62"/>
      <c r="Z848" s="62"/>
      <c r="AA848" s="47"/>
    </row>
    <row r="849" spans="1:27" ht="12.75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151"/>
      <c r="X849" s="62"/>
      <c r="Y849" s="62"/>
      <c r="Z849" s="62"/>
      <c r="AA849" s="47"/>
    </row>
    <row r="850" spans="1:27" ht="12.75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151"/>
      <c r="X850" s="62"/>
      <c r="Y850" s="62"/>
      <c r="Z850" s="62"/>
      <c r="AA850" s="47"/>
    </row>
    <row r="851" spans="1:27" ht="12.75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151"/>
      <c r="X851" s="62"/>
      <c r="Y851" s="62"/>
      <c r="Z851" s="62"/>
      <c r="AA851" s="47"/>
    </row>
    <row r="852" spans="1:27" ht="12.75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151"/>
      <c r="X852" s="62"/>
      <c r="Y852" s="62"/>
      <c r="Z852" s="62"/>
      <c r="AA852" s="47"/>
    </row>
    <row r="853" spans="1:27" ht="12.75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151"/>
      <c r="X853" s="62"/>
      <c r="Y853" s="62"/>
      <c r="Z853" s="62"/>
      <c r="AA853" s="47"/>
    </row>
    <row r="854" spans="1:27" ht="12.75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151"/>
      <c r="X854" s="62"/>
      <c r="Y854" s="62"/>
      <c r="Z854" s="62"/>
      <c r="AA854" s="47"/>
    </row>
    <row r="855" spans="1:27" ht="12.75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151"/>
      <c r="X855" s="62"/>
      <c r="Y855" s="62"/>
      <c r="Z855" s="62"/>
      <c r="AA855" s="47"/>
    </row>
    <row r="856" spans="1:27" ht="12.75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151"/>
      <c r="X856" s="62"/>
      <c r="Y856" s="62"/>
      <c r="Z856" s="62"/>
      <c r="AA856" s="47"/>
    </row>
    <row r="857" spans="1:27" ht="12.75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151"/>
      <c r="X857" s="62"/>
      <c r="Y857" s="62"/>
      <c r="Z857" s="62"/>
      <c r="AA857" s="47"/>
    </row>
    <row r="858" spans="1:27" ht="12.75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151"/>
      <c r="X858" s="62"/>
      <c r="Y858" s="62"/>
      <c r="Z858" s="62"/>
      <c r="AA858" s="47"/>
    </row>
    <row r="859" spans="1:27" ht="12.75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151"/>
      <c r="X859" s="62"/>
      <c r="Y859" s="62"/>
      <c r="Z859" s="62"/>
      <c r="AA859" s="47"/>
    </row>
    <row r="860" spans="1:27" ht="12.75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151"/>
      <c r="X860" s="62"/>
      <c r="Y860" s="62"/>
      <c r="Z860" s="62"/>
      <c r="AA860" s="47"/>
    </row>
    <row r="861" spans="1:27" ht="12.75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151"/>
      <c r="X861" s="62"/>
      <c r="Y861" s="62"/>
      <c r="Z861" s="62"/>
      <c r="AA861" s="47"/>
    </row>
    <row r="862" spans="1:27" ht="12.75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151"/>
      <c r="X862" s="62"/>
      <c r="Y862" s="62"/>
      <c r="Z862" s="62"/>
      <c r="AA862" s="47"/>
    </row>
    <row r="863" spans="1:27" ht="12.75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151"/>
      <c r="X863" s="62"/>
      <c r="Y863" s="62"/>
      <c r="Z863" s="62"/>
      <c r="AA863" s="47"/>
    </row>
    <row r="864" spans="1:27" ht="12.75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151"/>
      <c r="X864" s="62"/>
      <c r="Y864" s="62"/>
      <c r="Z864" s="62"/>
      <c r="AA864" s="47"/>
    </row>
    <row r="865" spans="1:27" ht="12.75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151"/>
      <c r="X865" s="62"/>
      <c r="Y865" s="62"/>
      <c r="Z865" s="62"/>
      <c r="AA865" s="47"/>
    </row>
    <row r="866" spans="1:27" ht="12.75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151"/>
      <c r="X866" s="62"/>
      <c r="Y866" s="62"/>
      <c r="Z866" s="62"/>
      <c r="AA866" s="47"/>
    </row>
    <row r="867" spans="1:27" ht="12.75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151"/>
      <c r="X867" s="62"/>
      <c r="Y867" s="62"/>
      <c r="Z867" s="62"/>
      <c r="AA867" s="47"/>
    </row>
    <row r="868" spans="1:27" ht="12.75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151"/>
      <c r="X868" s="62"/>
      <c r="Y868" s="62"/>
      <c r="Z868" s="62"/>
      <c r="AA868" s="47"/>
    </row>
    <row r="869" spans="1:27" ht="12.75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151"/>
      <c r="X869" s="62"/>
      <c r="Y869" s="62"/>
      <c r="Z869" s="62"/>
      <c r="AA869" s="47"/>
    </row>
    <row r="870" spans="1:27" ht="12.75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151"/>
      <c r="X870" s="62"/>
      <c r="Y870" s="62"/>
      <c r="Z870" s="62"/>
      <c r="AA870" s="47"/>
    </row>
    <row r="871" spans="1:27" ht="12.75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151"/>
      <c r="X871" s="62"/>
      <c r="Y871" s="62"/>
      <c r="Z871" s="62"/>
      <c r="AA871" s="47"/>
    </row>
    <row r="872" spans="1:27" ht="12.75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151"/>
      <c r="X872" s="62"/>
      <c r="Y872" s="62"/>
      <c r="Z872" s="62"/>
      <c r="AA872" s="47"/>
    </row>
    <row r="873" spans="1:27" ht="12.75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151"/>
      <c r="X873" s="62"/>
      <c r="Y873" s="62"/>
      <c r="Z873" s="62"/>
      <c r="AA873" s="47"/>
    </row>
    <row r="874" spans="1:27" ht="12.75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151"/>
      <c r="X874" s="62"/>
      <c r="Y874" s="62"/>
      <c r="Z874" s="62"/>
      <c r="AA874" s="47"/>
    </row>
    <row r="875" spans="1:27" ht="12.75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151"/>
      <c r="X875" s="62"/>
      <c r="Y875" s="62"/>
      <c r="Z875" s="62"/>
      <c r="AA875" s="47"/>
    </row>
    <row r="876" spans="1:27" ht="12.75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151"/>
      <c r="X876" s="62"/>
      <c r="Y876" s="62"/>
      <c r="Z876" s="62"/>
      <c r="AA876" s="47"/>
    </row>
    <row r="877" spans="1:27" ht="12.75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151"/>
      <c r="X877" s="62"/>
      <c r="Y877" s="62"/>
      <c r="Z877" s="62"/>
      <c r="AA877" s="47"/>
    </row>
    <row r="878" spans="1:27" ht="12.75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151"/>
      <c r="X878" s="62"/>
      <c r="Y878" s="62"/>
      <c r="Z878" s="62"/>
      <c r="AA878" s="47"/>
    </row>
    <row r="879" spans="1:27" ht="12.75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151"/>
      <c r="X879" s="62"/>
      <c r="Y879" s="62"/>
      <c r="Z879" s="62"/>
      <c r="AA879" s="47"/>
    </row>
    <row r="880" spans="1:27" ht="12.75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151"/>
      <c r="X880" s="62"/>
      <c r="Y880" s="62"/>
      <c r="Z880" s="62"/>
      <c r="AA880" s="47"/>
    </row>
    <row r="881" spans="1:27" ht="12.75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151"/>
      <c r="X881" s="62"/>
      <c r="Y881" s="62"/>
      <c r="Z881" s="62"/>
      <c r="AA881" s="47"/>
    </row>
    <row r="882" spans="1:27" ht="12.75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151"/>
      <c r="X882" s="62"/>
      <c r="Y882" s="62"/>
      <c r="Z882" s="62"/>
      <c r="AA882" s="47"/>
    </row>
    <row r="883" spans="1:27" ht="12.75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151"/>
      <c r="X883" s="62"/>
      <c r="Y883" s="62"/>
      <c r="Z883" s="62"/>
      <c r="AA883" s="47"/>
    </row>
    <row r="884" spans="1:27" ht="12.75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151"/>
      <c r="X884" s="62"/>
      <c r="Y884" s="62"/>
      <c r="Z884" s="62"/>
      <c r="AA884" s="47"/>
    </row>
    <row r="885" spans="1:27" ht="12.75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151"/>
      <c r="X885" s="62"/>
      <c r="Y885" s="62"/>
      <c r="Z885" s="62"/>
      <c r="AA885" s="47"/>
    </row>
    <row r="886" spans="1:27" ht="12.75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151"/>
      <c r="X886" s="62"/>
      <c r="Y886" s="62"/>
      <c r="Z886" s="62"/>
      <c r="AA886" s="47"/>
    </row>
    <row r="887" spans="1:27" ht="12.75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151"/>
      <c r="X887" s="62"/>
      <c r="Y887" s="62"/>
      <c r="Z887" s="62"/>
      <c r="AA887" s="47"/>
    </row>
    <row r="888" spans="1:27" ht="12.75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151"/>
      <c r="X888" s="62"/>
      <c r="Y888" s="62"/>
      <c r="Z888" s="62"/>
      <c r="AA888" s="47"/>
    </row>
    <row r="889" spans="1:27" ht="12.75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151"/>
      <c r="X889" s="62"/>
      <c r="Y889" s="62"/>
      <c r="Z889" s="62"/>
      <c r="AA889" s="47"/>
    </row>
    <row r="890" spans="1:27" ht="12.75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151"/>
      <c r="X890" s="62"/>
      <c r="Y890" s="62"/>
      <c r="Z890" s="62"/>
      <c r="AA890" s="47"/>
    </row>
    <row r="891" spans="1:27" ht="12.75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151"/>
      <c r="X891" s="62"/>
      <c r="Y891" s="62"/>
      <c r="Z891" s="62"/>
      <c r="AA891" s="47"/>
    </row>
    <row r="892" spans="1:27" ht="12.75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151"/>
      <c r="X892" s="62"/>
      <c r="Y892" s="62"/>
      <c r="Z892" s="62"/>
      <c r="AA892" s="47"/>
    </row>
    <row r="893" spans="1:27" ht="12.75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151"/>
      <c r="X893" s="62"/>
      <c r="Y893" s="62"/>
      <c r="Z893" s="62"/>
      <c r="AA893" s="47"/>
    </row>
    <row r="894" spans="1:27" ht="12.75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151"/>
      <c r="X894" s="62"/>
      <c r="Y894" s="62"/>
      <c r="Z894" s="62"/>
      <c r="AA894" s="47"/>
    </row>
    <row r="895" spans="1:27" ht="12.75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151"/>
      <c r="X895" s="62"/>
      <c r="Y895" s="62"/>
      <c r="Z895" s="62"/>
      <c r="AA895" s="47"/>
    </row>
    <row r="896" spans="1:27" ht="12.75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151"/>
      <c r="X896" s="62"/>
      <c r="Y896" s="62"/>
      <c r="Z896" s="62"/>
      <c r="AA896" s="47"/>
    </row>
    <row r="897" spans="1:27" ht="12.75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151"/>
      <c r="X897" s="62"/>
      <c r="Y897" s="62"/>
      <c r="Z897" s="62"/>
      <c r="AA897" s="47"/>
    </row>
    <row r="898" spans="1:27" ht="12.75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151"/>
      <c r="X898" s="62"/>
      <c r="Y898" s="62"/>
      <c r="Z898" s="62"/>
      <c r="AA898" s="47"/>
    </row>
    <row r="899" spans="1:27" ht="12.75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151"/>
      <c r="X899" s="62"/>
      <c r="Y899" s="62"/>
      <c r="Z899" s="62"/>
      <c r="AA899" s="47"/>
    </row>
    <row r="900" spans="1:27" ht="12.75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151"/>
      <c r="X900" s="62"/>
      <c r="Y900" s="62"/>
      <c r="Z900" s="62"/>
      <c r="AA900" s="47"/>
    </row>
    <row r="901" spans="1:27" ht="12.75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151"/>
      <c r="X901" s="62"/>
      <c r="Y901" s="62"/>
      <c r="Z901" s="62"/>
      <c r="AA901" s="47"/>
    </row>
    <row r="902" spans="1:27" ht="12.75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151"/>
      <c r="X902" s="62"/>
      <c r="Y902" s="62"/>
      <c r="Z902" s="62"/>
      <c r="AA902" s="47"/>
    </row>
    <row r="903" spans="1:27" ht="12.75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151"/>
      <c r="X903" s="62"/>
      <c r="Y903" s="62"/>
      <c r="Z903" s="62"/>
      <c r="AA903" s="47"/>
    </row>
    <row r="904" spans="1:27" ht="12.75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151"/>
      <c r="X904" s="62"/>
      <c r="Y904" s="62"/>
      <c r="Z904" s="62"/>
      <c r="AA904" s="47"/>
    </row>
    <row r="905" spans="1:27" ht="12.75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151"/>
      <c r="X905" s="62"/>
      <c r="Y905" s="62"/>
      <c r="Z905" s="62"/>
      <c r="AA905" s="47"/>
    </row>
    <row r="906" spans="1:27" ht="12.75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151"/>
      <c r="X906" s="62"/>
      <c r="Y906" s="62"/>
      <c r="Z906" s="62"/>
      <c r="AA906" s="47"/>
    </row>
    <row r="907" spans="1:27" ht="12.75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151"/>
      <c r="X907" s="62"/>
      <c r="Y907" s="62"/>
      <c r="Z907" s="62"/>
      <c r="AA907" s="47"/>
    </row>
    <row r="908" spans="1:27" ht="12.75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151"/>
      <c r="X908" s="62"/>
      <c r="Y908" s="62"/>
      <c r="Z908" s="62"/>
      <c r="AA908" s="47"/>
    </row>
    <row r="909" spans="1:27" ht="12.75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151"/>
      <c r="X909" s="62"/>
      <c r="Y909" s="62"/>
      <c r="Z909" s="62"/>
      <c r="AA909" s="47"/>
    </row>
    <row r="910" spans="1:27" ht="12.75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151"/>
      <c r="X910" s="62"/>
      <c r="Y910" s="62"/>
      <c r="Z910" s="62"/>
      <c r="AA910" s="47"/>
    </row>
    <row r="911" spans="1:27" ht="12.75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151"/>
      <c r="X911" s="62"/>
      <c r="Y911" s="62"/>
      <c r="Z911" s="62"/>
      <c r="AA911" s="47"/>
    </row>
    <row r="912" spans="1:27" ht="12.75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151"/>
      <c r="X912" s="62"/>
      <c r="Y912" s="62"/>
      <c r="Z912" s="62"/>
      <c r="AA912" s="47"/>
    </row>
    <row r="913" spans="1:27" ht="12.75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151"/>
      <c r="X913" s="62"/>
      <c r="Y913" s="62"/>
      <c r="Z913" s="62"/>
      <c r="AA913" s="47"/>
    </row>
    <row r="914" spans="1:27" ht="12.75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151"/>
      <c r="X914" s="62"/>
      <c r="Y914" s="62"/>
      <c r="Z914" s="62"/>
      <c r="AA914" s="47"/>
    </row>
    <row r="915" spans="1:27" ht="12.75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151"/>
      <c r="X915" s="62"/>
      <c r="Y915" s="62"/>
      <c r="Z915" s="62"/>
      <c r="AA915" s="47"/>
    </row>
    <row r="916" spans="1:27" ht="12.75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151"/>
      <c r="X916" s="62"/>
      <c r="Y916" s="62"/>
      <c r="Z916" s="62"/>
      <c r="AA916" s="47"/>
    </row>
    <row r="917" spans="1:27" ht="12.75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151"/>
      <c r="X917" s="62"/>
      <c r="Y917" s="62"/>
      <c r="Z917" s="62"/>
      <c r="AA917" s="47"/>
    </row>
    <row r="918" spans="1:27" ht="12.75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151"/>
      <c r="X918" s="62"/>
      <c r="Y918" s="62"/>
      <c r="Z918" s="62"/>
      <c r="AA918" s="47"/>
    </row>
    <row r="919" spans="1:27" ht="12.75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151"/>
      <c r="X919" s="62"/>
      <c r="Y919" s="62"/>
      <c r="Z919" s="62"/>
      <c r="AA919" s="47"/>
    </row>
    <row r="920" spans="1:27" ht="12.75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151"/>
      <c r="X920" s="62"/>
      <c r="Y920" s="62"/>
      <c r="Z920" s="62"/>
      <c r="AA920" s="47"/>
    </row>
    <row r="921" spans="1:27" ht="12.75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151"/>
      <c r="X921" s="62"/>
      <c r="Y921" s="62"/>
      <c r="Z921" s="62"/>
      <c r="AA921" s="47"/>
    </row>
    <row r="922" spans="1:27" ht="12.75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151"/>
      <c r="X922" s="62"/>
      <c r="Y922" s="62"/>
      <c r="Z922" s="62"/>
      <c r="AA922" s="47"/>
    </row>
    <row r="923" spans="1:27" ht="12.75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151"/>
      <c r="X923" s="62"/>
      <c r="Y923" s="62"/>
      <c r="Z923" s="62"/>
      <c r="AA923" s="47"/>
    </row>
    <row r="924" spans="1:27" ht="12.75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151"/>
      <c r="X924" s="62"/>
      <c r="Y924" s="62"/>
      <c r="Z924" s="62"/>
      <c r="AA924" s="47"/>
    </row>
    <row r="925" spans="1:27" ht="12.75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151"/>
      <c r="X925" s="62"/>
      <c r="Y925" s="62"/>
      <c r="Z925" s="62"/>
      <c r="AA925" s="47"/>
    </row>
    <row r="926" spans="1:27" ht="12.75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151"/>
      <c r="X926" s="62"/>
      <c r="Y926" s="62"/>
      <c r="Z926" s="62"/>
      <c r="AA926" s="47"/>
    </row>
    <row r="927" spans="1:27" ht="12.75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151"/>
      <c r="X927" s="62"/>
      <c r="Y927" s="62"/>
      <c r="Z927" s="62"/>
      <c r="AA927" s="47"/>
    </row>
    <row r="928" spans="1:27" ht="12.75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151"/>
      <c r="X928" s="62"/>
      <c r="Y928" s="62"/>
      <c r="Z928" s="62"/>
      <c r="AA928" s="47"/>
    </row>
    <row r="929" spans="1:27" ht="12.75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151"/>
      <c r="X929" s="62"/>
      <c r="Y929" s="62"/>
      <c r="Z929" s="62"/>
      <c r="AA929" s="47"/>
    </row>
    <row r="930" spans="1:27" ht="12.75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151"/>
      <c r="X930" s="62"/>
      <c r="Y930" s="62"/>
      <c r="Z930" s="62"/>
      <c r="AA930" s="47"/>
    </row>
    <row r="931" spans="1:27" ht="12.75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151"/>
      <c r="X931" s="62"/>
      <c r="Y931" s="62"/>
      <c r="Z931" s="62"/>
      <c r="AA931" s="47"/>
    </row>
    <row r="932" spans="1:27" ht="12.75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151"/>
      <c r="X932" s="62"/>
      <c r="Y932" s="62"/>
      <c r="Z932" s="62"/>
      <c r="AA932" s="47"/>
    </row>
    <row r="933" spans="1:27" ht="12.75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151"/>
      <c r="X933" s="62"/>
      <c r="Y933" s="62"/>
      <c r="Z933" s="62"/>
      <c r="AA933" s="47"/>
    </row>
    <row r="934" spans="1:27" ht="12.75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151"/>
      <c r="X934" s="62"/>
      <c r="Y934" s="62"/>
      <c r="Z934" s="62"/>
      <c r="AA934" s="47"/>
    </row>
    <row r="935" spans="1:27" ht="12.75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151"/>
      <c r="X935" s="62"/>
      <c r="Y935" s="62"/>
      <c r="Z935" s="62"/>
      <c r="AA935" s="47"/>
    </row>
    <row r="936" spans="1:27" ht="12.75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151"/>
      <c r="X936" s="62"/>
      <c r="Y936" s="62"/>
      <c r="Z936" s="62"/>
      <c r="AA936" s="47"/>
    </row>
    <row r="937" spans="1:27" ht="12.75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151"/>
      <c r="X937" s="62"/>
      <c r="Y937" s="62"/>
      <c r="Z937" s="62"/>
      <c r="AA937" s="47"/>
    </row>
    <row r="938" spans="1:27" ht="12.75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151"/>
      <c r="X938" s="62"/>
      <c r="Y938" s="62"/>
      <c r="Z938" s="62"/>
      <c r="AA938" s="47"/>
    </row>
    <row r="939" spans="1:27" ht="12.75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151"/>
      <c r="X939" s="62"/>
      <c r="Y939" s="62"/>
      <c r="Z939" s="62"/>
      <c r="AA939" s="47"/>
    </row>
    <row r="940" spans="1:27" ht="12.75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151"/>
      <c r="X940" s="62"/>
      <c r="Y940" s="62"/>
      <c r="Z940" s="62"/>
      <c r="AA940" s="47"/>
    </row>
    <row r="941" spans="1:27" ht="12.75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151"/>
      <c r="X941" s="62"/>
      <c r="Y941" s="62"/>
      <c r="Z941" s="62"/>
      <c r="AA941" s="47"/>
    </row>
    <row r="942" spans="1:27" ht="12.75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151"/>
      <c r="X942" s="62"/>
      <c r="Y942" s="62"/>
      <c r="Z942" s="62"/>
      <c r="AA942" s="47"/>
    </row>
    <row r="943" spans="1:27" ht="12.75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151"/>
      <c r="X943" s="62"/>
      <c r="Y943" s="62"/>
      <c r="Z943" s="62"/>
      <c r="AA943" s="47"/>
    </row>
    <row r="944" spans="1:27" ht="12.75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151"/>
      <c r="X944" s="62"/>
      <c r="Y944" s="62"/>
      <c r="Z944" s="62"/>
      <c r="AA944" s="47"/>
    </row>
    <row r="945" spans="1:27" ht="12.75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151"/>
      <c r="X945" s="62"/>
      <c r="Y945" s="62"/>
      <c r="Z945" s="62"/>
      <c r="AA945" s="47"/>
    </row>
    <row r="946" spans="1:27" ht="12.75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151"/>
      <c r="X946" s="62"/>
      <c r="Y946" s="62"/>
      <c r="Z946" s="62"/>
      <c r="AA946" s="47"/>
    </row>
    <row r="947" spans="1:27" ht="12.75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151"/>
      <c r="X947" s="62"/>
      <c r="Y947" s="62"/>
      <c r="Z947" s="62"/>
      <c r="AA947" s="47"/>
    </row>
    <row r="948" spans="1:27" ht="12.75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151"/>
      <c r="X948" s="62"/>
      <c r="Y948" s="62"/>
      <c r="Z948" s="62"/>
      <c r="AA948" s="47"/>
    </row>
    <row r="949" spans="1:27" ht="12.75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151"/>
      <c r="X949" s="62"/>
      <c r="Y949" s="62"/>
      <c r="Z949" s="62"/>
      <c r="AA949" s="47"/>
    </row>
    <row r="950" spans="1:27" ht="12.75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151"/>
      <c r="X950" s="62"/>
      <c r="Y950" s="62"/>
      <c r="Z950" s="62"/>
      <c r="AA950" s="47"/>
    </row>
    <row r="951" spans="1:27" ht="12.75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151"/>
      <c r="X951" s="62"/>
      <c r="Y951" s="62"/>
      <c r="Z951" s="62"/>
      <c r="AA951" s="47"/>
    </row>
    <row r="952" spans="1:27" ht="12.75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151"/>
      <c r="X952" s="62"/>
      <c r="Y952" s="62"/>
      <c r="Z952" s="62"/>
      <c r="AA952" s="47"/>
    </row>
    <row r="953" spans="1:27" ht="12.75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151"/>
      <c r="X953" s="62"/>
      <c r="Y953" s="62"/>
      <c r="Z953" s="62"/>
      <c r="AA953" s="47"/>
    </row>
    <row r="954" spans="1:27" ht="12.75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151"/>
      <c r="X954" s="62"/>
      <c r="Y954" s="62"/>
      <c r="Z954" s="62"/>
      <c r="AA954" s="47"/>
    </row>
    <row r="955" spans="1:27" ht="12.75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151"/>
      <c r="X955" s="62"/>
      <c r="Y955" s="62"/>
      <c r="Z955" s="62"/>
      <c r="AA955" s="47"/>
    </row>
    <row r="956" spans="1:27" ht="12.75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151"/>
      <c r="X956" s="62"/>
      <c r="Y956" s="62"/>
      <c r="Z956" s="62"/>
      <c r="AA956" s="47"/>
    </row>
    <row r="957" spans="1:27" ht="12.75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151"/>
      <c r="X957" s="62"/>
      <c r="Y957" s="62"/>
      <c r="Z957" s="62"/>
      <c r="AA957" s="47"/>
    </row>
    <row r="958" spans="1:27" ht="12.75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151"/>
      <c r="X958" s="62"/>
      <c r="Y958" s="62"/>
      <c r="Z958" s="62"/>
      <c r="AA958" s="47"/>
    </row>
    <row r="959" spans="1:27" ht="12.75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151"/>
      <c r="X959" s="62"/>
      <c r="Y959" s="62"/>
      <c r="Z959" s="62"/>
      <c r="AA959" s="47"/>
    </row>
    <row r="960" spans="1:27" ht="12.75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151"/>
      <c r="X960" s="62"/>
      <c r="Y960" s="62"/>
      <c r="Z960" s="62"/>
      <c r="AA960" s="47"/>
    </row>
  </sheetData>
  <mergeCells count="5">
    <mergeCell ref="A2:A3"/>
    <mergeCell ref="B2:B3"/>
    <mergeCell ref="C2:E2"/>
    <mergeCell ref="G2:I2"/>
    <mergeCell ref="K2:T2"/>
  </mergeCells>
  <printOptions horizontalCentered="1" gridLines="1"/>
  <pageMargins left="0.7" right="0.7" top="0.75" bottom="0.75" header="0" footer="0"/>
  <pageSetup paperSize="9" pageOrder="overThenDown" orientation="landscape" cellComments="atEnd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05"/>
  <sheetViews>
    <sheetView workbookViewId="0"/>
  </sheetViews>
  <sheetFormatPr defaultColWidth="12.5703125" defaultRowHeight="15.75" customHeight="1"/>
  <cols>
    <col min="7" max="7" width="13.85546875" customWidth="1"/>
    <col min="10" max="10" width="16.28515625" customWidth="1"/>
    <col min="11" max="11" width="39.7109375" customWidth="1"/>
    <col min="12" max="12" width="11.28515625" customWidth="1"/>
    <col min="13" max="13" width="22.7109375" customWidth="1"/>
  </cols>
  <sheetData>
    <row r="1" spans="1:28" ht="15.75" customHeight="1">
      <c r="A1" s="196"/>
      <c r="B1" s="197"/>
      <c r="C1" s="197" t="s">
        <v>115</v>
      </c>
      <c r="D1" s="196"/>
      <c r="E1" s="196"/>
      <c r="F1" s="196"/>
      <c r="G1" s="198"/>
      <c r="H1" s="196"/>
      <c r="I1" s="196"/>
      <c r="J1" s="197" t="s">
        <v>116</v>
      </c>
      <c r="K1" s="196"/>
      <c r="L1" s="196"/>
      <c r="M1" s="196"/>
      <c r="N1" s="197">
        <v>830</v>
      </c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</row>
    <row r="2" spans="1:28" ht="15.75" customHeight="1">
      <c r="A2" s="196"/>
      <c r="B2" s="200"/>
      <c r="C2" s="200" t="s">
        <v>117</v>
      </c>
      <c r="D2" s="200" t="s">
        <v>118</v>
      </c>
      <c r="E2" s="200" t="s">
        <v>119</v>
      </c>
      <c r="F2" s="200" t="s">
        <v>120</v>
      </c>
      <c r="G2" s="201" t="s">
        <v>121</v>
      </c>
      <c r="H2" s="200" t="s">
        <v>122</v>
      </c>
      <c r="I2" s="202" t="s">
        <v>123</v>
      </c>
      <c r="J2" s="200" t="s">
        <v>124</v>
      </c>
      <c r="K2" s="203"/>
      <c r="L2" s="196"/>
      <c r="M2" s="196"/>
      <c r="N2" s="196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</row>
    <row r="3" spans="1:28" ht="15.75" customHeight="1">
      <c r="A3" s="204"/>
      <c r="B3" s="205"/>
      <c r="C3" s="205">
        <f t="shared" ref="C3:K3" si="0">SUM(C4:C6)</f>
        <v>31687000</v>
      </c>
      <c r="D3" s="206">
        <f t="shared" si="0"/>
        <v>26876399.620000001</v>
      </c>
      <c r="E3" s="206">
        <f t="shared" si="0"/>
        <v>0</v>
      </c>
      <c r="F3" s="206">
        <f t="shared" si="0"/>
        <v>4810600.379999999</v>
      </c>
      <c r="G3" s="206">
        <f t="shared" si="0"/>
        <v>1746000</v>
      </c>
      <c r="H3" s="206">
        <f t="shared" si="0"/>
        <v>3064600.379999999</v>
      </c>
      <c r="I3" s="206">
        <f t="shared" si="0"/>
        <v>0</v>
      </c>
      <c r="J3" s="206">
        <f t="shared" si="0"/>
        <v>-3056600</v>
      </c>
      <c r="K3" s="205">
        <f t="shared" si="0"/>
        <v>0</v>
      </c>
      <c r="L3" s="196"/>
      <c r="M3" s="196"/>
      <c r="N3" s="196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</row>
    <row r="4" spans="1:28" ht="15.75" customHeight="1">
      <c r="A4" s="207" t="s">
        <v>125</v>
      </c>
      <c r="B4" s="208"/>
      <c r="C4" s="208">
        <v>28703000</v>
      </c>
      <c r="D4" s="208">
        <v>24184999.620000001</v>
      </c>
      <c r="E4" s="208" t="s">
        <v>126</v>
      </c>
      <c r="F4" s="208">
        <f t="shared" ref="F4:F6" si="1">C4-D4</f>
        <v>4518000.379999999</v>
      </c>
      <c r="G4" s="209">
        <v>1510000</v>
      </c>
      <c r="H4" s="208">
        <f t="shared" ref="H4:H6" si="2">F4-G4</f>
        <v>3008000.379999999</v>
      </c>
      <c r="I4" s="210"/>
      <c r="J4" s="208">
        <v>-3000000</v>
      </c>
      <c r="K4" s="208" t="s">
        <v>27</v>
      </c>
      <c r="L4" s="196"/>
      <c r="M4" s="196"/>
      <c r="N4" s="196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</row>
    <row r="5" spans="1:28" ht="15.75" customHeight="1">
      <c r="A5" s="207" t="s">
        <v>127</v>
      </c>
      <c r="B5" s="208"/>
      <c r="C5" s="208">
        <v>2896000</v>
      </c>
      <c r="D5" s="208">
        <v>2660000</v>
      </c>
      <c r="E5" s="208" t="s">
        <v>126</v>
      </c>
      <c r="F5" s="208">
        <f t="shared" si="1"/>
        <v>236000</v>
      </c>
      <c r="G5" s="209">
        <v>236000</v>
      </c>
      <c r="H5" s="208">
        <f t="shared" si="2"/>
        <v>0</v>
      </c>
      <c r="I5" s="210"/>
      <c r="J5" s="208"/>
      <c r="K5" s="208"/>
      <c r="L5" s="211">
        <f t="shared" ref="L5:L7" si="3">H5-J5</f>
        <v>0</v>
      </c>
      <c r="M5" s="196"/>
      <c r="N5" s="196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</row>
    <row r="6" spans="1:28" ht="15.75" customHeight="1">
      <c r="A6" s="212" t="s">
        <v>128</v>
      </c>
      <c r="B6" s="213"/>
      <c r="C6" s="213">
        <v>88000</v>
      </c>
      <c r="D6" s="213">
        <v>31400</v>
      </c>
      <c r="E6" s="213" t="s">
        <v>126</v>
      </c>
      <c r="F6" s="213">
        <f t="shared" si="1"/>
        <v>56600</v>
      </c>
      <c r="G6" s="214">
        <v>0</v>
      </c>
      <c r="H6" s="213">
        <f t="shared" si="2"/>
        <v>56600</v>
      </c>
      <c r="I6" s="215"/>
      <c r="J6" s="213">
        <v>-56600</v>
      </c>
      <c r="K6" s="213" t="s">
        <v>129</v>
      </c>
      <c r="L6" s="216">
        <f t="shared" si="3"/>
        <v>113200</v>
      </c>
      <c r="M6" s="217"/>
      <c r="N6" s="217"/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18"/>
      <c r="Z6" s="218"/>
      <c r="AA6" s="218"/>
      <c r="AB6" s="218"/>
    </row>
    <row r="7" spans="1:28" ht="15.75" customHeight="1">
      <c r="A7" s="212"/>
      <c r="B7" s="213"/>
      <c r="C7" s="213">
        <f t="shared" ref="C7:J7" si="4">SUM(C8:C10)</f>
        <v>326468600</v>
      </c>
      <c r="D7" s="214">
        <f t="shared" si="4"/>
        <v>192261795.19</v>
      </c>
      <c r="E7" s="214">
        <f t="shared" si="4"/>
        <v>0</v>
      </c>
      <c r="F7" s="214">
        <f t="shared" si="4"/>
        <v>134206804.81</v>
      </c>
      <c r="G7" s="214">
        <f t="shared" si="4"/>
        <v>53423051.759999998</v>
      </c>
      <c r="H7" s="214">
        <f t="shared" si="4"/>
        <v>80783753.050000012</v>
      </c>
      <c r="I7" s="214">
        <f t="shared" si="4"/>
        <v>0</v>
      </c>
      <c r="J7" s="214">
        <f t="shared" si="4"/>
        <v>-80782900</v>
      </c>
      <c r="K7" s="219"/>
      <c r="L7" s="216">
        <f t="shared" si="3"/>
        <v>161566653.05000001</v>
      </c>
      <c r="M7" s="217"/>
      <c r="N7" s="217"/>
      <c r="O7" s="218"/>
      <c r="P7" s="218"/>
      <c r="Q7" s="218"/>
      <c r="R7" s="218"/>
      <c r="S7" s="218"/>
      <c r="T7" s="218"/>
      <c r="U7" s="218"/>
      <c r="V7" s="218"/>
      <c r="W7" s="218"/>
      <c r="X7" s="218"/>
      <c r="Y7" s="218"/>
      <c r="Z7" s="218"/>
      <c r="AA7" s="218"/>
      <c r="AB7" s="218"/>
    </row>
    <row r="8" spans="1:28" ht="15.75" customHeight="1">
      <c r="A8" s="212" t="s">
        <v>130</v>
      </c>
      <c r="B8" s="213"/>
      <c r="C8" s="213">
        <v>86197000</v>
      </c>
      <c r="D8" s="213">
        <v>72928676.799999997</v>
      </c>
      <c r="E8" s="213" t="s">
        <v>126</v>
      </c>
      <c r="F8" s="213">
        <f t="shared" ref="F8:F10" si="5">C8-D8</f>
        <v>13268323.200000003</v>
      </c>
      <c r="G8" s="214">
        <v>944035.1</v>
      </c>
      <c r="H8" s="213">
        <f t="shared" ref="H8:H10" si="6">F8-G8</f>
        <v>12324288.100000003</v>
      </c>
      <c r="I8" s="220"/>
      <c r="J8" s="213">
        <v>-12324200</v>
      </c>
      <c r="K8" s="219" t="s">
        <v>131</v>
      </c>
      <c r="L8" s="216">
        <f>H8+I8+J8</f>
        <v>88.100000003352761</v>
      </c>
      <c r="M8" s="217"/>
      <c r="N8" s="217"/>
      <c r="O8" s="218"/>
      <c r="P8" s="218"/>
      <c r="Q8" s="218"/>
      <c r="R8" s="218"/>
      <c r="S8" s="218"/>
      <c r="T8" s="218"/>
      <c r="U8" s="218"/>
      <c r="V8" s="218"/>
      <c r="W8" s="218"/>
      <c r="X8" s="218"/>
      <c r="Y8" s="218"/>
      <c r="Z8" s="218"/>
      <c r="AA8" s="218"/>
      <c r="AB8" s="218"/>
    </row>
    <row r="9" spans="1:28" ht="15.75" customHeight="1">
      <c r="A9" s="212" t="s">
        <v>132</v>
      </c>
      <c r="B9" s="213"/>
      <c r="C9" s="213">
        <v>129804500</v>
      </c>
      <c r="D9" s="213">
        <v>58757800</v>
      </c>
      <c r="E9" s="213" t="s">
        <v>126</v>
      </c>
      <c r="F9" s="213">
        <f t="shared" si="5"/>
        <v>71046700</v>
      </c>
      <c r="G9" s="214">
        <v>12000000</v>
      </c>
      <c r="H9" s="213">
        <f t="shared" si="6"/>
        <v>59046700</v>
      </c>
      <c r="I9" s="220"/>
      <c r="J9" s="213">
        <f>H9*-1</f>
        <v>-59046700</v>
      </c>
      <c r="K9" s="219" t="s">
        <v>133</v>
      </c>
      <c r="L9" s="216">
        <f t="shared" ref="L9:L14" si="7">H9-J9</f>
        <v>118093400</v>
      </c>
      <c r="M9" s="221" t="s">
        <v>134</v>
      </c>
      <c r="N9" s="221" t="s">
        <v>135</v>
      </c>
      <c r="O9" s="218"/>
      <c r="P9" s="218"/>
      <c r="Q9" s="218"/>
      <c r="R9" s="218"/>
      <c r="S9" s="218"/>
      <c r="T9" s="218"/>
      <c r="U9" s="218"/>
      <c r="V9" s="218"/>
      <c r="W9" s="218"/>
      <c r="X9" s="218"/>
      <c r="Y9" s="218"/>
      <c r="Z9" s="218"/>
      <c r="AA9" s="218"/>
      <c r="AB9" s="218"/>
    </row>
    <row r="10" spans="1:28" ht="15.75" customHeight="1">
      <c r="A10" s="212" t="s">
        <v>136</v>
      </c>
      <c r="B10" s="213"/>
      <c r="C10" s="213">
        <v>110467100</v>
      </c>
      <c r="D10" s="213">
        <v>60575318.390000001</v>
      </c>
      <c r="E10" s="213" t="s">
        <v>126</v>
      </c>
      <c r="F10" s="213">
        <f t="shared" si="5"/>
        <v>49891781.609999999</v>
      </c>
      <c r="G10" s="222">
        <f>146100+125416.66+1717500+16740000+21750000</f>
        <v>40479016.659999996</v>
      </c>
      <c r="H10" s="213">
        <f t="shared" si="6"/>
        <v>9412764.950000003</v>
      </c>
      <c r="I10" s="220"/>
      <c r="J10" s="213">
        <v>-9412000</v>
      </c>
      <c r="K10" s="219" t="s">
        <v>137</v>
      </c>
      <c r="L10" s="216">
        <f t="shared" si="7"/>
        <v>18824764.950000003</v>
      </c>
      <c r="M10" s="221" t="s">
        <v>138</v>
      </c>
      <c r="N10" s="221" t="s">
        <v>139</v>
      </c>
      <c r="O10" s="223" t="s">
        <v>140</v>
      </c>
      <c r="P10" s="218"/>
      <c r="Q10" s="218"/>
      <c r="R10" s="218"/>
      <c r="S10" s="218"/>
      <c r="T10" s="218"/>
      <c r="U10" s="218"/>
      <c r="V10" s="218"/>
      <c r="W10" s="218"/>
      <c r="X10" s="218"/>
      <c r="Y10" s="218"/>
      <c r="Z10" s="218"/>
      <c r="AA10" s="218"/>
      <c r="AB10" s="218"/>
    </row>
    <row r="11" spans="1:28" ht="15.75" customHeight="1">
      <c r="A11" s="212"/>
      <c r="B11" s="213"/>
      <c r="C11" s="214">
        <f t="shared" ref="C11:J11" si="8">SUM(C12:C13)</f>
        <v>78300000</v>
      </c>
      <c r="D11" s="214">
        <f t="shared" si="8"/>
        <v>7387520</v>
      </c>
      <c r="E11" s="214">
        <f t="shared" si="8"/>
        <v>0</v>
      </c>
      <c r="F11" s="214">
        <f t="shared" si="8"/>
        <v>70912480</v>
      </c>
      <c r="G11" s="214">
        <f t="shared" si="8"/>
        <v>0</v>
      </c>
      <c r="H11" s="214">
        <f t="shared" si="8"/>
        <v>70912480</v>
      </c>
      <c r="I11" s="214">
        <f t="shared" si="8"/>
        <v>0</v>
      </c>
      <c r="J11" s="214">
        <f t="shared" si="8"/>
        <v>-70912480</v>
      </c>
      <c r="K11" s="213"/>
      <c r="L11" s="216">
        <f t="shared" si="7"/>
        <v>141824960</v>
      </c>
      <c r="M11" s="217"/>
      <c r="N11" s="217"/>
      <c r="O11" s="218"/>
      <c r="P11" s="218"/>
      <c r="Q11" s="218"/>
      <c r="R11" s="218"/>
      <c r="S11" s="218"/>
      <c r="T11" s="218"/>
      <c r="U11" s="218"/>
      <c r="V11" s="218"/>
      <c r="W11" s="218"/>
      <c r="X11" s="218"/>
      <c r="Y11" s="218"/>
      <c r="Z11" s="218"/>
      <c r="AA11" s="218"/>
      <c r="AB11" s="218"/>
    </row>
    <row r="12" spans="1:28" ht="15.75" customHeight="1">
      <c r="A12" s="212" t="s">
        <v>141</v>
      </c>
      <c r="B12" s="213"/>
      <c r="C12" s="213">
        <v>0</v>
      </c>
      <c r="D12" s="224"/>
      <c r="E12" s="224"/>
      <c r="F12" s="213">
        <f t="shared" ref="F12:F13" si="9">C12-D12</f>
        <v>0</v>
      </c>
      <c r="G12" s="225"/>
      <c r="H12" s="213">
        <f t="shared" ref="H12:H13" si="10">F12-G12</f>
        <v>0</v>
      </c>
      <c r="I12" s="215"/>
      <c r="J12" s="213"/>
      <c r="K12" s="213"/>
      <c r="L12" s="216">
        <f t="shared" si="7"/>
        <v>0</v>
      </c>
      <c r="M12" s="217"/>
      <c r="N12" s="217"/>
      <c r="O12" s="218"/>
      <c r="P12" s="218"/>
      <c r="Q12" s="218"/>
      <c r="R12" s="218"/>
      <c r="S12" s="218"/>
      <c r="T12" s="218"/>
      <c r="U12" s="218"/>
      <c r="V12" s="218"/>
      <c r="W12" s="218"/>
      <c r="X12" s="218"/>
      <c r="Y12" s="218"/>
      <c r="Z12" s="218"/>
      <c r="AA12" s="218"/>
      <c r="AB12" s="218"/>
    </row>
    <row r="13" spans="1:28" ht="15.75" customHeight="1">
      <c r="A13" s="212" t="s">
        <v>142</v>
      </c>
      <c r="B13" s="213"/>
      <c r="C13" s="213">
        <v>78300000</v>
      </c>
      <c r="D13" s="213">
        <v>7387520</v>
      </c>
      <c r="E13" s="213" t="s">
        <v>126</v>
      </c>
      <c r="F13" s="213">
        <f t="shared" si="9"/>
        <v>70912480</v>
      </c>
      <c r="G13" s="214">
        <v>0</v>
      </c>
      <c r="H13" s="213">
        <f t="shared" si="10"/>
        <v>70912480</v>
      </c>
      <c r="I13" s="215"/>
      <c r="J13" s="213">
        <f>H13*-1</f>
        <v>-70912480</v>
      </c>
      <c r="K13" s="219" t="s">
        <v>143</v>
      </c>
      <c r="L13" s="216">
        <f t="shared" si="7"/>
        <v>141824960</v>
      </c>
      <c r="M13" s="226"/>
      <c r="N13" s="226">
        <f>876500+848225+876500+876500+848226+876500</f>
        <v>5202451</v>
      </c>
      <c r="O13" s="218"/>
      <c r="P13" s="218"/>
      <c r="Q13" s="218"/>
      <c r="R13" s="218"/>
      <c r="S13" s="218"/>
      <c r="T13" s="218"/>
      <c r="U13" s="218"/>
      <c r="V13" s="218"/>
      <c r="W13" s="218"/>
      <c r="X13" s="218"/>
      <c r="Y13" s="218"/>
      <c r="Z13" s="218"/>
      <c r="AA13" s="218"/>
      <c r="AB13" s="218"/>
    </row>
    <row r="14" spans="1:28" ht="15.75" customHeight="1">
      <c r="A14" s="212"/>
      <c r="B14" s="213"/>
      <c r="C14" s="213">
        <f t="shared" ref="C14:J14" si="11">SUM(C15:C25)</f>
        <v>693983400</v>
      </c>
      <c r="D14" s="214">
        <f t="shared" si="11"/>
        <v>615978298.23000002</v>
      </c>
      <c r="E14" s="214">
        <f t="shared" si="11"/>
        <v>0</v>
      </c>
      <c r="F14" s="214">
        <f t="shared" si="11"/>
        <v>78005101.769999996</v>
      </c>
      <c r="G14" s="214">
        <f t="shared" si="11"/>
        <v>45685799</v>
      </c>
      <c r="H14" s="214">
        <f t="shared" si="11"/>
        <v>32319302.77</v>
      </c>
      <c r="I14" s="214">
        <f t="shared" si="11"/>
        <v>0</v>
      </c>
      <c r="J14" s="214">
        <f t="shared" si="11"/>
        <v>-32314484.77</v>
      </c>
      <c r="K14" s="224"/>
      <c r="L14" s="216">
        <f t="shared" si="7"/>
        <v>64633787.539999999</v>
      </c>
      <c r="M14" s="217"/>
      <c r="N14" s="217"/>
      <c r="O14" s="218"/>
      <c r="P14" s="218"/>
      <c r="Q14" s="218"/>
      <c r="R14" s="218"/>
      <c r="S14" s="218"/>
      <c r="T14" s="218"/>
      <c r="U14" s="218"/>
      <c r="V14" s="218"/>
      <c r="W14" s="218"/>
      <c r="X14" s="218"/>
      <c r="Y14" s="218"/>
      <c r="Z14" s="218"/>
      <c r="AA14" s="218"/>
      <c r="AB14" s="218"/>
    </row>
    <row r="15" spans="1:28" ht="15.75" customHeight="1">
      <c r="A15" s="207" t="s">
        <v>144</v>
      </c>
      <c r="B15" s="208"/>
      <c r="C15" s="208">
        <v>340982900</v>
      </c>
      <c r="D15" s="208">
        <v>299569814</v>
      </c>
      <c r="E15" s="208" t="s">
        <v>126</v>
      </c>
      <c r="F15" s="208">
        <f t="shared" ref="F15:F25" si="12">C15-D15</f>
        <v>41413086</v>
      </c>
      <c r="G15" s="209">
        <v>31400000</v>
      </c>
      <c r="H15" s="208">
        <f t="shared" ref="H15:H25" si="13">F15-G15</f>
        <v>10013086</v>
      </c>
      <c r="I15" s="210">
        <f>(I16+I17+I18)*-1</f>
        <v>-5652717</v>
      </c>
      <c r="J15" s="208">
        <f>(I15+H15)*-1</f>
        <v>-4360369</v>
      </c>
      <c r="K15" s="208" t="s">
        <v>145</v>
      </c>
      <c r="L15" s="211">
        <f t="shared" ref="L15:L27" si="14">H15+I15+J15</f>
        <v>0</v>
      </c>
      <c r="M15" s="196"/>
      <c r="N15" s="211">
        <f>876500+848225+876500+876500+848226+876500+16740000</f>
        <v>21942451</v>
      </c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</row>
    <row r="16" spans="1:28" ht="15.75" customHeight="1">
      <c r="A16" s="207" t="s">
        <v>146</v>
      </c>
      <c r="B16" s="208"/>
      <c r="C16" s="208">
        <v>171533800</v>
      </c>
      <c r="D16" s="208">
        <v>171533800</v>
      </c>
      <c r="E16" s="208" t="s">
        <v>126</v>
      </c>
      <c r="F16" s="208">
        <f t="shared" si="12"/>
        <v>0</v>
      </c>
      <c r="G16" s="209">
        <v>100000</v>
      </c>
      <c r="H16" s="208">
        <f t="shared" si="13"/>
        <v>-100000</v>
      </c>
      <c r="I16" s="210">
        <f>H16*-1</f>
        <v>100000</v>
      </c>
      <c r="J16" s="227"/>
      <c r="K16" s="208" t="s">
        <v>145</v>
      </c>
      <c r="L16" s="211">
        <f t="shared" si="14"/>
        <v>0</v>
      </c>
      <c r="M16" s="196"/>
      <c r="N16" s="196"/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199"/>
      <c r="AA16" s="199"/>
      <c r="AB16" s="199"/>
    </row>
    <row r="17" spans="1:28" ht="15.75" customHeight="1">
      <c r="A17" s="207" t="s">
        <v>147</v>
      </c>
      <c r="B17" s="208"/>
      <c r="C17" s="208">
        <v>61434100</v>
      </c>
      <c r="D17" s="208">
        <v>60867100</v>
      </c>
      <c r="E17" s="208" t="s">
        <v>126</v>
      </c>
      <c r="F17" s="208">
        <f t="shared" si="12"/>
        <v>567000</v>
      </c>
      <c r="G17" s="209">
        <v>5589717</v>
      </c>
      <c r="H17" s="228">
        <f t="shared" si="13"/>
        <v>-5022717</v>
      </c>
      <c r="I17" s="210">
        <v>5022717</v>
      </c>
      <c r="J17" s="208"/>
      <c r="K17" s="208" t="s">
        <v>145</v>
      </c>
      <c r="L17" s="211">
        <f t="shared" si="14"/>
        <v>0</v>
      </c>
      <c r="M17" s="197" t="s">
        <v>148</v>
      </c>
      <c r="N17" s="196"/>
      <c r="O17" s="199"/>
      <c r="P17" s="199"/>
      <c r="Q17" s="199"/>
      <c r="R17" s="199"/>
      <c r="S17" s="199"/>
      <c r="T17" s="199"/>
      <c r="U17" s="199"/>
      <c r="V17" s="199"/>
      <c r="W17" s="199"/>
      <c r="X17" s="199"/>
      <c r="Y17" s="199"/>
      <c r="Z17" s="199"/>
      <c r="AA17" s="199"/>
      <c r="AB17" s="199"/>
    </row>
    <row r="18" spans="1:28" ht="15.75" customHeight="1">
      <c r="A18" s="207" t="s">
        <v>149</v>
      </c>
      <c r="B18" s="208"/>
      <c r="C18" s="208">
        <v>29647600</v>
      </c>
      <c r="D18" s="208">
        <v>27085600</v>
      </c>
      <c r="E18" s="208" t="s">
        <v>126</v>
      </c>
      <c r="F18" s="208">
        <f t="shared" si="12"/>
        <v>2562000</v>
      </c>
      <c r="G18" s="209">
        <v>3087182</v>
      </c>
      <c r="H18" s="208">
        <f t="shared" si="13"/>
        <v>-525182</v>
      </c>
      <c r="I18" s="210">
        <v>530000</v>
      </c>
      <c r="J18" s="227"/>
      <c r="K18" s="208" t="s">
        <v>145</v>
      </c>
      <c r="L18" s="211">
        <f t="shared" si="14"/>
        <v>4818</v>
      </c>
      <c r="M18" s="196"/>
      <c r="N18" s="196"/>
      <c r="O18" s="199"/>
      <c r="P18" s="199"/>
      <c r="Q18" s="199"/>
      <c r="R18" s="199"/>
      <c r="S18" s="199"/>
      <c r="T18" s="199"/>
      <c r="U18" s="199"/>
      <c r="V18" s="199"/>
      <c r="W18" s="199"/>
      <c r="X18" s="199"/>
      <c r="Y18" s="199"/>
      <c r="Z18" s="199"/>
      <c r="AA18" s="199"/>
      <c r="AB18" s="199"/>
    </row>
    <row r="19" spans="1:28" ht="15.75" customHeight="1">
      <c r="A19" s="207" t="s">
        <v>150</v>
      </c>
      <c r="B19" s="208"/>
      <c r="C19" s="208">
        <v>12739000</v>
      </c>
      <c r="D19" s="208">
        <v>11407033</v>
      </c>
      <c r="E19" s="208" t="s">
        <v>126</v>
      </c>
      <c r="F19" s="208">
        <f t="shared" si="12"/>
        <v>1331967</v>
      </c>
      <c r="G19" s="209">
        <v>905000</v>
      </c>
      <c r="H19" s="208">
        <f t="shared" si="13"/>
        <v>426967</v>
      </c>
      <c r="I19" s="210"/>
      <c r="J19" s="208">
        <v>-426967</v>
      </c>
      <c r="K19" s="208" t="s">
        <v>145</v>
      </c>
      <c r="L19" s="211">
        <f t="shared" si="14"/>
        <v>0</v>
      </c>
      <c r="M19" s="196"/>
      <c r="N19" s="196"/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199"/>
      <c r="Z19" s="199"/>
      <c r="AA19" s="199"/>
      <c r="AB19" s="199"/>
    </row>
    <row r="20" spans="1:28" ht="15.75" customHeight="1">
      <c r="A20" s="207" t="s">
        <v>151</v>
      </c>
      <c r="B20" s="208"/>
      <c r="C20" s="208">
        <v>13426400</v>
      </c>
      <c r="D20" s="208">
        <v>12159254</v>
      </c>
      <c r="E20" s="208" t="s">
        <v>126</v>
      </c>
      <c r="F20" s="208">
        <f t="shared" si="12"/>
        <v>1267146</v>
      </c>
      <c r="G20" s="209">
        <v>850000</v>
      </c>
      <c r="H20" s="208">
        <f t="shared" si="13"/>
        <v>417146</v>
      </c>
      <c r="I20" s="210"/>
      <c r="J20" s="208">
        <v>-417146</v>
      </c>
      <c r="K20" s="208" t="s">
        <v>145</v>
      </c>
      <c r="L20" s="211">
        <f t="shared" si="14"/>
        <v>0</v>
      </c>
      <c r="M20" s="196"/>
      <c r="N20" s="196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199"/>
      <c r="AB20" s="199"/>
    </row>
    <row r="21" spans="1:28" ht="15.75" customHeight="1">
      <c r="A21" s="212" t="s">
        <v>152</v>
      </c>
      <c r="B21" s="213"/>
      <c r="C21" s="213">
        <v>8428000</v>
      </c>
      <c r="D21" s="213">
        <v>271758.84000000003</v>
      </c>
      <c r="E21" s="213" t="s">
        <v>126</v>
      </c>
      <c r="F21" s="213">
        <f t="shared" si="12"/>
        <v>8156241.1600000001</v>
      </c>
      <c r="G21" s="214">
        <v>0</v>
      </c>
      <c r="H21" s="213">
        <f t="shared" si="13"/>
        <v>8156241.1600000001</v>
      </c>
      <c r="I21" s="215"/>
      <c r="J21" s="213">
        <v>-8156241.1600000001</v>
      </c>
      <c r="K21" s="213" t="s">
        <v>153</v>
      </c>
      <c r="L21" s="211">
        <f t="shared" si="14"/>
        <v>0</v>
      </c>
      <c r="M21" s="221" t="s">
        <v>153</v>
      </c>
      <c r="N21" s="217"/>
      <c r="O21" s="218"/>
      <c r="P21" s="218"/>
      <c r="Q21" s="218"/>
      <c r="R21" s="218"/>
      <c r="S21" s="218"/>
      <c r="T21" s="218"/>
      <c r="U21" s="218"/>
      <c r="V21" s="218"/>
      <c r="W21" s="218"/>
      <c r="X21" s="218"/>
      <c r="Y21" s="218"/>
      <c r="Z21" s="218"/>
      <c r="AA21" s="218"/>
      <c r="AB21" s="218"/>
    </row>
    <row r="22" spans="1:28" ht="15.75" customHeight="1">
      <c r="A22" s="212" t="s">
        <v>154</v>
      </c>
      <c r="B22" s="213"/>
      <c r="C22" s="213">
        <v>6620000</v>
      </c>
      <c r="D22" s="213">
        <v>1541076.39</v>
      </c>
      <c r="E22" s="213" t="s">
        <v>126</v>
      </c>
      <c r="F22" s="213">
        <f t="shared" si="12"/>
        <v>5078923.6100000003</v>
      </c>
      <c r="G22" s="214">
        <v>117000</v>
      </c>
      <c r="H22" s="213">
        <f t="shared" si="13"/>
        <v>4961923.6100000003</v>
      </c>
      <c r="I22" s="215"/>
      <c r="J22" s="213">
        <f t="shared" ref="J22:J23" si="15">(H22-I22)*-1</f>
        <v>-4961923.6100000003</v>
      </c>
      <c r="K22" s="213" t="s">
        <v>155</v>
      </c>
      <c r="L22" s="211">
        <f t="shared" si="14"/>
        <v>0</v>
      </c>
      <c r="M22" s="217"/>
      <c r="N22" s="217"/>
      <c r="O22" s="218"/>
      <c r="P22" s="218"/>
      <c r="Q22" s="218"/>
      <c r="R22" s="218"/>
      <c r="S22" s="218"/>
      <c r="T22" s="218"/>
      <c r="U22" s="218"/>
      <c r="V22" s="218"/>
      <c r="W22" s="218"/>
      <c r="X22" s="218"/>
      <c r="Y22" s="218"/>
      <c r="Z22" s="218"/>
      <c r="AA22" s="218"/>
      <c r="AB22" s="218"/>
    </row>
    <row r="23" spans="1:28" ht="15.75" customHeight="1">
      <c r="A23" s="212" t="s">
        <v>156</v>
      </c>
      <c r="B23" s="213"/>
      <c r="C23" s="213">
        <v>6500000</v>
      </c>
      <c r="D23" s="213">
        <v>5198802</v>
      </c>
      <c r="E23" s="213" t="s">
        <v>126</v>
      </c>
      <c r="F23" s="213">
        <f t="shared" si="12"/>
        <v>1301198</v>
      </c>
      <c r="G23" s="214">
        <v>618400</v>
      </c>
      <c r="H23" s="213">
        <f t="shared" si="13"/>
        <v>682798</v>
      </c>
      <c r="I23" s="215"/>
      <c r="J23" s="213">
        <f t="shared" si="15"/>
        <v>-682798</v>
      </c>
      <c r="K23" s="213" t="s">
        <v>157</v>
      </c>
      <c r="L23" s="211">
        <f t="shared" si="14"/>
        <v>0</v>
      </c>
      <c r="M23" s="221">
        <v>680759</v>
      </c>
      <c r="N23" s="216">
        <f t="shared" ref="N23:N24" si="16">J23+M23</f>
        <v>-2039</v>
      </c>
      <c r="O23" s="218"/>
      <c r="P23" s="218"/>
      <c r="Q23" s="218"/>
      <c r="R23" s="218"/>
      <c r="S23" s="218"/>
      <c r="T23" s="218"/>
      <c r="U23" s="218"/>
      <c r="V23" s="218"/>
      <c r="W23" s="218"/>
      <c r="X23" s="218"/>
      <c r="Y23" s="218"/>
      <c r="Z23" s="218"/>
      <c r="AA23" s="218"/>
      <c r="AB23" s="218"/>
    </row>
    <row r="24" spans="1:28" ht="15.75" customHeight="1">
      <c r="A24" s="212" t="s">
        <v>158</v>
      </c>
      <c r="B24" s="213"/>
      <c r="C24" s="213">
        <v>26065600</v>
      </c>
      <c r="D24" s="213">
        <v>15227672</v>
      </c>
      <c r="E24" s="213" t="s">
        <v>126</v>
      </c>
      <c r="F24" s="213">
        <f t="shared" si="12"/>
        <v>10837928</v>
      </c>
      <c r="G24" s="214">
        <v>1718500</v>
      </c>
      <c r="H24" s="213">
        <f t="shared" si="13"/>
        <v>9119428</v>
      </c>
      <c r="I24" s="220"/>
      <c r="J24" s="213">
        <f>H24*-1</f>
        <v>-9119428</v>
      </c>
      <c r="K24" s="213" t="s">
        <v>159</v>
      </c>
      <c r="L24" s="211">
        <f t="shared" si="14"/>
        <v>0</v>
      </c>
      <c r="M24" s="221">
        <v>9113015</v>
      </c>
      <c r="N24" s="216">
        <f t="shared" si="16"/>
        <v>-6413</v>
      </c>
      <c r="O24" s="218"/>
      <c r="P24" s="218"/>
      <c r="Q24" s="218"/>
      <c r="R24" s="218"/>
      <c r="S24" s="218"/>
      <c r="T24" s="218"/>
      <c r="U24" s="218"/>
      <c r="V24" s="218"/>
      <c r="W24" s="218"/>
      <c r="X24" s="218"/>
      <c r="Y24" s="218"/>
      <c r="Z24" s="218"/>
      <c r="AA24" s="218"/>
      <c r="AB24" s="218"/>
    </row>
    <row r="25" spans="1:28" ht="15.75" customHeight="1">
      <c r="A25" s="207" t="s">
        <v>160</v>
      </c>
      <c r="B25" s="208"/>
      <c r="C25" s="208">
        <v>16606000</v>
      </c>
      <c r="D25" s="208">
        <v>11116388</v>
      </c>
      <c r="E25" s="208" t="s">
        <v>126</v>
      </c>
      <c r="F25" s="208">
        <f t="shared" si="12"/>
        <v>5489612</v>
      </c>
      <c r="G25" s="209">
        <v>1300000</v>
      </c>
      <c r="H25" s="208">
        <f t="shared" si="13"/>
        <v>4189612</v>
      </c>
      <c r="I25" s="210"/>
      <c r="J25" s="208">
        <f>(H25+I25)*-1</f>
        <v>-4189612</v>
      </c>
      <c r="K25" s="208" t="s">
        <v>145</v>
      </c>
      <c r="L25" s="211">
        <f t="shared" si="14"/>
        <v>0</v>
      </c>
      <c r="M25" s="196"/>
      <c r="N25" s="196"/>
      <c r="O25" s="199"/>
      <c r="P25" s="199"/>
      <c r="Q25" s="199"/>
      <c r="R25" s="199"/>
      <c r="S25" s="199"/>
      <c r="T25" s="199"/>
      <c r="U25" s="199"/>
      <c r="V25" s="199"/>
      <c r="W25" s="199"/>
      <c r="X25" s="199"/>
      <c r="Y25" s="199"/>
      <c r="Z25" s="199"/>
      <c r="AA25" s="199"/>
      <c r="AB25" s="199"/>
    </row>
    <row r="26" spans="1:28" ht="15.75" customHeight="1">
      <c r="A26" s="229"/>
      <c r="B26" s="230"/>
      <c r="C26" s="230">
        <f t="shared" ref="C26:J26" si="17">SUM(C27:C29)</f>
        <v>919708800</v>
      </c>
      <c r="D26" s="231">
        <f t="shared" si="17"/>
        <v>4841130</v>
      </c>
      <c r="E26" s="231">
        <f t="shared" si="17"/>
        <v>0</v>
      </c>
      <c r="F26" s="231">
        <f t="shared" si="17"/>
        <v>914820870</v>
      </c>
      <c r="G26" s="231">
        <f t="shared" si="17"/>
        <v>290457000</v>
      </c>
      <c r="H26" s="231">
        <f t="shared" si="17"/>
        <v>624363870</v>
      </c>
      <c r="I26" s="231">
        <f t="shared" si="17"/>
        <v>0</v>
      </c>
      <c r="J26" s="231">
        <f t="shared" si="17"/>
        <v>633363870</v>
      </c>
      <c r="K26" s="232"/>
      <c r="L26" s="211">
        <f t="shared" si="14"/>
        <v>1257727740</v>
      </c>
      <c r="M26" s="196"/>
      <c r="N26" s="196"/>
      <c r="O26" s="199"/>
      <c r="P26" s="199"/>
      <c r="Q26" s="199"/>
      <c r="R26" s="199"/>
      <c r="S26" s="199"/>
      <c r="T26" s="199"/>
      <c r="U26" s="199"/>
      <c r="V26" s="199"/>
      <c r="W26" s="199"/>
      <c r="X26" s="199"/>
      <c r="Y26" s="199"/>
      <c r="Z26" s="199"/>
      <c r="AA26" s="199"/>
      <c r="AB26" s="199"/>
    </row>
    <row r="27" spans="1:28" ht="15.75" customHeight="1">
      <c r="A27" s="212" t="s">
        <v>161</v>
      </c>
      <c r="B27" s="213"/>
      <c r="C27" s="213">
        <v>46800</v>
      </c>
      <c r="D27" s="213">
        <v>0</v>
      </c>
      <c r="E27" s="213" t="s">
        <v>126</v>
      </c>
      <c r="F27" s="213">
        <v>0</v>
      </c>
      <c r="G27" s="214">
        <v>0</v>
      </c>
      <c r="H27" s="213">
        <f t="shared" ref="H27:H31" si="18">F27-G27</f>
        <v>0</v>
      </c>
      <c r="I27" s="215"/>
      <c r="J27" s="224"/>
      <c r="K27" s="224"/>
      <c r="L27" s="211">
        <f t="shared" si="14"/>
        <v>0</v>
      </c>
      <c r="M27" s="217"/>
      <c r="N27" s="217"/>
      <c r="O27" s="218"/>
      <c r="P27" s="218"/>
      <c r="Q27" s="218"/>
      <c r="R27" s="218"/>
      <c r="S27" s="218"/>
      <c r="T27" s="218"/>
      <c r="U27" s="218"/>
      <c r="V27" s="218"/>
      <c r="W27" s="218"/>
      <c r="X27" s="218"/>
      <c r="Y27" s="218"/>
      <c r="Z27" s="218"/>
      <c r="AA27" s="218"/>
      <c r="AB27" s="218"/>
    </row>
    <row r="28" spans="1:28" ht="15.75" customHeight="1">
      <c r="A28" s="233" t="s">
        <v>162</v>
      </c>
      <c r="B28" s="234"/>
      <c r="C28" s="234">
        <v>9150000</v>
      </c>
      <c r="D28" s="234">
        <v>4841130</v>
      </c>
      <c r="E28" s="234" t="s">
        <v>126</v>
      </c>
      <c r="F28" s="234">
        <f t="shared" ref="F28:F31" si="19">C28-D28</f>
        <v>4308870</v>
      </c>
      <c r="G28" s="235">
        <f>2600000+400000</f>
        <v>3000000</v>
      </c>
      <c r="H28" s="234">
        <f t="shared" si="18"/>
        <v>1308870</v>
      </c>
      <c r="I28" s="236"/>
      <c r="J28" s="234">
        <f>H28</f>
        <v>1308870</v>
      </c>
      <c r="K28" s="234" t="s">
        <v>145</v>
      </c>
      <c r="L28" s="211">
        <f t="shared" ref="L28:L32" si="20">H28-J28</f>
        <v>0</v>
      </c>
      <c r="M28" s="196"/>
      <c r="N28" s="196"/>
      <c r="O28" s="199"/>
      <c r="P28" s="199"/>
      <c r="Q28" s="199"/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</row>
    <row r="29" spans="1:28" ht="15.75" customHeight="1">
      <c r="A29" s="212" t="s">
        <v>163</v>
      </c>
      <c r="B29" s="213"/>
      <c r="C29" s="213">
        <v>910512000</v>
      </c>
      <c r="D29" s="213">
        <v>0</v>
      </c>
      <c r="E29" s="224"/>
      <c r="F29" s="213">
        <f t="shared" si="19"/>
        <v>910512000</v>
      </c>
      <c r="G29" s="214">
        <v>287457000</v>
      </c>
      <c r="H29" s="213">
        <f t="shared" si="18"/>
        <v>623055000</v>
      </c>
      <c r="I29" s="215"/>
      <c r="J29" s="213">
        <v>632055000</v>
      </c>
      <c r="K29" s="213" t="s">
        <v>164</v>
      </c>
      <c r="L29" s="216">
        <f t="shared" si="20"/>
        <v>-9000000</v>
      </c>
      <c r="M29" s="217"/>
      <c r="N29" s="217"/>
      <c r="O29" s="218"/>
      <c r="P29" s="218"/>
      <c r="Q29" s="218"/>
      <c r="R29" s="218"/>
      <c r="S29" s="218"/>
      <c r="T29" s="218"/>
      <c r="U29" s="218"/>
      <c r="V29" s="218"/>
      <c r="W29" s="218"/>
      <c r="X29" s="218"/>
      <c r="Y29" s="218"/>
      <c r="Z29" s="218"/>
      <c r="AA29" s="218"/>
      <c r="AB29" s="218"/>
    </row>
    <row r="30" spans="1:28" ht="15.75" customHeight="1">
      <c r="A30" s="212" t="s">
        <v>165</v>
      </c>
      <c r="B30" s="213"/>
      <c r="C30" s="213">
        <v>1401500</v>
      </c>
      <c r="D30" s="213">
        <v>989280</v>
      </c>
      <c r="E30" s="224"/>
      <c r="F30" s="213">
        <f t="shared" si="19"/>
        <v>412220</v>
      </c>
      <c r="G30" s="214">
        <v>412220</v>
      </c>
      <c r="H30" s="213">
        <f t="shared" si="18"/>
        <v>0</v>
      </c>
      <c r="I30" s="215"/>
      <c r="J30" s="213">
        <f>H30</f>
        <v>0</v>
      </c>
      <c r="K30" s="213"/>
      <c r="L30" s="216">
        <f t="shared" si="20"/>
        <v>0</v>
      </c>
      <c r="M30" s="217"/>
      <c r="N30" s="217"/>
      <c r="O30" s="218"/>
      <c r="P30" s="218"/>
      <c r="Q30" s="218"/>
      <c r="R30" s="218"/>
      <c r="S30" s="218"/>
      <c r="T30" s="218"/>
      <c r="U30" s="218"/>
      <c r="V30" s="218"/>
      <c r="W30" s="218"/>
      <c r="X30" s="218"/>
      <c r="Y30" s="218"/>
      <c r="Z30" s="218"/>
      <c r="AA30" s="218"/>
      <c r="AB30" s="218"/>
    </row>
    <row r="31" spans="1:28" ht="15.75" customHeight="1">
      <c r="A31" s="237"/>
      <c r="B31" s="224"/>
      <c r="C31" s="224"/>
      <c r="D31" s="224"/>
      <c r="E31" s="224"/>
      <c r="F31" s="213">
        <f t="shared" si="19"/>
        <v>0</v>
      </c>
      <c r="G31" s="225"/>
      <c r="H31" s="213">
        <f t="shared" si="18"/>
        <v>0</v>
      </c>
      <c r="I31" s="215"/>
      <c r="J31" s="224"/>
      <c r="K31" s="224"/>
      <c r="L31" s="216">
        <f t="shared" si="20"/>
        <v>0</v>
      </c>
      <c r="M31" s="217"/>
      <c r="N31" s="217"/>
      <c r="O31" s="218"/>
      <c r="P31" s="218"/>
      <c r="Q31" s="218"/>
      <c r="R31" s="218"/>
      <c r="S31" s="218"/>
      <c r="T31" s="218"/>
      <c r="U31" s="218"/>
      <c r="V31" s="218"/>
      <c r="W31" s="218"/>
      <c r="X31" s="218"/>
      <c r="Y31" s="218"/>
      <c r="Z31" s="218"/>
      <c r="AA31" s="218"/>
      <c r="AB31" s="218"/>
    </row>
    <row r="32" spans="1:28" ht="15.75" customHeight="1">
      <c r="A32" s="238" t="s">
        <v>166</v>
      </c>
      <c r="B32" s="231"/>
      <c r="C32" s="231">
        <f t="shared" ref="C32:J32" si="21">C30+C26+C14+C11+C7+C3</f>
        <v>2051549300</v>
      </c>
      <c r="D32" s="231">
        <f t="shared" si="21"/>
        <v>848334423.04000008</v>
      </c>
      <c r="E32" s="231">
        <f t="shared" si="21"/>
        <v>0</v>
      </c>
      <c r="F32" s="231">
        <f t="shared" si="21"/>
        <v>1203168076.96</v>
      </c>
      <c r="G32" s="231">
        <f t="shared" si="21"/>
        <v>391724070.75999999</v>
      </c>
      <c r="H32" s="231">
        <f t="shared" si="21"/>
        <v>811444006.19999993</v>
      </c>
      <c r="I32" s="231">
        <f t="shared" si="21"/>
        <v>0</v>
      </c>
      <c r="J32" s="231">
        <f t="shared" si="21"/>
        <v>446297405.23000002</v>
      </c>
      <c r="K32" s="239"/>
      <c r="L32" s="240">
        <f t="shared" si="20"/>
        <v>365146600.96999991</v>
      </c>
      <c r="M32" s="241"/>
      <c r="N32" s="241"/>
      <c r="O32" s="242"/>
      <c r="P32" s="242"/>
      <c r="Q32" s="242"/>
      <c r="R32" s="242"/>
      <c r="S32" s="242"/>
      <c r="T32" s="242"/>
      <c r="U32" s="242"/>
      <c r="V32" s="242"/>
      <c r="W32" s="242"/>
      <c r="X32" s="242"/>
      <c r="Y32" s="242"/>
      <c r="Z32" s="242"/>
      <c r="AA32" s="242"/>
      <c r="AB32" s="242"/>
    </row>
    <row r="33" spans="1:28" ht="15.75" customHeight="1">
      <c r="A33" s="196"/>
      <c r="B33" s="196"/>
      <c r="C33" s="196"/>
      <c r="D33" s="196"/>
      <c r="E33" s="197" t="s">
        <v>126</v>
      </c>
      <c r="F33" s="197"/>
      <c r="G33" s="198"/>
      <c r="H33" s="196"/>
      <c r="I33" s="243"/>
      <c r="J33" s="196"/>
      <c r="K33" s="196"/>
      <c r="L33" s="196"/>
      <c r="M33" s="196"/>
      <c r="N33" s="196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</row>
    <row r="34" spans="1:28" ht="15.75" customHeight="1">
      <c r="A34" s="196"/>
      <c r="B34" s="196"/>
      <c r="C34" s="196"/>
      <c r="D34" s="196"/>
      <c r="E34" s="197" t="s">
        <v>126</v>
      </c>
      <c r="F34" s="196"/>
      <c r="G34" s="198"/>
      <c r="H34" s="196"/>
      <c r="I34" s="196"/>
      <c r="J34" s="196"/>
      <c r="K34" s="196"/>
      <c r="L34" s="196"/>
      <c r="M34" s="196"/>
      <c r="N34" s="196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</row>
    <row r="35" spans="1:28" ht="12.75">
      <c r="A35" s="199"/>
      <c r="B35" s="199"/>
      <c r="C35" s="199"/>
      <c r="D35" s="199"/>
      <c r="E35" s="199"/>
      <c r="F35" s="199"/>
      <c r="G35" s="244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</row>
    <row r="36" spans="1:28" ht="12.75">
      <c r="A36" s="199"/>
      <c r="B36" s="199"/>
      <c r="C36" s="199"/>
      <c r="D36" s="199"/>
      <c r="E36" s="199"/>
      <c r="F36" s="199"/>
      <c r="G36" s="244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</row>
    <row r="37" spans="1:28" ht="12.75">
      <c r="A37" s="199"/>
      <c r="B37" s="199"/>
      <c r="C37" s="199"/>
      <c r="D37" s="199"/>
      <c r="E37" s="199"/>
      <c r="F37" s="199"/>
      <c r="G37" s="244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</row>
    <row r="38" spans="1:28" ht="12.75">
      <c r="A38" s="199"/>
      <c r="B38" s="199"/>
      <c r="C38" s="199"/>
      <c r="D38" s="199"/>
      <c r="E38" s="199"/>
      <c r="F38" s="199"/>
      <c r="G38" s="244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</row>
    <row r="39" spans="1:28" ht="12.75">
      <c r="A39" s="199"/>
      <c r="B39" s="199"/>
      <c r="C39" s="199"/>
      <c r="D39" s="199"/>
      <c r="E39" s="199"/>
      <c r="F39" s="199"/>
      <c r="G39" s="244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</row>
    <row r="40" spans="1:28" ht="12.75">
      <c r="A40" s="199"/>
      <c r="B40" s="199"/>
      <c r="C40" s="199"/>
      <c r="D40" s="199"/>
      <c r="E40" s="199"/>
      <c r="F40" s="199"/>
      <c r="G40" s="244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</row>
    <row r="41" spans="1:28" ht="12.75">
      <c r="A41" s="199"/>
      <c r="B41" s="199"/>
      <c r="C41" s="199"/>
      <c r="D41" s="199"/>
      <c r="E41" s="199"/>
      <c r="F41" s="199"/>
      <c r="G41" s="244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</row>
    <row r="42" spans="1:28" ht="12.75">
      <c r="A42" s="199"/>
      <c r="B42" s="199"/>
      <c r="C42" s="199"/>
      <c r="D42" s="199"/>
      <c r="E42" s="199"/>
      <c r="F42" s="199"/>
      <c r="G42" s="244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</row>
    <row r="43" spans="1:28" ht="12.75">
      <c r="A43" s="199"/>
      <c r="B43" s="199"/>
      <c r="C43" s="199"/>
      <c r="D43" s="199"/>
      <c r="E43" s="199"/>
      <c r="F43" s="199"/>
      <c r="G43" s="244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</row>
    <row r="44" spans="1:28" ht="12.75">
      <c r="A44" s="199"/>
      <c r="B44" s="199"/>
      <c r="C44" s="199"/>
      <c r="D44" s="199"/>
      <c r="E44" s="199"/>
      <c r="F44" s="199"/>
      <c r="G44" s="244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</row>
    <row r="45" spans="1:28" ht="12.75">
      <c r="A45" s="199"/>
      <c r="B45" s="199"/>
      <c r="C45" s="199"/>
      <c r="D45" s="199"/>
      <c r="E45" s="199"/>
      <c r="F45" s="199"/>
      <c r="G45" s="244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</row>
    <row r="46" spans="1:28" ht="12.75">
      <c r="A46" s="199"/>
      <c r="B46" s="199"/>
      <c r="C46" s="199"/>
      <c r="D46" s="199"/>
      <c r="E46" s="199"/>
      <c r="F46" s="199"/>
      <c r="G46" s="244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</row>
    <row r="47" spans="1:28" ht="12.75">
      <c r="A47" s="199"/>
      <c r="B47" s="199"/>
      <c r="C47" s="199"/>
      <c r="D47" s="199"/>
      <c r="E47" s="199"/>
      <c r="F47" s="199"/>
      <c r="G47" s="244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</row>
    <row r="48" spans="1:28" ht="12.75">
      <c r="A48" s="199"/>
      <c r="B48" s="199"/>
      <c r="C48" s="199"/>
      <c r="D48" s="199"/>
      <c r="E48" s="199"/>
      <c r="F48" s="199"/>
      <c r="G48" s="244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</row>
    <row r="49" spans="1:28" ht="12.75">
      <c r="A49" s="199"/>
      <c r="B49" s="199"/>
      <c r="C49" s="199"/>
      <c r="D49" s="199"/>
      <c r="E49" s="199"/>
      <c r="F49" s="199"/>
      <c r="G49" s="244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</row>
    <row r="50" spans="1:28" ht="12.75">
      <c r="A50" s="199"/>
      <c r="B50" s="199"/>
      <c r="C50" s="199"/>
      <c r="D50" s="199"/>
      <c r="E50" s="199"/>
      <c r="F50" s="199"/>
      <c r="G50" s="244"/>
      <c r="H50" s="199"/>
      <c r="I50" s="199"/>
      <c r="J50" s="199"/>
      <c r="K50" s="199"/>
      <c r="L50" s="199"/>
      <c r="M50" s="199"/>
      <c r="N50" s="199"/>
      <c r="O50" s="199"/>
      <c r="P50" s="199"/>
      <c r="Q50" s="199"/>
      <c r="R50" s="199"/>
      <c r="S50" s="199"/>
      <c r="T50" s="199"/>
      <c r="U50" s="199"/>
      <c r="V50" s="199"/>
      <c r="W50" s="199"/>
      <c r="X50" s="199"/>
      <c r="Y50" s="199"/>
      <c r="Z50" s="199"/>
      <c r="AA50" s="199"/>
      <c r="AB50" s="199"/>
    </row>
    <row r="51" spans="1:28" ht="12.75">
      <c r="A51" s="199"/>
      <c r="B51" s="199"/>
      <c r="C51" s="199"/>
      <c r="D51" s="199"/>
      <c r="E51" s="199"/>
      <c r="F51" s="199"/>
      <c r="G51" s="244"/>
      <c r="H51" s="199"/>
      <c r="I51" s="199"/>
      <c r="J51" s="199"/>
      <c r="K51" s="199"/>
      <c r="L51" s="199"/>
      <c r="M51" s="199"/>
      <c r="N51" s="199"/>
      <c r="O51" s="199"/>
      <c r="P51" s="199"/>
      <c r="Q51" s="199"/>
      <c r="R51" s="199"/>
      <c r="S51" s="199"/>
      <c r="T51" s="199"/>
      <c r="U51" s="199"/>
      <c r="V51" s="199"/>
      <c r="W51" s="199"/>
      <c r="X51" s="199"/>
      <c r="Y51" s="199"/>
      <c r="Z51" s="199"/>
      <c r="AA51" s="199"/>
      <c r="AB51" s="199"/>
    </row>
    <row r="52" spans="1:28" ht="12.75">
      <c r="A52" s="199"/>
      <c r="B52" s="199"/>
      <c r="C52" s="199"/>
      <c r="D52" s="199"/>
      <c r="E52" s="199"/>
      <c r="F52" s="199"/>
      <c r="G52" s="244"/>
      <c r="H52" s="199"/>
      <c r="I52" s="199"/>
      <c r="J52" s="199"/>
      <c r="K52" s="199"/>
      <c r="L52" s="199"/>
      <c r="M52" s="199"/>
      <c r="N52" s="199"/>
      <c r="O52" s="199"/>
      <c r="P52" s="199"/>
      <c r="Q52" s="199"/>
      <c r="R52" s="199"/>
      <c r="S52" s="199"/>
      <c r="T52" s="199"/>
      <c r="U52" s="199"/>
      <c r="V52" s="199"/>
      <c r="W52" s="199"/>
      <c r="X52" s="199"/>
      <c r="Y52" s="199"/>
      <c r="Z52" s="199"/>
      <c r="AA52" s="199"/>
      <c r="AB52" s="199"/>
    </row>
    <row r="53" spans="1:28" ht="12.75">
      <c r="A53" s="199"/>
      <c r="B53" s="199"/>
      <c r="C53" s="199"/>
      <c r="D53" s="199"/>
      <c r="E53" s="199"/>
      <c r="F53" s="199"/>
      <c r="G53" s="244"/>
      <c r="H53" s="199"/>
      <c r="I53" s="199"/>
      <c r="J53" s="199"/>
      <c r="K53" s="199"/>
      <c r="L53" s="199"/>
      <c r="M53" s="199"/>
      <c r="N53" s="199"/>
      <c r="O53" s="199"/>
      <c r="P53" s="199"/>
      <c r="Q53" s="199"/>
      <c r="R53" s="199"/>
      <c r="S53" s="199"/>
      <c r="T53" s="199"/>
      <c r="U53" s="199"/>
      <c r="V53" s="199"/>
      <c r="W53" s="199"/>
      <c r="X53" s="199"/>
      <c r="Y53" s="199"/>
      <c r="Z53" s="199"/>
      <c r="AA53" s="199"/>
      <c r="AB53" s="199"/>
    </row>
    <row r="54" spans="1:28" ht="12.75">
      <c r="A54" s="199"/>
      <c r="B54" s="199"/>
      <c r="C54" s="199"/>
      <c r="D54" s="199"/>
      <c r="E54" s="199"/>
      <c r="F54" s="199"/>
      <c r="G54" s="244"/>
      <c r="H54" s="199"/>
      <c r="I54" s="199"/>
      <c r="J54" s="199"/>
      <c r="K54" s="199"/>
      <c r="L54" s="199"/>
      <c r="M54" s="199"/>
      <c r="N54" s="199"/>
      <c r="O54" s="199"/>
      <c r="P54" s="199"/>
      <c r="Q54" s="199"/>
      <c r="R54" s="199"/>
      <c r="S54" s="199"/>
      <c r="T54" s="199"/>
      <c r="U54" s="199"/>
      <c r="V54" s="199"/>
      <c r="W54" s="199"/>
      <c r="X54" s="199"/>
      <c r="Y54" s="199"/>
      <c r="Z54" s="199"/>
      <c r="AA54" s="199"/>
      <c r="AB54" s="199"/>
    </row>
    <row r="55" spans="1:28" ht="12.75">
      <c r="A55" s="199"/>
      <c r="B55" s="199"/>
      <c r="C55" s="199"/>
      <c r="D55" s="199"/>
      <c r="E55" s="199"/>
      <c r="F55" s="199"/>
      <c r="G55" s="244"/>
      <c r="H55" s="199"/>
      <c r="I55" s="199"/>
      <c r="J55" s="199"/>
      <c r="K55" s="199"/>
      <c r="L55" s="199"/>
      <c r="M55" s="199"/>
      <c r="N55" s="199"/>
      <c r="O55" s="199"/>
      <c r="P55" s="199"/>
      <c r="Q55" s="199"/>
      <c r="R55" s="199"/>
      <c r="S55" s="199"/>
      <c r="T55" s="199"/>
      <c r="U55" s="199"/>
      <c r="V55" s="199"/>
      <c r="W55" s="199"/>
      <c r="X55" s="199"/>
      <c r="Y55" s="199"/>
      <c r="Z55" s="199"/>
      <c r="AA55" s="199"/>
      <c r="AB55" s="199"/>
    </row>
    <row r="56" spans="1:28" ht="12.75">
      <c r="A56" s="199"/>
      <c r="B56" s="199"/>
      <c r="C56" s="199"/>
      <c r="D56" s="199"/>
      <c r="E56" s="199"/>
      <c r="F56" s="199"/>
      <c r="G56" s="244"/>
      <c r="H56" s="199"/>
      <c r="I56" s="199"/>
      <c r="J56" s="199"/>
      <c r="K56" s="199"/>
      <c r="L56" s="199"/>
      <c r="M56" s="199"/>
      <c r="N56" s="199"/>
      <c r="O56" s="199"/>
      <c r="P56" s="199"/>
      <c r="Q56" s="199"/>
      <c r="R56" s="199"/>
      <c r="S56" s="199"/>
      <c r="T56" s="199"/>
      <c r="U56" s="199"/>
      <c r="V56" s="199"/>
      <c r="W56" s="199"/>
      <c r="X56" s="199"/>
      <c r="Y56" s="199"/>
      <c r="Z56" s="199"/>
      <c r="AA56" s="199"/>
      <c r="AB56" s="199"/>
    </row>
    <row r="57" spans="1:28" ht="12.75">
      <c r="A57" s="199"/>
      <c r="B57" s="199"/>
      <c r="C57" s="199"/>
      <c r="D57" s="199"/>
      <c r="E57" s="199"/>
      <c r="F57" s="199"/>
      <c r="G57" s="244"/>
      <c r="H57" s="199"/>
      <c r="I57" s="199"/>
      <c r="J57" s="199"/>
      <c r="K57" s="199"/>
      <c r="L57" s="199"/>
      <c r="M57" s="199"/>
      <c r="N57" s="199"/>
      <c r="O57" s="199"/>
      <c r="P57" s="199"/>
      <c r="Q57" s="199"/>
      <c r="R57" s="199"/>
      <c r="S57" s="199"/>
      <c r="T57" s="199"/>
      <c r="U57" s="199"/>
      <c r="V57" s="199"/>
      <c r="W57" s="199"/>
      <c r="X57" s="199"/>
      <c r="Y57" s="199"/>
      <c r="Z57" s="199"/>
      <c r="AA57" s="199"/>
      <c r="AB57" s="199"/>
    </row>
    <row r="58" spans="1:28" ht="12.75">
      <c r="A58" s="199"/>
      <c r="B58" s="199"/>
      <c r="C58" s="199"/>
      <c r="D58" s="199"/>
      <c r="E58" s="199"/>
      <c r="F58" s="199"/>
      <c r="G58" s="244"/>
      <c r="H58" s="199"/>
      <c r="I58" s="199"/>
      <c r="J58" s="199"/>
      <c r="K58" s="199"/>
      <c r="L58" s="199"/>
      <c r="M58" s="199"/>
      <c r="N58" s="199"/>
      <c r="O58" s="199"/>
      <c r="P58" s="199"/>
      <c r="Q58" s="199"/>
      <c r="R58" s="199"/>
      <c r="S58" s="199"/>
      <c r="T58" s="199"/>
      <c r="U58" s="199"/>
      <c r="V58" s="199"/>
      <c r="W58" s="199"/>
      <c r="X58" s="199"/>
      <c r="Y58" s="199"/>
      <c r="Z58" s="199"/>
      <c r="AA58" s="199"/>
      <c r="AB58" s="199"/>
    </row>
    <row r="59" spans="1:28" ht="12.75">
      <c r="A59" s="199"/>
      <c r="B59" s="199"/>
      <c r="C59" s="199"/>
      <c r="D59" s="199"/>
      <c r="E59" s="199"/>
      <c r="F59" s="199"/>
      <c r="G59" s="244"/>
      <c r="H59" s="199"/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99"/>
      <c r="V59" s="199"/>
      <c r="W59" s="199"/>
      <c r="X59" s="199"/>
      <c r="Y59" s="199"/>
      <c r="Z59" s="199"/>
      <c r="AA59" s="199"/>
      <c r="AB59" s="199"/>
    </row>
    <row r="60" spans="1:28" ht="12.75">
      <c r="A60" s="199"/>
      <c r="B60" s="199"/>
      <c r="C60" s="199"/>
      <c r="D60" s="199"/>
      <c r="E60" s="199"/>
      <c r="F60" s="199"/>
      <c r="G60" s="244"/>
      <c r="H60" s="199"/>
      <c r="I60" s="199"/>
      <c r="J60" s="199"/>
      <c r="K60" s="199"/>
      <c r="L60" s="199"/>
      <c r="M60" s="199"/>
      <c r="N60" s="199"/>
      <c r="O60" s="199"/>
      <c r="P60" s="199"/>
      <c r="Q60" s="199"/>
      <c r="R60" s="199"/>
      <c r="S60" s="199"/>
      <c r="T60" s="199"/>
      <c r="U60" s="199"/>
      <c r="V60" s="199"/>
      <c r="W60" s="199"/>
      <c r="X60" s="199"/>
      <c r="Y60" s="199"/>
      <c r="Z60" s="199"/>
      <c r="AA60" s="199"/>
      <c r="AB60" s="199"/>
    </row>
    <row r="61" spans="1:28" ht="12.75">
      <c r="A61" s="199"/>
      <c r="B61" s="199"/>
      <c r="C61" s="199"/>
      <c r="D61" s="199"/>
      <c r="E61" s="199"/>
      <c r="F61" s="199"/>
      <c r="G61" s="244"/>
      <c r="H61" s="199"/>
      <c r="I61" s="199"/>
      <c r="J61" s="199"/>
      <c r="K61" s="199"/>
      <c r="L61" s="199"/>
      <c r="M61" s="199"/>
      <c r="N61" s="199"/>
      <c r="O61" s="199"/>
      <c r="P61" s="199"/>
      <c r="Q61" s="199"/>
      <c r="R61" s="199"/>
      <c r="S61" s="199"/>
      <c r="T61" s="199"/>
      <c r="U61" s="199"/>
      <c r="V61" s="199"/>
      <c r="W61" s="199"/>
      <c r="X61" s="199"/>
      <c r="Y61" s="199"/>
      <c r="Z61" s="199"/>
      <c r="AA61" s="199"/>
      <c r="AB61" s="199"/>
    </row>
    <row r="62" spans="1:28" ht="12.75">
      <c r="A62" s="199"/>
      <c r="B62" s="199"/>
      <c r="C62" s="199"/>
      <c r="D62" s="199"/>
      <c r="E62" s="199"/>
      <c r="F62" s="199"/>
      <c r="G62" s="244"/>
      <c r="H62" s="199"/>
      <c r="I62" s="199"/>
      <c r="J62" s="199"/>
      <c r="K62" s="199"/>
      <c r="L62" s="199"/>
      <c r="M62" s="199"/>
      <c r="N62" s="199"/>
      <c r="O62" s="199"/>
      <c r="P62" s="199"/>
      <c r="Q62" s="199"/>
      <c r="R62" s="199"/>
      <c r="S62" s="199"/>
      <c r="T62" s="199"/>
      <c r="U62" s="199"/>
      <c r="V62" s="199"/>
      <c r="W62" s="199"/>
      <c r="X62" s="199"/>
      <c r="Y62" s="199"/>
      <c r="Z62" s="199"/>
      <c r="AA62" s="199"/>
      <c r="AB62" s="199"/>
    </row>
    <row r="63" spans="1:28" ht="12.75">
      <c r="A63" s="199"/>
      <c r="B63" s="199"/>
      <c r="C63" s="199"/>
      <c r="D63" s="199"/>
      <c r="E63" s="199"/>
      <c r="F63" s="199"/>
      <c r="G63" s="244"/>
      <c r="H63" s="199"/>
      <c r="I63" s="199"/>
      <c r="J63" s="199"/>
      <c r="K63" s="199"/>
      <c r="L63" s="199"/>
      <c r="M63" s="199"/>
      <c r="N63" s="199"/>
      <c r="O63" s="199"/>
      <c r="P63" s="199"/>
      <c r="Q63" s="199"/>
      <c r="R63" s="199"/>
      <c r="S63" s="199"/>
      <c r="T63" s="199"/>
      <c r="U63" s="199"/>
      <c r="V63" s="199"/>
      <c r="W63" s="199"/>
      <c r="X63" s="199"/>
      <c r="Y63" s="199"/>
      <c r="Z63" s="199"/>
      <c r="AA63" s="199"/>
      <c r="AB63" s="199"/>
    </row>
    <row r="64" spans="1:28" ht="12.75">
      <c r="A64" s="199"/>
      <c r="B64" s="199"/>
      <c r="C64" s="199"/>
      <c r="D64" s="199"/>
      <c r="E64" s="199"/>
      <c r="F64" s="199"/>
      <c r="G64" s="244"/>
      <c r="H64" s="199"/>
      <c r="I64" s="199"/>
      <c r="J64" s="199"/>
      <c r="K64" s="199"/>
      <c r="L64" s="199"/>
      <c r="M64" s="199"/>
      <c r="N64" s="199"/>
      <c r="O64" s="199"/>
      <c r="P64" s="199"/>
      <c r="Q64" s="199"/>
      <c r="R64" s="199"/>
      <c r="S64" s="199"/>
      <c r="T64" s="199"/>
      <c r="U64" s="199"/>
      <c r="V64" s="199"/>
      <c r="W64" s="199"/>
      <c r="X64" s="199"/>
      <c r="Y64" s="199"/>
      <c r="Z64" s="199"/>
      <c r="AA64" s="199"/>
      <c r="AB64" s="199"/>
    </row>
    <row r="65" spans="1:28" ht="12.75">
      <c r="A65" s="199"/>
      <c r="B65" s="199"/>
      <c r="C65" s="199"/>
      <c r="D65" s="199"/>
      <c r="E65" s="199"/>
      <c r="F65" s="199"/>
      <c r="G65" s="244"/>
      <c r="H65" s="199"/>
      <c r="I65" s="199"/>
      <c r="J65" s="199"/>
      <c r="K65" s="199"/>
      <c r="L65" s="199"/>
      <c r="M65" s="199"/>
      <c r="N65" s="199"/>
      <c r="O65" s="199"/>
      <c r="P65" s="199"/>
      <c r="Q65" s="199"/>
      <c r="R65" s="199"/>
      <c r="S65" s="199"/>
      <c r="T65" s="199"/>
      <c r="U65" s="199"/>
      <c r="V65" s="199"/>
      <c r="W65" s="199"/>
      <c r="X65" s="199"/>
      <c r="Y65" s="199"/>
      <c r="Z65" s="199"/>
      <c r="AA65" s="199"/>
      <c r="AB65" s="199"/>
    </row>
    <row r="66" spans="1:28" ht="12.75">
      <c r="A66" s="199"/>
      <c r="B66" s="199"/>
      <c r="C66" s="199"/>
      <c r="D66" s="199"/>
      <c r="E66" s="199"/>
      <c r="F66" s="199"/>
      <c r="G66" s="244"/>
      <c r="H66" s="199"/>
      <c r="I66" s="199"/>
      <c r="J66" s="199"/>
      <c r="K66" s="199"/>
      <c r="L66" s="199"/>
      <c r="M66" s="199"/>
      <c r="N66" s="199"/>
      <c r="O66" s="199"/>
      <c r="P66" s="199"/>
      <c r="Q66" s="199"/>
      <c r="R66" s="199"/>
      <c r="S66" s="199"/>
      <c r="T66" s="199"/>
      <c r="U66" s="199"/>
      <c r="V66" s="199"/>
      <c r="W66" s="199"/>
      <c r="X66" s="199"/>
      <c r="Y66" s="199"/>
      <c r="Z66" s="199"/>
      <c r="AA66" s="199"/>
      <c r="AB66" s="199"/>
    </row>
    <row r="67" spans="1:28" ht="12.75">
      <c r="A67" s="199"/>
      <c r="B67" s="199"/>
      <c r="C67" s="199"/>
      <c r="D67" s="199"/>
      <c r="E67" s="199"/>
      <c r="F67" s="199"/>
      <c r="G67" s="244"/>
      <c r="H67" s="199"/>
      <c r="I67" s="199"/>
      <c r="J67" s="199"/>
      <c r="K67" s="199"/>
      <c r="L67" s="199"/>
      <c r="M67" s="199"/>
      <c r="N67" s="199"/>
      <c r="O67" s="199"/>
      <c r="P67" s="199"/>
      <c r="Q67" s="199"/>
      <c r="R67" s="199"/>
      <c r="S67" s="199"/>
      <c r="T67" s="199"/>
      <c r="U67" s="199"/>
      <c r="V67" s="199"/>
      <c r="W67" s="199"/>
      <c r="X67" s="199"/>
      <c r="Y67" s="199"/>
      <c r="Z67" s="199"/>
      <c r="AA67" s="199"/>
      <c r="AB67" s="199"/>
    </row>
    <row r="68" spans="1:28" ht="12.75">
      <c r="A68" s="199"/>
      <c r="B68" s="199"/>
      <c r="C68" s="199"/>
      <c r="D68" s="199"/>
      <c r="E68" s="199"/>
      <c r="F68" s="199"/>
      <c r="G68" s="244"/>
      <c r="H68" s="199"/>
      <c r="I68" s="199"/>
      <c r="J68" s="199"/>
      <c r="K68" s="199"/>
      <c r="L68" s="199"/>
      <c r="M68" s="199"/>
      <c r="N68" s="199"/>
      <c r="O68" s="199"/>
      <c r="P68" s="199"/>
      <c r="Q68" s="199"/>
      <c r="R68" s="199"/>
      <c r="S68" s="199"/>
      <c r="T68" s="199"/>
      <c r="U68" s="199"/>
      <c r="V68" s="199"/>
      <c r="W68" s="199"/>
      <c r="X68" s="199"/>
      <c r="Y68" s="199"/>
      <c r="Z68" s="199"/>
      <c r="AA68" s="199"/>
      <c r="AB68" s="199"/>
    </row>
    <row r="69" spans="1:28" ht="12.75">
      <c r="A69" s="199"/>
      <c r="B69" s="199"/>
      <c r="C69" s="199"/>
      <c r="D69" s="199"/>
      <c r="E69" s="199"/>
      <c r="F69" s="199"/>
      <c r="G69" s="244"/>
      <c r="H69" s="199"/>
      <c r="I69" s="199"/>
      <c r="J69" s="199"/>
      <c r="K69" s="199"/>
      <c r="L69" s="199"/>
      <c r="M69" s="199"/>
      <c r="N69" s="199"/>
      <c r="O69" s="199"/>
      <c r="P69" s="199"/>
      <c r="Q69" s="199"/>
      <c r="R69" s="199"/>
      <c r="S69" s="199"/>
      <c r="T69" s="199"/>
      <c r="U69" s="199"/>
      <c r="V69" s="199"/>
      <c r="W69" s="199"/>
      <c r="X69" s="199"/>
      <c r="Y69" s="199"/>
      <c r="Z69" s="199"/>
      <c r="AA69" s="199"/>
      <c r="AB69" s="199"/>
    </row>
    <row r="70" spans="1:28" ht="12.75">
      <c r="A70" s="199"/>
      <c r="B70" s="199"/>
      <c r="C70" s="199"/>
      <c r="D70" s="199"/>
      <c r="E70" s="199"/>
      <c r="F70" s="199"/>
      <c r="G70" s="244"/>
      <c r="H70" s="199"/>
      <c r="I70" s="199"/>
      <c r="J70" s="199"/>
      <c r="K70" s="199"/>
      <c r="L70" s="199"/>
      <c r="M70" s="199"/>
      <c r="N70" s="199"/>
      <c r="O70" s="199"/>
      <c r="P70" s="199"/>
      <c r="Q70" s="199"/>
      <c r="R70" s="199"/>
      <c r="S70" s="199"/>
      <c r="T70" s="199"/>
      <c r="U70" s="199"/>
      <c r="V70" s="199"/>
      <c r="W70" s="199"/>
      <c r="X70" s="199"/>
      <c r="Y70" s="199"/>
      <c r="Z70" s="199"/>
      <c r="AA70" s="199"/>
      <c r="AB70" s="199"/>
    </row>
    <row r="71" spans="1:28" ht="12.75">
      <c r="A71" s="199"/>
      <c r="B71" s="199"/>
      <c r="C71" s="199"/>
      <c r="D71" s="199"/>
      <c r="E71" s="199"/>
      <c r="F71" s="199"/>
      <c r="G71" s="244"/>
      <c r="H71" s="199"/>
      <c r="I71" s="199"/>
      <c r="J71" s="199"/>
      <c r="K71" s="199"/>
      <c r="L71" s="199"/>
      <c r="M71" s="199"/>
      <c r="N71" s="199"/>
      <c r="O71" s="199"/>
      <c r="P71" s="199"/>
      <c r="Q71" s="199"/>
      <c r="R71" s="199"/>
      <c r="S71" s="199"/>
      <c r="T71" s="199"/>
      <c r="U71" s="199"/>
      <c r="V71" s="199"/>
      <c r="W71" s="199"/>
      <c r="X71" s="199"/>
      <c r="Y71" s="199"/>
      <c r="Z71" s="199"/>
      <c r="AA71" s="199"/>
      <c r="AB71" s="199"/>
    </row>
    <row r="72" spans="1:28" ht="12.75">
      <c r="A72" s="199"/>
      <c r="B72" s="199"/>
      <c r="C72" s="199"/>
      <c r="D72" s="199"/>
      <c r="E72" s="199"/>
      <c r="F72" s="199"/>
      <c r="G72" s="244"/>
      <c r="H72" s="199"/>
      <c r="I72" s="199"/>
      <c r="J72" s="199"/>
      <c r="K72" s="199"/>
      <c r="L72" s="199"/>
      <c r="M72" s="199"/>
      <c r="N72" s="199"/>
      <c r="O72" s="199"/>
      <c r="P72" s="199"/>
      <c r="Q72" s="199"/>
      <c r="R72" s="199"/>
      <c r="S72" s="199"/>
      <c r="T72" s="199"/>
      <c r="U72" s="199"/>
      <c r="V72" s="199"/>
      <c r="W72" s="199"/>
      <c r="X72" s="199"/>
      <c r="Y72" s="199"/>
      <c r="Z72" s="199"/>
      <c r="AA72" s="199"/>
      <c r="AB72" s="199"/>
    </row>
    <row r="73" spans="1:28" ht="12.75">
      <c r="A73" s="199"/>
      <c r="B73" s="199"/>
      <c r="C73" s="199"/>
      <c r="D73" s="199"/>
      <c r="E73" s="199"/>
      <c r="F73" s="199"/>
      <c r="G73" s="244"/>
      <c r="H73" s="199"/>
      <c r="I73" s="199"/>
      <c r="J73" s="199"/>
      <c r="K73" s="199"/>
      <c r="L73" s="199"/>
      <c r="M73" s="199"/>
      <c r="N73" s="199"/>
      <c r="O73" s="199"/>
      <c r="P73" s="199"/>
      <c r="Q73" s="199"/>
      <c r="R73" s="199"/>
      <c r="S73" s="199"/>
      <c r="T73" s="199"/>
      <c r="U73" s="199"/>
      <c r="V73" s="199"/>
      <c r="W73" s="199"/>
      <c r="X73" s="199"/>
      <c r="Y73" s="199"/>
      <c r="Z73" s="199"/>
      <c r="AA73" s="199"/>
      <c r="AB73" s="199"/>
    </row>
    <row r="74" spans="1:28" ht="12.75">
      <c r="A74" s="199"/>
      <c r="B74" s="199"/>
      <c r="C74" s="199"/>
      <c r="D74" s="199"/>
      <c r="E74" s="199"/>
      <c r="F74" s="199"/>
      <c r="G74" s="244"/>
      <c r="H74" s="199"/>
      <c r="I74" s="199"/>
      <c r="J74" s="199"/>
      <c r="K74" s="199"/>
      <c r="L74" s="199"/>
      <c r="M74" s="199"/>
      <c r="N74" s="199"/>
      <c r="O74" s="199"/>
      <c r="P74" s="199"/>
      <c r="Q74" s="199"/>
      <c r="R74" s="199"/>
      <c r="S74" s="199"/>
      <c r="T74" s="199"/>
      <c r="U74" s="199"/>
      <c r="V74" s="199"/>
      <c r="W74" s="199"/>
      <c r="X74" s="199"/>
      <c r="Y74" s="199"/>
      <c r="Z74" s="199"/>
      <c r="AA74" s="199"/>
      <c r="AB74" s="199"/>
    </row>
    <row r="75" spans="1:28" ht="12.75">
      <c r="A75" s="199"/>
      <c r="B75" s="199"/>
      <c r="C75" s="199"/>
      <c r="D75" s="199"/>
      <c r="E75" s="199"/>
      <c r="F75" s="199"/>
      <c r="G75" s="244"/>
      <c r="H75" s="199"/>
      <c r="I75" s="199"/>
      <c r="J75" s="199"/>
      <c r="K75" s="199"/>
      <c r="L75" s="199"/>
      <c r="M75" s="199"/>
      <c r="N75" s="199"/>
      <c r="O75" s="199"/>
      <c r="P75" s="199"/>
      <c r="Q75" s="199"/>
      <c r="R75" s="199"/>
      <c r="S75" s="199"/>
      <c r="T75" s="199"/>
      <c r="U75" s="199"/>
      <c r="V75" s="199"/>
      <c r="W75" s="199"/>
      <c r="X75" s="199"/>
      <c r="Y75" s="199"/>
      <c r="Z75" s="199"/>
      <c r="AA75" s="199"/>
      <c r="AB75" s="199"/>
    </row>
    <row r="76" spans="1:28" ht="12.75">
      <c r="A76" s="199"/>
      <c r="B76" s="199"/>
      <c r="C76" s="199"/>
      <c r="D76" s="199"/>
      <c r="E76" s="199"/>
      <c r="F76" s="199"/>
      <c r="G76" s="244"/>
      <c r="H76" s="199"/>
      <c r="I76" s="199"/>
      <c r="J76" s="199"/>
      <c r="K76" s="199"/>
      <c r="L76" s="199"/>
      <c r="M76" s="199"/>
      <c r="N76" s="199"/>
      <c r="O76" s="199"/>
      <c r="P76" s="199"/>
      <c r="Q76" s="199"/>
      <c r="R76" s="199"/>
      <c r="S76" s="199"/>
      <c r="T76" s="199"/>
      <c r="U76" s="199"/>
      <c r="V76" s="199"/>
      <c r="W76" s="199"/>
      <c r="X76" s="199"/>
      <c r="Y76" s="199"/>
      <c r="Z76" s="199"/>
      <c r="AA76" s="199"/>
      <c r="AB76" s="199"/>
    </row>
    <row r="77" spans="1:28" ht="12.75">
      <c r="A77" s="199"/>
      <c r="B77" s="199"/>
      <c r="C77" s="199"/>
      <c r="D77" s="199"/>
      <c r="E77" s="199"/>
      <c r="F77" s="199"/>
      <c r="G77" s="244"/>
      <c r="H77" s="199"/>
      <c r="I77" s="199"/>
      <c r="J77" s="199"/>
      <c r="K77" s="199"/>
      <c r="L77" s="199"/>
      <c r="M77" s="199"/>
      <c r="N77" s="199"/>
      <c r="O77" s="199"/>
      <c r="P77" s="199"/>
      <c r="Q77" s="199"/>
      <c r="R77" s="199"/>
      <c r="S77" s="199"/>
      <c r="T77" s="199"/>
      <c r="U77" s="199"/>
      <c r="V77" s="199"/>
      <c r="W77" s="199"/>
      <c r="X77" s="199"/>
      <c r="Y77" s="199"/>
      <c r="Z77" s="199"/>
      <c r="AA77" s="199"/>
      <c r="AB77" s="199"/>
    </row>
    <row r="78" spans="1:28" ht="12.75">
      <c r="A78" s="199"/>
      <c r="B78" s="199"/>
      <c r="C78" s="199"/>
      <c r="D78" s="199"/>
      <c r="E78" s="199"/>
      <c r="F78" s="199"/>
      <c r="G78" s="244"/>
      <c r="H78" s="199"/>
      <c r="I78" s="199"/>
      <c r="J78" s="199"/>
      <c r="K78" s="199"/>
      <c r="L78" s="199"/>
      <c r="M78" s="199"/>
      <c r="N78" s="199"/>
      <c r="O78" s="199"/>
      <c r="P78" s="199"/>
      <c r="Q78" s="199"/>
      <c r="R78" s="199"/>
      <c r="S78" s="199"/>
      <c r="T78" s="199"/>
      <c r="U78" s="199"/>
      <c r="V78" s="199"/>
      <c r="W78" s="199"/>
      <c r="X78" s="199"/>
      <c r="Y78" s="199"/>
      <c r="Z78" s="199"/>
      <c r="AA78" s="199"/>
      <c r="AB78" s="199"/>
    </row>
    <row r="79" spans="1:28" ht="12.75">
      <c r="A79" s="199"/>
      <c r="B79" s="199"/>
      <c r="C79" s="199"/>
      <c r="D79" s="199"/>
      <c r="E79" s="199"/>
      <c r="F79" s="199"/>
      <c r="G79" s="244"/>
      <c r="H79" s="199"/>
      <c r="I79" s="199"/>
      <c r="J79" s="199"/>
      <c r="K79" s="199"/>
      <c r="L79" s="199"/>
      <c r="M79" s="199"/>
      <c r="N79" s="199"/>
      <c r="O79" s="199"/>
      <c r="P79" s="199"/>
      <c r="Q79" s="199"/>
      <c r="R79" s="199"/>
      <c r="S79" s="199"/>
      <c r="T79" s="199"/>
      <c r="U79" s="199"/>
      <c r="V79" s="199"/>
      <c r="W79" s="199"/>
      <c r="X79" s="199"/>
      <c r="Y79" s="199"/>
      <c r="Z79" s="199"/>
      <c r="AA79" s="199"/>
      <c r="AB79" s="199"/>
    </row>
    <row r="80" spans="1:28" ht="12.75">
      <c r="A80" s="199"/>
      <c r="B80" s="199"/>
      <c r="C80" s="199"/>
      <c r="D80" s="199"/>
      <c r="E80" s="199"/>
      <c r="F80" s="199"/>
      <c r="G80" s="244"/>
      <c r="H80" s="199"/>
      <c r="I80" s="199"/>
      <c r="J80" s="199"/>
      <c r="K80" s="199"/>
      <c r="L80" s="199"/>
      <c r="M80" s="199"/>
      <c r="N80" s="199"/>
      <c r="O80" s="199"/>
      <c r="P80" s="199"/>
      <c r="Q80" s="199"/>
      <c r="R80" s="199"/>
      <c r="S80" s="199"/>
      <c r="T80" s="199"/>
      <c r="U80" s="199"/>
      <c r="V80" s="199"/>
      <c r="W80" s="199"/>
      <c r="X80" s="199"/>
      <c r="Y80" s="199"/>
      <c r="Z80" s="199"/>
      <c r="AA80" s="199"/>
      <c r="AB80" s="199"/>
    </row>
    <row r="81" spans="1:28" ht="12.75">
      <c r="A81" s="199"/>
      <c r="B81" s="199"/>
      <c r="C81" s="199"/>
      <c r="D81" s="199"/>
      <c r="E81" s="199"/>
      <c r="F81" s="199"/>
      <c r="G81" s="244"/>
      <c r="H81" s="199"/>
      <c r="I81" s="199"/>
      <c r="J81" s="199"/>
      <c r="K81" s="199"/>
      <c r="L81" s="199"/>
      <c r="M81" s="199"/>
      <c r="N81" s="199"/>
      <c r="O81" s="199"/>
      <c r="P81" s="199"/>
      <c r="Q81" s="199"/>
      <c r="R81" s="199"/>
      <c r="S81" s="199"/>
      <c r="T81" s="199"/>
      <c r="U81" s="199"/>
      <c r="V81" s="199"/>
      <c r="W81" s="199"/>
      <c r="X81" s="199"/>
      <c r="Y81" s="199"/>
      <c r="Z81" s="199"/>
      <c r="AA81" s="199"/>
      <c r="AB81" s="199"/>
    </row>
    <row r="82" spans="1:28" ht="12.75">
      <c r="A82" s="199"/>
      <c r="B82" s="199"/>
      <c r="C82" s="199"/>
      <c r="D82" s="199"/>
      <c r="E82" s="199"/>
      <c r="F82" s="199"/>
      <c r="G82" s="244"/>
      <c r="H82" s="199"/>
      <c r="I82" s="199"/>
      <c r="J82" s="199"/>
      <c r="K82" s="199"/>
      <c r="L82" s="199"/>
      <c r="M82" s="199"/>
      <c r="N82" s="199"/>
      <c r="O82" s="199"/>
      <c r="P82" s="199"/>
      <c r="Q82" s="199"/>
      <c r="R82" s="199"/>
      <c r="S82" s="199"/>
      <c r="T82" s="199"/>
      <c r="U82" s="199"/>
      <c r="V82" s="199"/>
      <c r="W82" s="199"/>
      <c r="X82" s="199"/>
      <c r="Y82" s="199"/>
      <c r="Z82" s="199"/>
      <c r="AA82" s="199"/>
      <c r="AB82" s="199"/>
    </row>
    <row r="83" spans="1:28" ht="12.75">
      <c r="A83" s="199"/>
      <c r="B83" s="199"/>
      <c r="C83" s="199"/>
      <c r="D83" s="199"/>
      <c r="E83" s="199"/>
      <c r="F83" s="199"/>
      <c r="G83" s="244"/>
      <c r="H83" s="199"/>
      <c r="I83" s="199"/>
      <c r="J83" s="199"/>
      <c r="K83" s="199"/>
      <c r="L83" s="199"/>
      <c r="M83" s="199"/>
      <c r="N83" s="199"/>
      <c r="O83" s="199"/>
      <c r="P83" s="199"/>
      <c r="Q83" s="199"/>
      <c r="R83" s="199"/>
      <c r="S83" s="199"/>
      <c r="T83" s="199"/>
      <c r="U83" s="199"/>
      <c r="V83" s="199"/>
      <c r="W83" s="199"/>
      <c r="X83" s="199"/>
      <c r="Y83" s="199"/>
      <c r="Z83" s="199"/>
      <c r="AA83" s="199"/>
      <c r="AB83" s="199"/>
    </row>
    <row r="84" spans="1:28" ht="12.75">
      <c r="A84" s="199"/>
      <c r="B84" s="199"/>
      <c r="C84" s="199"/>
      <c r="D84" s="199"/>
      <c r="E84" s="199"/>
      <c r="F84" s="199"/>
      <c r="G84" s="244"/>
      <c r="H84" s="199"/>
      <c r="I84" s="199"/>
      <c r="J84" s="199"/>
      <c r="K84" s="199"/>
      <c r="L84" s="199"/>
      <c r="M84" s="199"/>
      <c r="N84" s="199"/>
      <c r="O84" s="199"/>
      <c r="P84" s="199"/>
      <c r="Q84" s="199"/>
      <c r="R84" s="199"/>
      <c r="S84" s="199"/>
      <c r="T84" s="199"/>
      <c r="U84" s="199"/>
      <c r="V84" s="199"/>
      <c r="W84" s="199"/>
      <c r="X84" s="199"/>
      <c r="Y84" s="199"/>
      <c r="Z84" s="199"/>
      <c r="AA84" s="199"/>
      <c r="AB84" s="199"/>
    </row>
    <row r="85" spans="1:28" ht="12.75">
      <c r="A85" s="199"/>
      <c r="B85" s="199"/>
      <c r="C85" s="199"/>
      <c r="D85" s="199"/>
      <c r="E85" s="199"/>
      <c r="F85" s="199"/>
      <c r="G85" s="244"/>
      <c r="H85" s="199"/>
      <c r="I85" s="199"/>
      <c r="J85" s="199"/>
      <c r="K85" s="199"/>
      <c r="L85" s="199"/>
      <c r="M85" s="199"/>
      <c r="N85" s="199"/>
      <c r="O85" s="199"/>
      <c r="P85" s="199"/>
      <c r="Q85" s="199"/>
      <c r="R85" s="199"/>
      <c r="S85" s="199"/>
      <c r="T85" s="199"/>
      <c r="U85" s="199"/>
      <c r="V85" s="199"/>
      <c r="W85" s="199"/>
      <c r="X85" s="199"/>
      <c r="Y85" s="199"/>
      <c r="Z85" s="199"/>
      <c r="AA85" s="199"/>
      <c r="AB85" s="199"/>
    </row>
    <row r="86" spans="1:28" ht="12.75">
      <c r="A86" s="199"/>
      <c r="B86" s="199"/>
      <c r="C86" s="199"/>
      <c r="D86" s="199"/>
      <c r="E86" s="199"/>
      <c r="F86" s="199"/>
      <c r="G86" s="244"/>
      <c r="H86" s="199"/>
      <c r="I86" s="199"/>
      <c r="J86" s="199"/>
      <c r="K86" s="199"/>
      <c r="L86" s="199"/>
      <c r="M86" s="199"/>
      <c r="N86" s="199"/>
      <c r="O86" s="199"/>
      <c r="P86" s="199"/>
      <c r="Q86" s="199"/>
      <c r="R86" s="199"/>
      <c r="S86" s="199"/>
      <c r="T86" s="199"/>
      <c r="U86" s="199"/>
      <c r="V86" s="199"/>
      <c r="W86" s="199"/>
      <c r="X86" s="199"/>
      <c r="Y86" s="199"/>
      <c r="Z86" s="199"/>
      <c r="AA86" s="199"/>
      <c r="AB86" s="199"/>
    </row>
    <row r="87" spans="1:28" ht="12.75">
      <c r="A87" s="199"/>
      <c r="B87" s="199"/>
      <c r="C87" s="199"/>
      <c r="D87" s="199"/>
      <c r="E87" s="199"/>
      <c r="F87" s="199"/>
      <c r="G87" s="244"/>
      <c r="H87" s="199"/>
      <c r="I87" s="199"/>
      <c r="J87" s="199"/>
      <c r="K87" s="199"/>
      <c r="L87" s="199"/>
      <c r="M87" s="199"/>
      <c r="N87" s="199"/>
      <c r="O87" s="199"/>
      <c r="P87" s="199"/>
      <c r="Q87" s="199"/>
      <c r="R87" s="199"/>
      <c r="S87" s="199"/>
      <c r="T87" s="199"/>
      <c r="U87" s="199"/>
      <c r="V87" s="199"/>
      <c r="W87" s="199"/>
      <c r="X87" s="199"/>
      <c r="Y87" s="199"/>
      <c r="Z87" s="199"/>
      <c r="AA87" s="199"/>
      <c r="AB87" s="199"/>
    </row>
    <row r="88" spans="1:28" ht="12.75">
      <c r="A88" s="199"/>
      <c r="B88" s="199"/>
      <c r="C88" s="199"/>
      <c r="D88" s="199"/>
      <c r="E88" s="199"/>
      <c r="F88" s="199"/>
      <c r="G88" s="244"/>
      <c r="H88" s="199"/>
      <c r="I88" s="199"/>
      <c r="J88" s="199"/>
      <c r="K88" s="199"/>
      <c r="L88" s="199"/>
      <c r="M88" s="199"/>
      <c r="N88" s="199"/>
      <c r="O88" s="199"/>
      <c r="P88" s="199"/>
      <c r="Q88" s="199"/>
      <c r="R88" s="199"/>
      <c r="S88" s="199"/>
      <c r="T88" s="199"/>
      <c r="U88" s="199"/>
      <c r="V88" s="199"/>
      <c r="W88" s="199"/>
      <c r="X88" s="199"/>
      <c r="Y88" s="199"/>
      <c r="Z88" s="199"/>
      <c r="AA88" s="199"/>
      <c r="AB88" s="199"/>
    </row>
    <row r="89" spans="1:28" ht="12.75">
      <c r="A89" s="199"/>
      <c r="B89" s="199"/>
      <c r="C89" s="199"/>
      <c r="D89" s="199"/>
      <c r="E89" s="199"/>
      <c r="F89" s="199"/>
      <c r="G89" s="244"/>
      <c r="H89" s="199"/>
      <c r="I89" s="199"/>
      <c r="J89" s="199"/>
      <c r="K89" s="199"/>
      <c r="L89" s="199"/>
      <c r="M89" s="199"/>
      <c r="N89" s="199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  <c r="AA89" s="199"/>
      <c r="AB89" s="199"/>
    </row>
    <row r="90" spans="1:28" ht="12.75">
      <c r="A90" s="199"/>
      <c r="B90" s="199"/>
      <c r="C90" s="199"/>
      <c r="D90" s="199"/>
      <c r="E90" s="199"/>
      <c r="F90" s="199"/>
      <c r="G90" s="244"/>
      <c r="H90" s="199"/>
      <c r="I90" s="199"/>
      <c r="J90" s="199"/>
      <c r="K90" s="199"/>
      <c r="L90" s="199"/>
      <c r="M90" s="199"/>
      <c r="N90" s="199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  <c r="AA90" s="199"/>
      <c r="AB90" s="199"/>
    </row>
    <row r="91" spans="1:28" ht="12.75">
      <c r="A91" s="199"/>
      <c r="B91" s="199"/>
      <c r="C91" s="199"/>
      <c r="D91" s="199"/>
      <c r="E91" s="199"/>
      <c r="F91" s="199"/>
      <c r="G91" s="244"/>
      <c r="H91" s="199"/>
      <c r="I91" s="199"/>
      <c r="J91" s="199"/>
      <c r="K91" s="199"/>
      <c r="L91" s="199"/>
      <c r="M91" s="199"/>
      <c r="N91" s="199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  <c r="AA91" s="199"/>
      <c r="AB91" s="199"/>
    </row>
    <row r="92" spans="1:28" ht="12.75">
      <c r="A92" s="199"/>
      <c r="B92" s="199"/>
      <c r="C92" s="199"/>
      <c r="D92" s="199"/>
      <c r="E92" s="199"/>
      <c r="F92" s="199"/>
      <c r="G92" s="244"/>
      <c r="H92" s="199"/>
      <c r="I92" s="199"/>
      <c r="J92" s="199"/>
      <c r="K92" s="199"/>
      <c r="L92" s="199"/>
      <c r="M92" s="199"/>
      <c r="N92" s="199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  <c r="AA92" s="199"/>
      <c r="AB92" s="199"/>
    </row>
    <row r="93" spans="1:28" ht="12.75">
      <c r="A93" s="199"/>
      <c r="B93" s="199"/>
      <c r="C93" s="199"/>
      <c r="D93" s="199"/>
      <c r="E93" s="199"/>
      <c r="F93" s="199"/>
      <c r="G93" s="244"/>
      <c r="H93" s="199"/>
      <c r="I93" s="199"/>
      <c r="J93" s="199"/>
      <c r="K93" s="199"/>
      <c r="L93" s="199"/>
      <c r="M93" s="199"/>
      <c r="N93" s="199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  <c r="AA93" s="199"/>
      <c r="AB93" s="199"/>
    </row>
    <row r="94" spans="1:28" ht="12.75">
      <c r="A94" s="199"/>
      <c r="B94" s="199"/>
      <c r="C94" s="199"/>
      <c r="D94" s="199"/>
      <c r="E94" s="199"/>
      <c r="F94" s="199"/>
      <c r="G94" s="244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9"/>
      <c r="X94" s="199"/>
      <c r="Y94" s="199"/>
      <c r="Z94" s="199"/>
      <c r="AA94" s="199"/>
      <c r="AB94" s="199"/>
    </row>
    <row r="95" spans="1:28" ht="12.75">
      <c r="A95" s="199"/>
      <c r="B95" s="199"/>
      <c r="C95" s="199"/>
      <c r="D95" s="199"/>
      <c r="E95" s="199"/>
      <c r="F95" s="199"/>
      <c r="G95" s="244"/>
      <c r="H95" s="199"/>
      <c r="I95" s="199"/>
      <c r="J95" s="199"/>
      <c r="K95" s="199"/>
      <c r="L95" s="199"/>
      <c r="M95" s="199"/>
      <c r="N95" s="199"/>
      <c r="O95" s="199"/>
      <c r="P95" s="199"/>
      <c r="Q95" s="199"/>
      <c r="R95" s="199"/>
      <c r="S95" s="199"/>
      <c r="T95" s="199"/>
      <c r="U95" s="199"/>
      <c r="V95" s="199"/>
      <c r="W95" s="199"/>
      <c r="X95" s="199"/>
      <c r="Y95" s="199"/>
      <c r="Z95" s="199"/>
      <c r="AA95" s="199"/>
      <c r="AB95" s="199"/>
    </row>
    <row r="96" spans="1:28" ht="12.75">
      <c r="A96" s="199"/>
      <c r="B96" s="199"/>
      <c r="C96" s="199"/>
      <c r="D96" s="199"/>
      <c r="E96" s="199"/>
      <c r="F96" s="199"/>
      <c r="G96" s="244"/>
      <c r="H96" s="199"/>
      <c r="I96" s="199"/>
      <c r="J96" s="199"/>
      <c r="K96" s="199"/>
      <c r="L96" s="199"/>
      <c r="M96" s="199"/>
      <c r="N96" s="199"/>
      <c r="O96" s="199"/>
      <c r="P96" s="199"/>
      <c r="Q96" s="199"/>
      <c r="R96" s="199"/>
      <c r="S96" s="199"/>
      <c r="T96" s="199"/>
      <c r="U96" s="199"/>
      <c r="V96" s="199"/>
      <c r="W96" s="199"/>
      <c r="X96" s="199"/>
      <c r="Y96" s="199"/>
      <c r="Z96" s="199"/>
      <c r="AA96" s="199"/>
      <c r="AB96" s="199"/>
    </row>
    <row r="97" spans="1:28" ht="12.75">
      <c r="A97" s="199"/>
      <c r="B97" s="199"/>
      <c r="C97" s="199"/>
      <c r="D97" s="199"/>
      <c r="E97" s="199"/>
      <c r="F97" s="199"/>
      <c r="G97" s="244"/>
      <c r="H97" s="199"/>
      <c r="I97" s="199"/>
      <c r="J97" s="199"/>
      <c r="K97" s="199"/>
      <c r="L97" s="199"/>
      <c r="M97" s="199"/>
      <c r="N97" s="199"/>
      <c r="O97" s="199"/>
      <c r="P97" s="199"/>
      <c r="Q97" s="199"/>
      <c r="R97" s="199"/>
      <c r="S97" s="199"/>
      <c r="T97" s="199"/>
      <c r="U97" s="199"/>
      <c r="V97" s="199"/>
      <c r="W97" s="199"/>
      <c r="X97" s="199"/>
      <c r="Y97" s="199"/>
      <c r="Z97" s="199"/>
      <c r="AA97" s="199"/>
      <c r="AB97" s="199"/>
    </row>
    <row r="98" spans="1:28" ht="12.75">
      <c r="A98" s="199"/>
      <c r="B98" s="199"/>
      <c r="C98" s="199"/>
      <c r="D98" s="199"/>
      <c r="E98" s="199"/>
      <c r="F98" s="199"/>
      <c r="G98" s="244"/>
      <c r="H98" s="199"/>
      <c r="I98" s="199"/>
      <c r="J98" s="199"/>
      <c r="K98" s="199"/>
      <c r="L98" s="199"/>
      <c r="M98" s="199"/>
      <c r="N98" s="199"/>
      <c r="O98" s="199"/>
      <c r="P98" s="199"/>
      <c r="Q98" s="199"/>
      <c r="R98" s="199"/>
      <c r="S98" s="199"/>
      <c r="T98" s="199"/>
      <c r="U98" s="199"/>
      <c r="V98" s="199"/>
      <c r="W98" s="199"/>
      <c r="X98" s="199"/>
      <c r="Y98" s="199"/>
      <c r="Z98" s="199"/>
      <c r="AA98" s="199"/>
      <c r="AB98" s="199"/>
    </row>
    <row r="99" spans="1:28" ht="12.75">
      <c r="A99" s="199"/>
      <c r="B99" s="199"/>
      <c r="C99" s="199"/>
      <c r="D99" s="199"/>
      <c r="E99" s="199"/>
      <c r="F99" s="199"/>
      <c r="G99" s="244"/>
      <c r="H99" s="199"/>
      <c r="I99" s="199"/>
      <c r="J99" s="199"/>
      <c r="K99" s="199"/>
      <c r="L99" s="199"/>
      <c r="M99" s="199"/>
      <c r="N99" s="199"/>
      <c r="O99" s="199"/>
      <c r="P99" s="199"/>
      <c r="Q99" s="199"/>
      <c r="R99" s="199"/>
      <c r="S99" s="199"/>
      <c r="T99" s="199"/>
      <c r="U99" s="199"/>
      <c r="V99" s="199"/>
      <c r="W99" s="199"/>
      <c r="X99" s="199"/>
      <c r="Y99" s="199"/>
      <c r="Z99" s="199"/>
      <c r="AA99" s="199"/>
      <c r="AB99" s="199"/>
    </row>
    <row r="100" spans="1:28" ht="12.75">
      <c r="A100" s="199"/>
      <c r="B100" s="199"/>
      <c r="C100" s="199"/>
      <c r="D100" s="199"/>
      <c r="E100" s="199"/>
      <c r="F100" s="199"/>
      <c r="G100" s="244"/>
      <c r="H100" s="199"/>
      <c r="I100" s="199"/>
      <c r="J100" s="199"/>
      <c r="K100" s="199"/>
      <c r="L100" s="199"/>
      <c r="M100" s="199"/>
      <c r="N100" s="199"/>
      <c r="O100" s="199"/>
      <c r="P100" s="199"/>
      <c r="Q100" s="199"/>
      <c r="R100" s="199"/>
      <c r="S100" s="199"/>
      <c r="T100" s="199"/>
      <c r="U100" s="199"/>
      <c r="V100" s="199"/>
      <c r="W100" s="199"/>
      <c r="X100" s="199"/>
      <c r="Y100" s="199"/>
      <c r="Z100" s="199"/>
      <c r="AA100" s="199"/>
      <c r="AB100" s="199"/>
    </row>
    <row r="101" spans="1:28" ht="12.75">
      <c r="A101" s="199"/>
      <c r="B101" s="199"/>
      <c r="C101" s="199"/>
      <c r="D101" s="199"/>
      <c r="E101" s="199"/>
      <c r="F101" s="199"/>
      <c r="G101" s="244"/>
      <c r="H101" s="199"/>
      <c r="I101" s="199"/>
      <c r="J101" s="199"/>
      <c r="K101" s="199"/>
      <c r="L101" s="199"/>
      <c r="M101" s="199"/>
      <c r="N101" s="199"/>
      <c r="O101" s="199"/>
      <c r="P101" s="199"/>
      <c r="Q101" s="199"/>
      <c r="R101" s="199"/>
      <c r="S101" s="199"/>
      <c r="T101" s="199"/>
      <c r="U101" s="199"/>
      <c r="V101" s="199"/>
      <c r="W101" s="199"/>
      <c r="X101" s="199"/>
      <c r="Y101" s="199"/>
      <c r="Z101" s="199"/>
      <c r="AA101" s="199"/>
      <c r="AB101" s="199"/>
    </row>
    <row r="102" spans="1:28" ht="12.75">
      <c r="A102" s="199"/>
      <c r="B102" s="199"/>
      <c r="C102" s="199"/>
      <c r="D102" s="199"/>
      <c r="E102" s="199"/>
      <c r="F102" s="199"/>
      <c r="G102" s="244"/>
      <c r="H102" s="199"/>
      <c r="I102" s="199"/>
      <c r="J102" s="199"/>
      <c r="K102" s="199"/>
      <c r="L102" s="199"/>
      <c r="M102" s="199"/>
      <c r="N102" s="199"/>
      <c r="O102" s="199"/>
      <c r="P102" s="199"/>
      <c r="Q102" s="199"/>
      <c r="R102" s="199"/>
      <c r="S102" s="199"/>
      <c r="T102" s="199"/>
      <c r="U102" s="199"/>
      <c r="V102" s="199"/>
      <c r="W102" s="199"/>
      <c r="X102" s="199"/>
      <c r="Y102" s="199"/>
      <c r="Z102" s="199"/>
      <c r="AA102" s="199"/>
      <c r="AB102" s="199"/>
    </row>
    <row r="103" spans="1:28" ht="12.75">
      <c r="A103" s="199"/>
      <c r="B103" s="199"/>
      <c r="C103" s="199"/>
      <c r="D103" s="199"/>
      <c r="E103" s="199"/>
      <c r="F103" s="199"/>
      <c r="G103" s="244"/>
      <c r="H103" s="199"/>
      <c r="I103" s="199"/>
      <c r="J103" s="199"/>
      <c r="K103" s="199"/>
      <c r="L103" s="199"/>
      <c r="M103" s="199"/>
      <c r="N103" s="199"/>
      <c r="O103" s="199"/>
      <c r="P103" s="199"/>
      <c r="Q103" s="199"/>
      <c r="R103" s="199"/>
      <c r="S103" s="199"/>
      <c r="T103" s="199"/>
      <c r="U103" s="199"/>
      <c r="V103" s="199"/>
      <c r="W103" s="199"/>
      <c r="X103" s="199"/>
      <c r="Y103" s="199"/>
      <c r="Z103" s="199"/>
      <c r="AA103" s="199"/>
      <c r="AB103" s="199"/>
    </row>
    <row r="104" spans="1:28" ht="12.75">
      <c r="A104" s="199"/>
      <c r="B104" s="199"/>
      <c r="C104" s="199"/>
      <c r="D104" s="199"/>
      <c r="E104" s="199"/>
      <c r="F104" s="199"/>
      <c r="G104" s="244"/>
      <c r="H104" s="199"/>
      <c r="I104" s="199"/>
      <c r="J104" s="199"/>
      <c r="K104" s="199"/>
      <c r="L104" s="199"/>
      <c r="M104" s="199"/>
      <c r="N104" s="199"/>
      <c r="O104" s="199"/>
      <c r="P104" s="199"/>
      <c r="Q104" s="199"/>
      <c r="R104" s="199"/>
      <c r="S104" s="199"/>
      <c r="T104" s="199"/>
      <c r="U104" s="199"/>
      <c r="V104" s="199"/>
      <c r="W104" s="199"/>
      <c r="X104" s="199"/>
      <c r="Y104" s="199"/>
      <c r="Z104" s="199"/>
      <c r="AA104" s="199"/>
      <c r="AB104" s="199"/>
    </row>
    <row r="105" spans="1:28" ht="12.75">
      <c r="A105" s="199"/>
      <c r="B105" s="199"/>
      <c r="C105" s="199"/>
      <c r="D105" s="199"/>
      <c r="E105" s="199"/>
      <c r="F105" s="199"/>
      <c r="G105" s="244"/>
      <c r="H105" s="199"/>
      <c r="I105" s="199"/>
      <c r="J105" s="199"/>
      <c r="K105" s="199"/>
      <c r="L105" s="199"/>
      <c r="M105" s="199"/>
      <c r="N105" s="199"/>
      <c r="O105" s="199"/>
      <c r="P105" s="199"/>
      <c r="Q105" s="199"/>
      <c r="R105" s="199"/>
      <c r="S105" s="199"/>
      <c r="T105" s="199"/>
      <c r="U105" s="199"/>
      <c r="V105" s="199"/>
      <c r="W105" s="199"/>
      <c r="X105" s="199"/>
      <c r="Y105" s="199"/>
      <c r="Z105" s="199"/>
      <c r="AA105" s="199"/>
      <c r="AB105" s="199"/>
    </row>
    <row r="106" spans="1:28" ht="12.75">
      <c r="A106" s="199"/>
      <c r="B106" s="199"/>
      <c r="C106" s="199"/>
      <c r="D106" s="199"/>
      <c r="E106" s="199"/>
      <c r="F106" s="199"/>
      <c r="G106" s="244"/>
      <c r="H106" s="199"/>
      <c r="I106" s="199"/>
      <c r="J106" s="199"/>
      <c r="K106" s="199"/>
      <c r="L106" s="199"/>
      <c r="M106" s="199"/>
      <c r="N106" s="199"/>
      <c r="O106" s="199"/>
      <c r="P106" s="199"/>
      <c r="Q106" s="199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9"/>
    </row>
    <row r="107" spans="1:28" ht="12.75">
      <c r="A107" s="199"/>
      <c r="B107" s="199"/>
      <c r="C107" s="199"/>
      <c r="D107" s="199"/>
      <c r="E107" s="199"/>
      <c r="F107" s="199"/>
      <c r="G107" s="244"/>
      <c r="H107" s="199"/>
      <c r="I107" s="199"/>
      <c r="J107" s="199"/>
      <c r="K107" s="199"/>
      <c r="L107" s="199"/>
      <c r="M107" s="199"/>
      <c r="N107" s="199"/>
      <c r="O107" s="199"/>
      <c r="P107" s="199"/>
      <c r="Q107" s="199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  <c r="AB107" s="199"/>
    </row>
    <row r="108" spans="1:28" ht="12.75">
      <c r="A108" s="199"/>
      <c r="B108" s="199"/>
      <c r="C108" s="199"/>
      <c r="D108" s="199"/>
      <c r="E108" s="199"/>
      <c r="F108" s="199"/>
      <c r="G108" s="244"/>
      <c r="H108" s="199"/>
      <c r="I108" s="199"/>
      <c r="J108" s="199"/>
      <c r="K108" s="199"/>
      <c r="L108" s="199"/>
      <c r="M108" s="199"/>
      <c r="N108" s="199"/>
      <c r="O108" s="199"/>
      <c r="P108" s="199"/>
      <c r="Q108" s="199"/>
      <c r="R108" s="199"/>
      <c r="S108" s="199"/>
      <c r="T108" s="199"/>
      <c r="U108" s="199"/>
      <c r="V108" s="199"/>
      <c r="W108" s="199"/>
      <c r="X108" s="199"/>
      <c r="Y108" s="199"/>
      <c r="Z108" s="199"/>
      <c r="AA108" s="199"/>
      <c r="AB108" s="199"/>
    </row>
    <row r="109" spans="1:28" ht="12.75">
      <c r="A109" s="199"/>
      <c r="B109" s="199"/>
      <c r="C109" s="199"/>
      <c r="D109" s="199"/>
      <c r="E109" s="199"/>
      <c r="F109" s="199"/>
      <c r="G109" s="244"/>
      <c r="H109" s="199"/>
      <c r="I109" s="199"/>
      <c r="J109" s="199"/>
      <c r="K109" s="199"/>
      <c r="L109" s="199"/>
      <c r="M109" s="199"/>
      <c r="N109" s="199"/>
      <c r="O109" s="199"/>
      <c r="P109" s="199"/>
      <c r="Q109" s="199"/>
      <c r="R109" s="199"/>
      <c r="S109" s="199"/>
      <c r="T109" s="199"/>
      <c r="U109" s="199"/>
      <c r="V109" s="199"/>
      <c r="W109" s="199"/>
      <c r="X109" s="199"/>
      <c r="Y109" s="199"/>
      <c r="Z109" s="199"/>
      <c r="AA109" s="199"/>
      <c r="AB109" s="199"/>
    </row>
    <row r="110" spans="1:28" ht="12.75">
      <c r="A110" s="199"/>
      <c r="B110" s="199"/>
      <c r="C110" s="199"/>
      <c r="D110" s="199"/>
      <c r="E110" s="199"/>
      <c r="F110" s="199"/>
      <c r="G110" s="244"/>
      <c r="H110" s="199"/>
      <c r="I110" s="199"/>
      <c r="J110" s="199"/>
      <c r="K110" s="199"/>
      <c r="L110" s="199"/>
      <c r="M110" s="199"/>
      <c r="N110" s="199"/>
      <c r="O110" s="199"/>
      <c r="P110" s="199"/>
      <c r="Q110" s="199"/>
      <c r="R110" s="199"/>
      <c r="S110" s="199"/>
      <c r="T110" s="199"/>
      <c r="U110" s="199"/>
      <c r="V110" s="199"/>
      <c r="W110" s="199"/>
      <c r="X110" s="199"/>
      <c r="Y110" s="199"/>
      <c r="Z110" s="199"/>
      <c r="AA110" s="199"/>
      <c r="AB110" s="199"/>
    </row>
    <row r="111" spans="1:28" ht="12.75">
      <c r="A111" s="199"/>
      <c r="B111" s="199"/>
      <c r="C111" s="199"/>
      <c r="D111" s="199"/>
      <c r="E111" s="199"/>
      <c r="F111" s="199"/>
      <c r="G111" s="244"/>
      <c r="H111" s="199"/>
      <c r="I111" s="199"/>
      <c r="J111" s="199"/>
      <c r="K111" s="199"/>
      <c r="L111" s="199"/>
      <c r="M111" s="199"/>
      <c r="N111" s="199"/>
      <c r="O111" s="199"/>
      <c r="P111" s="199"/>
      <c r="Q111" s="199"/>
      <c r="R111" s="199"/>
      <c r="S111" s="199"/>
      <c r="T111" s="199"/>
      <c r="U111" s="199"/>
      <c r="V111" s="199"/>
      <c r="W111" s="199"/>
      <c r="X111" s="199"/>
      <c r="Y111" s="199"/>
      <c r="Z111" s="199"/>
      <c r="AA111" s="199"/>
      <c r="AB111" s="199"/>
    </row>
    <row r="112" spans="1:28" ht="12.75">
      <c r="A112" s="199"/>
      <c r="B112" s="199"/>
      <c r="C112" s="199"/>
      <c r="D112" s="199"/>
      <c r="E112" s="199"/>
      <c r="F112" s="199"/>
      <c r="G112" s="244"/>
      <c r="H112" s="199"/>
      <c r="I112" s="199"/>
      <c r="J112" s="199"/>
      <c r="K112" s="199"/>
      <c r="L112" s="199"/>
      <c r="M112" s="199"/>
      <c r="N112" s="199"/>
      <c r="O112" s="199"/>
      <c r="P112" s="199"/>
      <c r="Q112" s="199"/>
      <c r="R112" s="199"/>
      <c r="S112" s="199"/>
      <c r="T112" s="199"/>
      <c r="U112" s="199"/>
      <c r="V112" s="199"/>
      <c r="W112" s="199"/>
      <c r="X112" s="199"/>
      <c r="Y112" s="199"/>
      <c r="Z112" s="199"/>
      <c r="AA112" s="199"/>
      <c r="AB112" s="199"/>
    </row>
    <row r="113" spans="1:28" ht="12.75">
      <c r="A113" s="199"/>
      <c r="B113" s="199"/>
      <c r="C113" s="199"/>
      <c r="D113" s="199"/>
      <c r="E113" s="199"/>
      <c r="F113" s="199"/>
      <c r="G113" s="244"/>
      <c r="H113" s="199"/>
      <c r="I113" s="199"/>
      <c r="J113" s="199"/>
      <c r="K113" s="199"/>
      <c r="L113" s="199"/>
      <c r="M113" s="199"/>
      <c r="N113" s="199"/>
      <c r="O113" s="199"/>
      <c r="P113" s="199"/>
      <c r="Q113" s="199"/>
      <c r="R113" s="199"/>
      <c r="S113" s="199"/>
      <c r="T113" s="199"/>
      <c r="U113" s="199"/>
      <c r="V113" s="199"/>
      <c r="W113" s="199"/>
      <c r="X113" s="199"/>
      <c r="Y113" s="199"/>
      <c r="Z113" s="199"/>
      <c r="AA113" s="199"/>
      <c r="AB113" s="199"/>
    </row>
    <row r="114" spans="1:28" ht="12.75">
      <c r="A114" s="199"/>
      <c r="B114" s="199"/>
      <c r="C114" s="199"/>
      <c r="D114" s="199"/>
      <c r="E114" s="199"/>
      <c r="F114" s="199"/>
      <c r="G114" s="244"/>
      <c r="H114" s="199"/>
      <c r="I114" s="199"/>
      <c r="J114" s="199"/>
      <c r="K114" s="199"/>
      <c r="L114" s="199"/>
      <c r="M114" s="199"/>
      <c r="N114" s="199"/>
      <c r="O114" s="199"/>
      <c r="P114" s="199"/>
      <c r="Q114" s="199"/>
      <c r="R114" s="199"/>
      <c r="S114" s="199"/>
      <c r="T114" s="199"/>
      <c r="U114" s="199"/>
      <c r="V114" s="199"/>
      <c r="W114" s="199"/>
      <c r="X114" s="199"/>
      <c r="Y114" s="199"/>
      <c r="Z114" s="199"/>
      <c r="AA114" s="199"/>
      <c r="AB114" s="199"/>
    </row>
    <row r="115" spans="1:28" ht="12.75">
      <c r="A115" s="199"/>
      <c r="B115" s="199"/>
      <c r="C115" s="199"/>
      <c r="D115" s="199"/>
      <c r="E115" s="199"/>
      <c r="F115" s="199"/>
      <c r="G115" s="244"/>
      <c r="H115" s="199"/>
      <c r="I115" s="199"/>
      <c r="J115" s="199"/>
      <c r="K115" s="199"/>
      <c r="L115" s="199"/>
      <c r="M115" s="199"/>
      <c r="N115" s="199"/>
      <c r="O115" s="199"/>
      <c r="P115" s="199"/>
      <c r="Q115" s="199"/>
      <c r="R115" s="199"/>
      <c r="S115" s="199"/>
      <c r="T115" s="199"/>
      <c r="U115" s="199"/>
      <c r="V115" s="199"/>
      <c r="W115" s="199"/>
      <c r="X115" s="199"/>
      <c r="Y115" s="199"/>
      <c r="Z115" s="199"/>
      <c r="AA115" s="199"/>
      <c r="AB115" s="199"/>
    </row>
    <row r="116" spans="1:28" ht="12.75">
      <c r="A116" s="199"/>
      <c r="B116" s="199"/>
      <c r="C116" s="199"/>
      <c r="D116" s="199"/>
      <c r="E116" s="199"/>
      <c r="F116" s="199"/>
      <c r="G116" s="244"/>
      <c r="H116" s="199"/>
      <c r="I116" s="199"/>
      <c r="J116" s="199"/>
      <c r="K116" s="199"/>
      <c r="L116" s="199"/>
      <c r="M116" s="199"/>
      <c r="N116" s="199"/>
      <c r="O116" s="199"/>
      <c r="P116" s="199"/>
      <c r="Q116" s="199"/>
      <c r="R116" s="199"/>
      <c r="S116" s="199"/>
      <c r="T116" s="199"/>
      <c r="U116" s="199"/>
      <c r="V116" s="199"/>
      <c r="W116" s="199"/>
      <c r="X116" s="199"/>
      <c r="Y116" s="199"/>
      <c r="Z116" s="199"/>
      <c r="AA116" s="199"/>
      <c r="AB116" s="199"/>
    </row>
    <row r="117" spans="1:28" ht="12.75">
      <c r="A117" s="199"/>
      <c r="B117" s="199"/>
      <c r="C117" s="199"/>
      <c r="D117" s="199"/>
      <c r="E117" s="199"/>
      <c r="F117" s="199"/>
      <c r="G117" s="244"/>
      <c r="H117" s="199"/>
      <c r="I117" s="199"/>
      <c r="J117" s="199"/>
      <c r="K117" s="199"/>
      <c r="L117" s="199"/>
      <c r="M117" s="199"/>
      <c r="N117" s="199"/>
      <c r="O117" s="199"/>
      <c r="P117" s="199"/>
      <c r="Q117" s="199"/>
      <c r="R117" s="199"/>
      <c r="S117" s="199"/>
      <c r="T117" s="199"/>
      <c r="U117" s="199"/>
      <c r="V117" s="199"/>
      <c r="W117" s="199"/>
      <c r="X117" s="199"/>
      <c r="Y117" s="199"/>
      <c r="Z117" s="199"/>
      <c r="AA117" s="199"/>
      <c r="AB117" s="199"/>
    </row>
    <row r="118" spans="1:28" ht="12.75">
      <c r="A118" s="199"/>
      <c r="B118" s="199"/>
      <c r="C118" s="199"/>
      <c r="D118" s="199"/>
      <c r="E118" s="199"/>
      <c r="F118" s="199"/>
      <c r="G118" s="244"/>
      <c r="H118" s="199"/>
      <c r="I118" s="199"/>
      <c r="J118" s="199"/>
      <c r="K118" s="199"/>
      <c r="L118" s="199"/>
      <c r="M118" s="199"/>
      <c r="N118" s="199"/>
      <c r="O118" s="199"/>
      <c r="P118" s="199"/>
      <c r="Q118" s="199"/>
      <c r="R118" s="199"/>
      <c r="S118" s="199"/>
      <c r="T118" s="199"/>
      <c r="U118" s="199"/>
      <c r="V118" s="199"/>
      <c r="W118" s="199"/>
      <c r="X118" s="199"/>
      <c r="Y118" s="199"/>
      <c r="Z118" s="199"/>
      <c r="AA118" s="199"/>
      <c r="AB118" s="199"/>
    </row>
    <row r="119" spans="1:28" ht="12.75">
      <c r="A119" s="199"/>
      <c r="B119" s="199"/>
      <c r="C119" s="199"/>
      <c r="D119" s="199"/>
      <c r="E119" s="199"/>
      <c r="F119" s="199"/>
      <c r="G119" s="244"/>
      <c r="H119" s="199"/>
      <c r="I119" s="199"/>
      <c r="J119" s="199"/>
      <c r="K119" s="199"/>
      <c r="L119" s="199"/>
      <c r="M119" s="199"/>
      <c r="N119" s="199"/>
      <c r="O119" s="199"/>
      <c r="P119" s="199"/>
      <c r="Q119" s="199"/>
      <c r="R119" s="199"/>
      <c r="S119" s="199"/>
      <c r="T119" s="199"/>
      <c r="U119" s="199"/>
      <c r="V119" s="199"/>
      <c r="W119" s="199"/>
      <c r="X119" s="199"/>
      <c r="Y119" s="199"/>
      <c r="Z119" s="199"/>
      <c r="AA119" s="199"/>
      <c r="AB119" s="199"/>
    </row>
    <row r="120" spans="1:28" ht="12.75">
      <c r="A120" s="199"/>
      <c r="B120" s="199"/>
      <c r="C120" s="199"/>
      <c r="D120" s="199"/>
      <c r="E120" s="199"/>
      <c r="F120" s="199"/>
      <c r="G120" s="244"/>
      <c r="H120" s="199"/>
      <c r="I120" s="199"/>
      <c r="J120" s="199"/>
      <c r="K120" s="199"/>
      <c r="L120" s="199"/>
      <c r="M120" s="199"/>
      <c r="N120" s="199"/>
      <c r="O120" s="199"/>
      <c r="P120" s="199"/>
      <c r="Q120" s="199"/>
      <c r="R120" s="199"/>
      <c r="S120" s="199"/>
      <c r="T120" s="199"/>
      <c r="U120" s="199"/>
      <c r="V120" s="199"/>
      <c r="W120" s="199"/>
      <c r="X120" s="199"/>
      <c r="Y120" s="199"/>
      <c r="Z120" s="199"/>
      <c r="AA120" s="199"/>
      <c r="AB120" s="199"/>
    </row>
    <row r="121" spans="1:28" ht="12.75">
      <c r="A121" s="199"/>
      <c r="B121" s="199"/>
      <c r="C121" s="199"/>
      <c r="D121" s="199"/>
      <c r="E121" s="199"/>
      <c r="F121" s="199"/>
      <c r="G121" s="244"/>
      <c r="H121" s="199"/>
      <c r="I121" s="199"/>
      <c r="J121" s="199"/>
      <c r="K121" s="199"/>
      <c r="L121" s="199"/>
      <c r="M121" s="199"/>
      <c r="N121" s="199"/>
      <c r="O121" s="199"/>
      <c r="P121" s="199"/>
      <c r="Q121" s="199"/>
      <c r="R121" s="199"/>
      <c r="S121" s="199"/>
      <c r="T121" s="199"/>
      <c r="U121" s="199"/>
      <c r="V121" s="199"/>
      <c r="W121" s="199"/>
      <c r="X121" s="199"/>
      <c r="Y121" s="199"/>
      <c r="Z121" s="199"/>
      <c r="AA121" s="199"/>
      <c r="AB121" s="199"/>
    </row>
    <row r="122" spans="1:28" ht="12.75">
      <c r="A122" s="199"/>
      <c r="B122" s="199"/>
      <c r="C122" s="199"/>
      <c r="D122" s="199"/>
      <c r="E122" s="199"/>
      <c r="F122" s="199"/>
      <c r="G122" s="244"/>
      <c r="H122" s="199"/>
      <c r="I122" s="199"/>
      <c r="J122" s="199"/>
      <c r="K122" s="199"/>
      <c r="L122" s="199"/>
      <c r="M122" s="199"/>
      <c r="N122" s="199"/>
      <c r="O122" s="199"/>
      <c r="P122" s="199"/>
      <c r="Q122" s="199"/>
      <c r="R122" s="199"/>
      <c r="S122" s="199"/>
      <c r="T122" s="199"/>
      <c r="U122" s="199"/>
      <c r="V122" s="199"/>
      <c r="W122" s="199"/>
      <c r="X122" s="199"/>
      <c r="Y122" s="199"/>
      <c r="Z122" s="199"/>
      <c r="AA122" s="199"/>
      <c r="AB122" s="199"/>
    </row>
    <row r="123" spans="1:28" ht="12.75">
      <c r="A123" s="199"/>
      <c r="B123" s="199"/>
      <c r="C123" s="199"/>
      <c r="D123" s="199"/>
      <c r="E123" s="199"/>
      <c r="F123" s="199"/>
      <c r="G123" s="244"/>
      <c r="H123" s="199"/>
      <c r="I123" s="199"/>
      <c r="J123" s="199"/>
      <c r="K123" s="199"/>
      <c r="L123" s="199"/>
      <c r="M123" s="199"/>
      <c r="N123" s="199"/>
      <c r="O123" s="199"/>
      <c r="P123" s="199"/>
      <c r="Q123" s="199"/>
      <c r="R123" s="199"/>
      <c r="S123" s="199"/>
      <c r="T123" s="199"/>
      <c r="U123" s="199"/>
      <c r="V123" s="199"/>
      <c r="W123" s="199"/>
      <c r="X123" s="199"/>
      <c r="Y123" s="199"/>
      <c r="Z123" s="199"/>
      <c r="AA123" s="199"/>
      <c r="AB123" s="199"/>
    </row>
    <row r="124" spans="1:28" ht="12.75">
      <c r="A124" s="199"/>
      <c r="B124" s="199"/>
      <c r="C124" s="199"/>
      <c r="D124" s="199"/>
      <c r="E124" s="199"/>
      <c r="F124" s="199"/>
      <c r="G124" s="244"/>
      <c r="H124" s="199"/>
      <c r="I124" s="199"/>
      <c r="J124" s="199"/>
      <c r="K124" s="199"/>
      <c r="L124" s="199"/>
      <c r="M124" s="199"/>
      <c r="N124" s="199"/>
      <c r="O124" s="199"/>
      <c r="P124" s="199"/>
      <c r="Q124" s="199"/>
      <c r="R124" s="199"/>
      <c r="S124" s="199"/>
      <c r="T124" s="199"/>
      <c r="U124" s="199"/>
      <c r="V124" s="199"/>
      <c r="W124" s="199"/>
      <c r="X124" s="199"/>
      <c r="Y124" s="199"/>
      <c r="Z124" s="199"/>
      <c r="AA124" s="199"/>
      <c r="AB124" s="199"/>
    </row>
    <row r="125" spans="1:28" ht="12.75">
      <c r="A125" s="199"/>
      <c r="B125" s="199"/>
      <c r="C125" s="199"/>
      <c r="D125" s="199"/>
      <c r="E125" s="199"/>
      <c r="F125" s="199"/>
      <c r="G125" s="244"/>
      <c r="H125" s="199"/>
      <c r="I125" s="199"/>
      <c r="J125" s="199"/>
      <c r="K125" s="199"/>
      <c r="L125" s="199"/>
      <c r="M125" s="199"/>
      <c r="N125" s="199"/>
      <c r="O125" s="199"/>
      <c r="P125" s="199"/>
      <c r="Q125" s="199"/>
      <c r="R125" s="199"/>
      <c r="S125" s="199"/>
      <c r="T125" s="199"/>
      <c r="U125" s="199"/>
      <c r="V125" s="199"/>
      <c r="W125" s="199"/>
      <c r="X125" s="199"/>
      <c r="Y125" s="199"/>
      <c r="Z125" s="199"/>
      <c r="AA125" s="199"/>
      <c r="AB125" s="199"/>
    </row>
    <row r="126" spans="1:28" ht="12.75">
      <c r="A126" s="199"/>
      <c r="B126" s="199"/>
      <c r="C126" s="199"/>
      <c r="D126" s="199"/>
      <c r="E126" s="199"/>
      <c r="F126" s="199"/>
      <c r="G126" s="244"/>
      <c r="H126" s="199"/>
      <c r="I126" s="199"/>
      <c r="J126" s="199"/>
      <c r="K126" s="199"/>
      <c r="L126" s="199"/>
      <c r="M126" s="199"/>
      <c r="N126" s="199"/>
      <c r="O126" s="199"/>
      <c r="P126" s="199"/>
      <c r="Q126" s="199"/>
      <c r="R126" s="199"/>
      <c r="S126" s="199"/>
      <c r="T126" s="199"/>
      <c r="U126" s="199"/>
      <c r="V126" s="199"/>
      <c r="W126" s="199"/>
      <c r="X126" s="199"/>
      <c r="Y126" s="199"/>
      <c r="Z126" s="199"/>
      <c r="AA126" s="199"/>
      <c r="AB126" s="199"/>
    </row>
    <row r="127" spans="1:28" ht="12.75">
      <c r="A127" s="199"/>
      <c r="B127" s="199"/>
      <c r="C127" s="199"/>
      <c r="D127" s="199"/>
      <c r="E127" s="199"/>
      <c r="F127" s="199"/>
      <c r="G127" s="244"/>
      <c r="H127" s="199"/>
      <c r="I127" s="199"/>
      <c r="J127" s="199"/>
      <c r="K127" s="199"/>
      <c r="L127" s="199"/>
      <c r="M127" s="199"/>
      <c r="N127" s="199"/>
      <c r="O127" s="199"/>
      <c r="P127" s="199"/>
      <c r="Q127" s="199"/>
      <c r="R127" s="199"/>
      <c r="S127" s="199"/>
      <c r="T127" s="199"/>
      <c r="U127" s="199"/>
      <c r="V127" s="199"/>
      <c r="W127" s="199"/>
      <c r="X127" s="199"/>
      <c r="Y127" s="199"/>
      <c r="Z127" s="199"/>
      <c r="AA127" s="199"/>
      <c r="AB127" s="199"/>
    </row>
    <row r="128" spans="1:28" ht="12.75">
      <c r="A128" s="199"/>
      <c r="B128" s="199"/>
      <c r="C128" s="199"/>
      <c r="D128" s="199"/>
      <c r="E128" s="199"/>
      <c r="F128" s="199"/>
      <c r="G128" s="244"/>
      <c r="H128" s="199"/>
      <c r="I128" s="199"/>
      <c r="J128" s="199"/>
      <c r="K128" s="199"/>
      <c r="L128" s="199"/>
      <c r="M128" s="199"/>
      <c r="N128" s="199"/>
      <c r="O128" s="199"/>
      <c r="P128" s="199"/>
      <c r="Q128" s="199"/>
      <c r="R128" s="199"/>
      <c r="S128" s="199"/>
      <c r="T128" s="199"/>
      <c r="U128" s="199"/>
      <c r="V128" s="199"/>
      <c r="W128" s="199"/>
      <c r="X128" s="199"/>
      <c r="Y128" s="199"/>
      <c r="Z128" s="199"/>
      <c r="AA128" s="199"/>
      <c r="AB128" s="199"/>
    </row>
    <row r="129" spans="1:28" ht="12.75">
      <c r="A129" s="199"/>
      <c r="B129" s="199"/>
      <c r="C129" s="199"/>
      <c r="D129" s="199"/>
      <c r="E129" s="199"/>
      <c r="F129" s="199"/>
      <c r="G129" s="244"/>
      <c r="H129" s="199"/>
      <c r="I129" s="199"/>
      <c r="J129" s="199"/>
      <c r="K129" s="199"/>
      <c r="L129" s="199"/>
      <c r="M129" s="199"/>
      <c r="N129" s="199"/>
      <c r="O129" s="199"/>
      <c r="P129" s="199"/>
      <c r="Q129" s="199"/>
      <c r="R129" s="199"/>
      <c r="S129" s="199"/>
      <c r="T129" s="199"/>
      <c r="U129" s="199"/>
      <c r="V129" s="199"/>
      <c r="W129" s="199"/>
      <c r="X129" s="199"/>
      <c r="Y129" s="199"/>
      <c r="Z129" s="199"/>
      <c r="AA129" s="199"/>
      <c r="AB129" s="199"/>
    </row>
    <row r="130" spans="1:28" ht="12.75">
      <c r="A130" s="199"/>
      <c r="B130" s="199"/>
      <c r="C130" s="199"/>
      <c r="D130" s="199"/>
      <c r="E130" s="199"/>
      <c r="F130" s="199"/>
      <c r="G130" s="244"/>
      <c r="H130" s="199"/>
      <c r="I130" s="199"/>
      <c r="J130" s="199"/>
      <c r="K130" s="199"/>
      <c r="L130" s="199"/>
      <c r="M130" s="199"/>
      <c r="N130" s="199"/>
      <c r="O130" s="199"/>
      <c r="P130" s="199"/>
      <c r="Q130" s="199"/>
      <c r="R130" s="199"/>
      <c r="S130" s="199"/>
      <c r="T130" s="199"/>
      <c r="U130" s="199"/>
      <c r="V130" s="199"/>
      <c r="W130" s="199"/>
      <c r="X130" s="199"/>
      <c r="Y130" s="199"/>
      <c r="Z130" s="199"/>
      <c r="AA130" s="199"/>
      <c r="AB130" s="199"/>
    </row>
    <row r="131" spans="1:28" ht="12.75">
      <c r="A131" s="199"/>
      <c r="B131" s="199"/>
      <c r="C131" s="199"/>
      <c r="D131" s="199"/>
      <c r="E131" s="199"/>
      <c r="F131" s="199"/>
      <c r="G131" s="244"/>
      <c r="H131" s="199"/>
      <c r="I131" s="199"/>
      <c r="J131" s="199"/>
      <c r="K131" s="199"/>
      <c r="L131" s="199"/>
      <c r="M131" s="199"/>
      <c r="N131" s="199"/>
      <c r="O131" s="199"/>
      <c r="P131" s="199"/>
      <c r="Q131" s="199"/>
      <c r="R131" s="199"/>
      <c r="S131" s="199"/>
      <c r="T131" s="199"/>
      <c r="U131" s="199"/>
      <c r="V131" s="199"/>
      <c r="W131" s="199"/>
      <c r="X131" s="199"/>
      <c r="Y131" s="199"/>
      <c r="Z131" s="199"/>
      <c r="AA131" s="199"/>
      <c r="AB131" s="199"/>
    </row>
    <row r="132" spans="1:28" ht="12.75">
      <c r="A132" s="199"/>
      <c r="B132" s="199"/>
      <c r="C132" s="199"/>
      <c r="D132" s="199"/>
      <c r="E132" s="199"/>
      <c r="F132" s="199"/>
      <c r="G132" s="244"/>
      <c r="H132" s="199"/>
      <c r="I132" s="199"/>
      <c r="J132" s="199"/>
      <c r="K132" s="199"/>
      <c r="L132" s="199"/>
      <c r="M132" s="199"/>
      <c r="N132" s="199"/>
      <c r="O132" s="199"/>
      <c r="P132" s="199"/>
      <c r="Q132" s="199"/>
      <c r="R132" s="199"/>
      <c r="S132" s="199"/>
      <c r="T132" s="199"/>
      <c r="U132" s="199"/>
      <c r="V132" s="199"/>
      <c r="W132" s="199"/>
      <c r="X132" s="199"/>
      <c r="Y132" s="199"/>
      <c r="Z132" s="199"/>
      <c r="AA132" s="199"/>
      <c r="AB132" s="199"/>
    </row>
    <row r="133" spans="1:28" ht="12.75">
      <c r="A133" s="199"/>
      <c r="B133" s="199"/>
      <c r="C133" s="199"/>
      <c r="D133" s="199"/>
      <c r="E133" s="199"/>
      <c r="F133" s="199"/>
      <c r="G133" s="244"/>
      <c r="H133" s="199"/>
      <c r="I133" s="199"/>
      <c r="J133" s="199"/>
      <c r="K133" s="199"/>
      <c r="L133" s="199"/>
      <c r="M133" s="199"/>
      <c r="N133" s="199"/>
      <c r="O133" s="199"/>
      <c r="P133" s="199"/>
      <c r="Q133" s="199"/>
      <c r="R133" s="199"/>
      <c r="S133" s="199"/>
      <c r="T133" s="199"/>
      <c r="U133" s="199"/>
      <c r="V133" s="199"/>
      <c r="W133" s="199"/>
      <c r="X133" s="199"/>
      <c r="Y133" s="199"/>
      <c r="Z133" s="199"/>
      <c r="AA133" s="199"/>
      <c r="AB133" s="199"/>
    </row>
    <row r="134" spans="1:28" ht="12.75">
      <c r="A134" s="199"/>
      <c r="B134" s="199"/>
      <c r="C134" s="199"/>
      <c r="D134" s="199"/>
      <c r="E134" s="199"/>
      <c r="F134" s="199"/>
      <c r="G134" s="244"/>
      <c r="H134" s="199"/>
      <c r="I134" s="199"/>
      <c r="J134" s="199"/>
      <c r="K134" s="199"/>
      <c r="L134" s="199"/>
      <c r="M134" s="199"/>
      <c r="N134" s="199"/>
      <c r="O134" s="199"/>
      <c r="P134" s="199"/>
      <c r="Q134" s="199"/>
      <c r="R134" s="199"/>
      <c r="S134" s="199"/>
      <c r="T134" s="199"/>
      <c r="U134" s="199"/>
      <c r="V134" s="199"/>
      <c r="W134" s="199"/>
      <c r="X134" s="199"/>
      <c r="Y134" s="199"/>
      <c r="Z134" s="199"/>
      <c r="AA134" s="199"/>
      <c r="AB134" s="199"/>
    </row>
    <row r="135" spans="1:28" ht="12.75">
      <c r="A135" s="199"/>
      <c r="B135" s="199"/>
      <c r="C135" s="199"/>
      <c r="D135" s="199"/>
      <c r="E135" s="199"/>
      <c r="F135" s="199"/>
      <c r="G135" s="244"/>
      <c r="H135" s="199"/>
      <c r="I135" s="199"/>
      <c r="J135" s="199"/>
      <c r="K135" s="199"/>
      <c r="L135" s="199"/>
      <c r="M135" s="199"/>
      <c r="N135" s="199"/>
      <c r="O135" s="199"/>
      <c r="P135" s="199"/>
      <c r="Q135" s="199"/>
      <c r="R135" s="199"/>
      <c r="S135" s="199"/>
      <c r="T135" s="199"/>
      <c r="U135" s="199"/>
      <c r="V135" s="199"/>
      <c r="W135" s="199"/>
      <c r="X135" s="199"/>
      <c r="Y135" s="199"/>
      <c r="Z135" s="199"/>
      <c r="AA135" s="199"/>
      <c r="AB135" s="199"/>
    </row>
    <row r="136" spans="1:28" ht="12.75">
      <c r="A136" s="199"/>
      <c r="B136" s="199"/>
      <c r="C136" s="199"/>
      <c r="D136" s="199"/>
      <c r="E136" s="199"/>
      <c r="F136" s="199"/>
      <c r="G136" s="244"/>
      <c r="H136" s="199"/>
      <c r="I136" s="199"/>
      <c r="J136" s="199"/>
      <c r="K136" s="199"/>
      <c r="L136" s="199"/>
      <c r="M136" s="199"/>
      <c r="N136" s="199"/>
      <c r="O136" s="199"/>
      <c r="P136" s="199"/>
      <c r="Q136" s="199"/>
      <c r="R136" s="199"/>
      <c r="S136" s="199"/>
      <c r="T136" s="199"/>
      <c r="U136" s="199"/>
      <c r="V136" s="199"/>
      <c r="W136" s="199"/>
      <c r="X136" s="199"/>
      <c r="Y136" s="199"/>
      <c r="Z136" s="199"/>
      <c r="AA136" s="199"/>
      <c r="AB136" s="199"/>
    </row>
    <row r="137" spans="1:28" ht="12.75">
      <c r="A137" s="199"/>
      <c r="B137" s="199"/>
      <c r="C137" s="199"/>
      <c r="D137" s="199"/>
      <c r="E137" s="199"/>
      <c r="F137" s="199"/>
      <c r="G137" s="244"/>
      <c r="H137" s="199"/>
      <c r="I137" s="199"/>
      <c r="J137" s="199"/>
      <c r="K137" s="199"/>
      <c r="L137" s="199"/>
      <c r="M137" s="199"/>
      <c r="N137" s="199"/>
      <c r="O137" s="199"/>
      <c r="P137" s="199"/>
      <c r="Q137" s="199"/>
      <c r="R137" s="199"/>
      <c r="S137" s="199"/>
      <c r="T137" s="199"/>
      <c r="U137" s="199"/>
      <c r="V137" s="199"/>
      <c r="W137" s="199"/>
      <c r="X137" s="199"/>
      <c r="Y137" s="199"/>
      <c r="Z137" s="199"/>
      <c r="AA137" s="199"/>
      <c r="AB137" s="199"/>
    </row>
    <row r="138" spans="1:28" ht="12.75">
      <c r="A138" s="199"/>
      <c r="B138" s="199"/>
      <c r="C138" s="199"/>
      <c r="D138" s="199"/>
      <c r="E138" s="199"/>
      <c r="F138" s="199"/>
      <c r="G138" s="244"/>
      <c r="H138" s="199"/>
      <c r="I138" s="199"/>
      <c r="J138" s="199"/>
      <c r="K138" s="199"/>
      <c r="L138" s="199"/>
      <c r="M138" s="199"/>
      <c r="N138" s="199"/>
      <c r="O138" s="199"/>
      <c r="P138" s="199"/>
      <c r="Q138" s="199"/>
      <c r="R138" s="199"/>
      <c r="S138" s="199"/>
      <c r="T138" s="199"/>
      <c r="U138" s="199"/>
      <c r="V138" s="199"/>
      <c r="W138" s="199"/>
      <c r="X138" s="199"/>
      <c r="Y138" s="199"/>
      <c r="Z138" s="199"/>
      <c r="AA138" s="199"/>
      <c r="AB138" s="199"/>
    </row>
    <row r="139" spans="1:28" ht="12.75">
      <c r="A139" s="199"/>
      <c r="B139" s="199"/>
      <c r="C139" s="199"/>
      <c r="D139" s="199"/>
      <c r="E139" s="199"/>
      <c r="F139" s="199"/>
      <c r="G139" s="244"/>
      <c r="H139" s="199"/>
      <c r="I139" s="199"/>
      <c r="J139" s="199"/>
      <c r="K139" s="199"/>
      <c r="L139" s="199"/>
      <c r="M139" s="199"/>
      <c r="N139" s="199"/>
      <c r="O139" s="199"/>
      <c r="P139" s="199"/>
      <c r="Q139" s="199"/>
      <c r="R139" s="199"/>
      <c r="S139" s="199"/>
      <c r="T139" s="199"/>
      <c r="U139" s="199"/>
      <c r="V139" s="199"/>
      <c r="W139" s="199"/>
      <c r="X139" s="199"/>
      <c r="Y139" s="199"/>
      <c r="Z139" s="199"/>
      <c r="AA139" s="199"/>
      <c r="AB139" s="199"/>
    </row>
    <row r="140" spans="1:28" ht="12.75">
      <c r="A140" s="199"/>
      <c r="B140" s="199"/>
      <c r="C140" s="199"/>
      <c r="D140" s="199"/>
      <c r="E140" s="199"/>
      <c r="F140" s="199"/>
      <c r="G140" s="244"/>
      <c r="H140" s="199"/>
      <c r="I140" s="199"/>
      <c r="J140" s="199"/>
      <c r="K140" s="199"/>
      <c r="L140" s="199"/>
      <c r="M140" s="199"/>
      <c r="N140" s="199"/>
      <c r="O140" s="199"/>
      <c r="P140" s="199"/>
      <c r="Q140" s="199"/>
      <c r="R140" s="199"/>
      <c r="S140" s="199"/>
      <c r="T140" s="199"/>
      <c r="U140" s="199"/>
      <c r="V140" s="199"/>
      <c r="W140" s="199"/>
      <c r="X140" s="199"/>
      <c r="Y140" s="199"/>
      <c r="Z140" s="199"/>
      <c r="AA140" s="199"/>
      <c r="AB140" s="199"/>
    </row>
    <row r="141" spans="1:28" ht="12.75">
      <c r="A141" s="199"/>
      <c r="B141" s="199"/>
      <c r="C141" s="199"/>
      <c r="D141" s="199"/>
      <c r="E141" s="199"/>
      <c r="F141" s="199"/>
      <c r="G141" s="244"/>
      <c r="H141" s="199"/>
      <c r="I141" s="199"/>
      <c r="J141" s="199"/>
      <c r="K141" s="199"/>
      <c r="L141" s="199"/>
      <c r="M141" s="199"/>
      <c r="N141" s="199"/>
      <c r="O141" s="199"/>
      <c r="P141" s="199"/>
      <c r="Q141" s="199"/>
      <c r="R141" s="199"/>
      <c r="S141" s="199"/>
      <c r="T141" s="199"/>
      <c r="U141" s="199"/>
      <c r="V141" s="199"/>
      <c r="W141" s="199"/>
      <c r="X141" s="199"/>
      <c r="Y141" s="199"/>
      <c r="Z141" s="199"/>
      <c r="AA141" s="199"/>
      <c r="AB141" s="199"/>
    </row>
    <row r="142" spans="1:28" ht="12.75">
      <c r="A142" s="199"/>
      <c r="B142" s="199"/>
      <c r="C142" s="199"/>
      <c r="D142" s="199"/>
      <c r="E142" s="199"/>
      <c r="F142" s="199"/>
      <c r="G142" s="244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</row>
    <row r="143" spans="1:28" ht="12.75">
      <c r="A143" s="199"/>
      <c r="B143" s="199"/>
      <c r="C143" s="199"/>
      <c r="D143" s="199"/>
      <c r="E143" s="199"/>
      <c r="F143" s="199"/>
      <c r="G143" s="244"/>
      <c r="H143" s="199"/>
      <c r="I143" s="199"/>
      <c r="J143" s="199"/>
      <c r="K143" s="199"/>
      <c r="L143" s="199"/>
      <c r="M143" s="199"/>
      <c r="N143" s="199"/>
      <c r="O143" s="199"/>
      <c r="P143" s="199"/>
      <c r="Q143" s="199"/>
      <c r="R143" s="199"/>
      <c r="S143" s="199"/>
      <c r="T143" s="199"/>
      <c r="U143" s="199"/>
      <c r="V143" s="199"/>
      <c r="W143" s="199"/>
      <c r="X143" s="199"/>
      <c r="Y143" s="199"/>
      <c r="Z143" s="199"/>
      <c r="AA143" s="199"/>
      <c r="AB143" s="199"/>
    </row>
    <row r="144" spans="1:28" ht="12.75">
      <c r="A144" s="199"/>
      <c r="B144" s="199"/>
      <c r="C144" s="199"/>
      <c r="D144" s="199"/>
      <c r="E144" s="199"/>
      <c r="F144" s="199"/>
      <c r="G144" s="244"/>
      <c r="H144" s="199"/>
      <c r="I144" s="199"/>
      <c r="J144" s="199"/>
      <c r="K144" s="199"/>
      <c r="L144" s="199"/>
      <c r="M144" s="199"/>
      <c r="N144" s="199"/>
      <c r="O144" s="199"/>
      <c r="P144" s="199"/>
      <c r="Q144" s="199"/>
      <c r="R144" s="199"/>
      <c r="S144" s="199"/>
      <c r="T144" s="199"/>
      <c r="U144" s="199"/>
      <c r="V144" s="199"/>
      <c r="W144" s="199"/>
      <c r="X144" s="199"/>
      <c r="Y144" s="199"/>
      <c r="Z144" s="199"/>
      <c r="AA144" s="199"/>
      <c r="AB144" s="199"/>
    </row>
    <row r="145" spans="1:28" ht="12.75">
      <c r="A145" s="199"/>
      <c r="B145" s="199"/>
      <c r="C145" s="199"/>
      <c r="D145" s="199"/>
      <c r="E145" s="199"/>
      <c r="F145" s="199"/>
      <c r="G145" s="244"/>
      <c r="H145" s="199"/>
      <c r="I145" s="199"/>
      <c r="J145" s="199"/>
      <c r="K145" s="199"/>
      <c r="L145" s="199"/>
      <c r="M145" s="199"/>
      <c r="N145" s="199"/>
      <c r="O145" s="199"/>
      <c r="P145" s="199"/>
      <c r="Q145" s="199"/>
      <c r="R145" s="199"/>
      <c r="S145" s="199"/>
      <c r="T145" s="199"/>
      <c r="U145" s="199"/>
      <c r="V145" s="199"/>
      <c r="W145" s="199"/>
      <c r="X145" s="199"/>
      <c r="Y145" s="199"/>
      <c r="Z145" s="199"/>
      <c r="AA145" s="199"/>
      <c r="AB145" s="199"/>
    </row>
    <row r="146" spans="1:28" ht="12.75">
      <c r="A146" s="199"/>
      <c r="B146" s="199"/>
      <c r="C146" s="199"/>
      <c r="D146" s="199"/>
      <c r="E146" s="199"/>
      <c r="F146" s="199"/>
      <c r="G146" s="244"/>
      <c r="H146" s="199"/>
      <c r="I146" s="199"/>
      <c r="J146" s="199"/>
      <c r="K146" s="199"/>
      <c r="L146" s="199"/>
      <c r="M146" s="199"/>
      <c r="N146" s="199"/>
      <c r="O146" s="199"/>
      <c r="P146" s="199"/>
      <c r="Q146" s="199"/>
      <c r="R146" s="199"/>
      <c r="S146" s="199"/>
      <c r="T146" s="199"/>
      <c r="U146" s="199"/>
      <c r="V146" s="199"/>
      <c r="W146" s="199"/>
      <c r="X146" s="199"/>
      <c r="Y146" s="199"/>
      <c r="Z146" s="199"/>
      <c r="AA146" s="199"/>
      <c r="AB146" s="199"/>
    </row>
    <row r="147" spans="1:28" ht="12.75">
      <c r="A147" s="199"/>
      <c r="B147" s="199"/>
      <c r="C147" s="199"/>
      <c r="D147" s="199"/>
      <c r="E147" s="199"/>
      <c r="F147" s="199"/>
      <c r="G147" s="244"/>
      <c r="H147" s="199"/>
      <c r="I147" s="199"/>
      <c r="J147" s="199"/>
      <c r="K147" s="199"/>
      <c r="L147" s="199"/>
      <c r="M147" s="199"/>
      <c r="N147" s="199"/>
      <c r="O147" s="199"/>
      <c r="P147" s="199"/>
      <c r="Q147" s="199"/>
      <c r="R147" s="199"/>
      <c r="S147" s="199"/>
      <c r="T147" s="199"/>
      <c r="U147" s="199"/>
      <c r="V147" s="199"/>
      <c r="W147" s="199"/>
      <c r="X147" s="199"/>
      <c r="Y147" s="199"/>
      <c r="Z147" s="199"/>
      <c r="AA147" s="199"/>
      <c r="AB147" s="199"/>
    </row>
    <row r="148" spans="1:28" ht="12.75">
      <c r="A148" s="199"/>
      <c r="B148" s="199"/>
      <c r="C148" s="199"/>
      <c r="D148" s="199"/>
      <c r="E148" s="199"/>
      <c r="F148" s="199"/>
      <c r="G148" s="244"/>
      <c r="H148" s="199"/>
      <c r="I148" s="199"/>
      <c r="J148" s="199"/>
      <c r="K148" s="199"/>
      <c r="L148" s="199"/>
      <c r="M148" s="199"/>
      <c r="N148" s="199"/>
      <c r="O148" s="199"/>
      <c r="P148" s="199"/>
      <c r="Q148" s="199"/>
      <c r="R148" s="199"/>
      <c r="S148" s="199"/>
      <c r="T148" s="199"/>
      <c r="U148" s="199"/>
      <c r="V148" s="199"/>
      <c r="W148" s="199"/>
      <c r="X148" s="199"/>
      <c r="Y148" s="199"/>
      <c r="Z148" s="199"/>
      <c r="AA148" s="199"/>
      <c r="AB148" s="199"/>
    </row>
    <row r="149" spans="1:28" ht="12.75">
      <c r="A149" s="199"/>
      <c r="B149" s="199"/>
      <c r="C149" s="199"/>
      <c r="D149" s="199"/>
      <c r="E149" s="199"/>
      <c r="F149" s="199"/>
      <c r="G149" s="244"/>
      <c r="H149" s="199"/>
      <c r="I149" s="199"/>
      <c r="J149" s="199"/>
      <c r="K149" s="199"/>
      <c r="L149" s="199"/>
      <c r="M149" s="199"/>
      <c r="N149" s="199"/>
      <c r="O149" s="199"/>
      <c r="P149" s="199"/>
      <c r="Q149" s="199"/>
      <c r="R149" s="199"/>
      <c r="S149" s="199"/>
      <c r="T149" s="199"/>
      <c r="U149" s="199"/>
      <c r="V149" s="199"/>
      <c r="W149" s="199"/>
      <c r="X149" s="199"/>
      <c r="Y149" s="199"/>
      <c r="Z149" s="199"/>
      <c r="AA149" s="199"/>
      <c r="AB149" s="199"/>
    </row>
    <row r="150" spans="1:28" ht="12.75">
      <c r="A150" s="199"/>
      <c r="B150" s="199"/>
      <c r="C150" s="199"/>
      <c r="D150" s="199"/>
      <c r="E150" s="199"/>
      <c r="F150" s="199"/>
      <c r="G150" s="244"/>
      <c r="H150" s="199"/>
      <c r="I150" s="199"/>
      <c r="J150" s="199"/>
      <c r="K150" s="199"/>
      <c r="L150" s="199"/>
      <c r="M150" s="199"/>
      <c r="N150" s="199"/>
      <c r="O150" s="199"/>
      <c r="P150" s="199"/>
      <c r="Q150" s="199"/>
      <c r="R150" s="199"/>
      <c r="S150" s="199"/>
      <c r="T150" s="199"/>
      <c r="U150" s="199"/>
      <c r="V150" s="199"/>
      <c r="W150" s="199"/>
      <c r="X150" s="199"/>
      <c r="Y150" s="199"/>
      <c r="Z150" s="199"/>
      <c r="AA150" s="199"/>
      <c r="AB150" s="199"/>
    </row>
    <row r="151" spans="1:28" ht="12.75">
      <c r="A151" s="199"/>
      <c r="B151" s="199"/>
      <c r="C151" s="199"/>
      <c r="D151" s="199"/>
      <c r="E151" s="199"/>
      <c r="F151" s="199"/>
      <c r="G151" s="244"/>
      <c r="H151" s="199"/>
      <c r="I151" s="199"/>
      <c r="J151" s="199"/>
      <c r="K151" s="199"/>
      <c r="L151" s="199"/>
      <c r="M151" s="199"/>
      <c r="N151" s="199"/>
      <c r="O151" s="199"/>
      <c r="P151" s="199"/>
      <c r="Q151" s="199"/>
      <c r="R151" s="199"/>
      <c r="S151" s="199"/>
      <c r="T151" s="199"/>
      <c r="U151" s="199"/>
      <c r="V151" s="199"/>
      <c r="W151" s="199"/>
      <c r="X151" s="199"/>
      <c r="Y151" s="199"/>
      <c r="Z151" s="199"/>
      <c r="AA151" s="199"/>
      <c r="AB151" s="199"/>
    </row>
    <row r="152" spans="1:28" ht="12.75">
      <c r="A152" s="199"/>
      <c r="B152" s="199"/>
      <c r="C152" s="199"/>
      <c r="D152" s="199"/>
      <c r="E152" s="199"/>
      <c r="F152" s="199"/>
      <c r="G152" s="244"/>
      <c r="H152" s="199"/>
      <c r="I152" s="199"/>
      <c r="J152" s="199"/>
      <c r="K152" s="199"/>
      <c r="L152" s="199"/>
      <c r="M152" s="199"/>
      <c r="N152" s="199"/>
      <c r="O152" s="199"/>
      <c r="P152" s="199"/>
      <c r="Q152" s="199"/>
      <c r="R152" s="199"/>
      <c r="S152" s="199"/>
      <c r="T152" s="199"/>
      <c r="U152" s="199"/>
      <c r="V152" s="199"/>
      <c r="W152" s="199"/>
      <c r="X152" s="199"/>
      <c r="Y152" s="199"/>
      <c r="Z152" s="199"/>
      <c r="AA152" s="199"/>
      <c r="AB152" s="199"/>
    </row>
    <row r="153" spans="1:28" ht="12.75">
      <c r="A153" s="199"/>
      <c r="B153" s="199"/>
      <c r="C153" s="199"/>
      <c r="D153" s="199"/>
      <c r="E153" s="199"/>
      <c r="F153" s="199"/>
      <c r="G153" s="244"/>
      <c r="H153" s="199"/>
      <c r="I153" s="199"/>
      <c r="J153" s="199"/>
      <c r="K153" s="199"/>
      <c r="L153" s="199"/>
      <c r="M153" s="199"/>
      <c r="N153" s="199"/>
      <c r="O153" s="199"/>
      <c r="P153" s="199"/>
      <c r="Q153" s="199"/>
      <c r="R153" s="199"/>
      <c r="S153" s="199"/>
      <c r="T153" s="199"/>
      <c r="U153" s="199"/>
      <c r="V153" s="199"/>
      <c r="W153" s="199"/>
      <c r="X153" s="199"/>
      <c r="Y153" s="199"/>
      <c r="Z153" s="199"/>
      <c r="AA153" s="199"/>
      <c r="AB153" s="199"/>
    </row>
    <row r="154" spans="1:28" ht="12.75">
      <c r="A154" s="199"/>
      <c r="B154" s="199"/>
      <c r="C154" s="199"/>
      <c r="D154" s="199"/>
      <c r="E154" s="199"/>
      <c r="F154" s="199"/>
      <c r="G154" s="244"/>
      <c r="H154" s="199"/>
      <c r="I154" s="199"/>
      <c r="J154" s="199"/>
      <c r="K154" s="199"/>
      <c r="L154" s="199"/>
      <c r="M154" s="199"/>
      <c r="N154" s="199"/>
      <c r="O154" s="199"/>
      <c r="P154" s="199"/>
      <c r="Q154" s="199"/>
      <c r="R154" s="199"/>
      <c r="S154" s="199"/>
      <c r="T154" s="199"/>
      <c r="U154" s="199"/>
      <c r="V154" s="199"/>
      <c r="W154" s="199"/>
      <c r="X154" s="199"/>
      <c r="Y154" s="199"/>
      <c r="Z154" s="199"/>
      <c r="AA154" s="199"/>
      <c r="AB154" s="199"/>
    </row>
    <row r="155" spans="1:28" ht="12.75">
      <c r="A155" s="199"/>
      <c r="B155" s="199"/>
      <c r="C155" s="199"/>
      <c r="D155" s="199"/>
      <c r="E155" s="199"/>
      <c r="F155" s="199"/>
      <c r="G155" s="244"/>
      <c r="H155" s="199"/>
      <c r="I155" s="199"/>
      <c r="J155" s="199"/>
      <c r="K155" s="199"/>
      <c r="L155" s="199"/>
      <c r="M155" s="199"/>
      <c r="N155" s="199"/>
      <c r="O155" s="199"/>
      <c r="P155" s="199"/>
      <c r="Q155" s="199"/>
      <c r="R155" s="199"/>
      <c r="S155" s="199"/>
      <c r="T155" s="199"/>
      <c r="U155" s="199"/>
      <c r="V155" s="199"/>
      <c r="W155" s="199"/>
      <c r="X155" s="199"/>
      <c r="Y155" s="199"/>
      <c r="Z155" s="199"/>
      <c r="AA155" s="199"/>
      <c r="AB155" s="199"/>
    </row>
    <row r="156" spans="1:28" ht="12.75">
      <c r="A156" s="199"/>
      <c r="B156" s="199"/>
      <c r="C156" s="199"/>
      <c r="D156" s="199"/>
      <c r="E156" s="199"/>
      <c r="F156" s="199"/>
      <c r="G156" s="244"/>
      <c r="H156" s="199"/>
      <c r="I156" s="199"/>
      <c r="J156" s="199"/>
      <c r="K156" s="199"/>
      <c r="L156" s="199"/>
      <c r="M156" s="199"/>
      <c r="N156" s="199"/>
      <c r="O156" s="199"/>
      <c r="P156" s="199"/>
      <c r="Q156" s="199"/>
      <c r="R156" s="199"/>
      <c r="S156" s="199"/>
      <c r="T156" s="199"/>
      <c r="U156" s="199"/>
      <c r="V156" s="199"/>
      <c r="W156" s="199"/>
      <c r="X156" s="199"/>
      <c r="Y156" s="199"/>
      <c r="Z156" s="199"/>
      <c r="AA156" s="199"/>
      <c r="AB156" s="199"/>
    </row>
    <row r="157" spans="1:28" ht="12.75">
      <c r="A157" s="199"/>
      <c r="B157" s="199"/>
      <c r="C157" s="199"/>
      <c r="D157" s="199"/>
      <c r="E157" s="199"/>
      <c r="F157" s="199"/>
      <c r="G157" s="244"/>
      <c r="H157" s="199"/>
      <c r="I157" s="199"/>
      <c r="J157" s="199"/>
      <c r="K157" s="199"/>
      <c r="L157" s="199"/>
      <c r="M157" s="199"/>
      <c r="N157" s="199"/>
      <c r="O157" s="199"/>
      <c r="P157" s="199"/>
      <c r="Q157" s="199"/>
      <c r="R157" s="199"/>
      <c r="S157" s="199"/>
      <c r="T157" s="199"/>
      <c r="U157" s="199"/>
      <c r="V157" s="199"/>
      <c r="W157" s="199"/>
      <c r="X157" s="199"/>
      <c r="Y157" s="199"/>
      <c r="Z157" s="199"/>
      <c r="AA157" s="199"/>
      <c r="AB157" s="199"/>
    </row>
    <row r="158" spans="1:28" ht="12.75">
      <c r="A158" s="199"/>
      <c r="B158" s="199"/>
      <c r="C158" s="199"/>
      <c r="D158" s="199"/>
      <c r="E158" s="199"/>
      <c r="F158" s="199"/>
      <c r="G158" s="244"/>
      <c r="H158" s="199"/>
      <c r="I158" s="199"/>
      <c r="J158" s="199"/>
      <c r="K158" s="199"/>
      <c r="L158" s="199"/>
      <c r="M158" s="199"/>
      <c r="N158" s="199"/>
      <c r="O158" s="199"/>
      <c r="P158" s="199"/>
      <c r="Q158" s="199"/>
      <c r="R158" s="199"/>
      <c r="S158" s="199"/>
      <c r="T158" s="199"/>
      <c r="U158" s="199"/>
      <c r="V158" s="199"/>
      <c r="W158" s="199"/>
      <c r="X158" s="199"/>
      <c r="Y158" s="199"/>
      <c r="Z158" s="199"/>
      <c r="AA158" s="199"/>
      <c r="AB158" s="199"/>
    </row>
    <row r="159" spans="1:28" ht="12.75">
      <c r="A159" s="199"/>
      <c r="B159" s="199"/>
      <c r="C159" s="199"/>
      <c r="D159" s="199"/>
      <c r="E159" s="199"/>
      <c r="F159" s="199"/>
      <c r="G159" s="244"/>
      <c r="H159" s="199"/>
      <c r="I159" s="199"/>
      <c r="J159" s="199"/>
      <c r="K159" s="199"/>
      <c r="L159" s="199"/>
      <c r="M159" s="199"/>
      <c r="N159" s="199"/>
      <c r="O159" s="199"/>
      <c r="P159" s="199"/>
      <c r="Q159" s="199"/>
      <c r="R159" s="199"/>
      <c r="S159" s="199"/>
      <c r="T159" s="199"/>
      <c r="U159" s="199"/>
      <c r="V159" s="199"/>
      <c r="W159" s="199"/>
      <c r="X159" s="199"/>
      <c r="Y159" s="199"/>
      <c r="Z159" s="199"/>
      <c r="AA159" s="199"/>
      <c r="AB159" s="199"/>
    </row>
    <row r="160" spans="1:28" ht="12.75">
      <c r="A160" s="199"/>
      <c r="B160" s="199"/>
      <c r="C160" s="199"/>
      <c r="D160" s="199"/>
      <c r="E160" s="199"/>
      <c r="F160" s="199"/>
      <c r="G160" s="244"/>
      <c r="H160" s="199"/>
      <c r="I160" s="199"/>
      <c r="J160" s="199"/>
      <c r="K160" s="199"/>
      <c r="L160" s="199"/>
      <c r="M160" s="199"/>
      <c r="N160" s="199"/>
      <c r="O160" s="199"/>
      <c r="P160" s="199"/>
      <c r="Q160" s="199"/>
      <c r="R160" s="199"/>
      <c r="S160" s="199"/>
      <c r="T160" s="199"/>
      <c r="U160" s="199"/>
      <c r="V160" s="199"/>
      <c r="W160" s="199"/>
      <c r="X160" s="199"/>
      <c r="Y160" s="199"/>
      <c r="Z160" s="199"/>
      <c r="AA160" s="199"/>
      <c r="AB160" s="199"/>
    </row>
    <row r="161" spans="1:28" ht="12.75">
      <c r="A161" s="199"/>
      <c r="B161" s="199"/>
      <c r="C161" s="199"/>
      <c r="D161" s="199"/>
      <c r="E161" s="199"/>
      <c r="F161" s="199"/>
      <c r="G161" s="244"/>
      <c r="H161" s="199"/>
      <c r="I161" s="199"/>
      <c r="J161" s="199"/>
      <c r="K161" s="199"/>
      <c r="L161" s="199"/>
      <c r="M161" s="199"/>
      <c r="N161" s="199"/>
      <c r="O161" s="199"/>
      <c r="P161" s="199"/>
      <c r="Q161" s="199"/>
      <c r="R161" s="199"/>
      <c r="S161" s="199"/>
      <c r="T161" s="199"/>
      <c r="U161" s="199"/>
      <c r="V161" s="199"/>
      <c r="W161" s="199"/>
      <c r="X161" s="199"/>
      <c r="Y161" s="199"/>
      <c r="Z161" s="199"/>
      <c r="AA161" s="199"/>
      <c r="AB161" s="199"/>
    </row>
    <row r="162" spans="1:28" ht="12.75">
      <c r="A162" s="199"/>
      <c r="B162" s="199"/>
      <c r="C162" s="199"/>
      <c r="D162" s="199"/>
      <c r="E162" s="199"/>
      <c r="F162" s="199"/>
      <c r="G162" s="244"/>
      <c r="H162" s="199"/>
      <c r="I162" s="199"/>
      <c r="J162" s="199"/>
      <c r="K162" s="199"/>
      <c r="L162" s="199"/>
      <c r="M162" s="199"/>
      <c r="N162" s="199"/>
      <c r="O162" s="199"/>
      <c r="P162" s="199"/>
      <c r="Q162" s="199"/>
      <c r="R162" s="199"/>
      <c r="S162" s="199"/>
      <c r="T162" s="199"/>
      <c r="U162" s="199"/>
      <c r="V162" s="199"/>
      <c r="W162" s="199"/>
      <c r="X162" s="199"/>
      <c r="Y162" s="199"/>
      <c r="Z162" s="199"/>
      <c r="AA162" s="199"/>
      <c r="AB162" s="199"/>
    </row>
    <row r="163" spans="1:28" ht="12.75">
      <c r="A163" s="199"/>
      <c r="B163" s="199"/>
      <c r="C163" s="199"/>
      <c r="D163" s="199"/>
      <c r="E163" s="199"/>
      <c r="F163" s="199"/>
      <c r="G163" s="244"/>
      <c r="H163" s="199"/>
      <c r="I163" s="199"/>
      <c r="J163" s="199"/>
      <c r="K163" s="199"/>
      <c r="L163" s="199"/>
      <c r="M163" s="199"/>
      <c r="N163" s="199"/>
      <c r="O163" s="199"/>
      <c r="P163" s="199"/>
      <c r="Q163" s="199"/>
      <c r="R163" s="199"/>
      <c r="S163" s="199"/>
      <c r="T163" s="199"/>
      <c r="U163" s="199"/>
      <c r="V163" s="199"/>
      <c r="W163" s="199"/>
      <c r="X163" s="199"/>
      <c r="Y163" s="199"/>
      <c r="Z163" s="199"/>
      <c r="AA163" s="199"/>
      <c r="AB163" s="199"/>
    </row>
    <row r="164" spans="1:28" ht="12.75">
      <c r="A164" s="199"/>
      <c r="B164" s="199"/>
      <c r="C164" s="199"/>
      <c r="D164" s="199"/>
      <c r="E164" s="199"/>
      <c r="F164" s="199"/>
      <c r="G164" s="244"/>
      <c r="H164" s="199"/>
      <c r="I164" s="199"/>
      <c r="J164" s="199"/>
      <c r="K164" s="199"/>
      <c r="L164" s="199"/>
      <c r="M164" s="199"/>
      <c r="N164" s="199"/>
      <c r="O164" s="199"/>
      <c r="P164" s="199"/>
      <c r="Q164" s="199"/>
      <c r="R164" s="199"/>
      <c r="S164" s="199"/>
      <c r="T164" s="199"/>
      <c r="U164" s="199"/>
      <c r="V164" s="199"/>
      <c r="W164" s="199"/>
      <c r="X164" s="199"/>
      <c r="Y164" s="199"/>
      <c r="Z164" s="199"/>
      <c r="AA164" s="199"/>
      <c r="AB164" s="199"/>
    </row>
    <row r="165" spans="1:28" ht="12.75">
      <c r="A165" s="199"/>
      <c r="B165" s="199"/>
      <c r="C165" s="199"/>
      <c r="D165" s="199"/>
      <c r="E165" s="199"/>
      <c r="F165" s="199"/>
      <c r="G165" s="244"/>
      <c r="H165" s="199"/>
      <c r="I165" s="199"/>
      <c r="J165" s="199"/>
      <c r="K165" s="199"/>
      <c r="L165" s="199"/>
      <c r="M165" s="199"/>
      <c r="N165" s="199"/>
      <c r="O165" s="199"/>
      <c r="P165" s="199"/>
      <c r="Q165" s="199"/>
      <c r="R165" s="199"/>
      <c r="S165" s="199"/>
      <c r="T165" s="199"/>
      <c r="U165" s="199"/>
      <c r="V165" s="199"/>
      <c r="W165" s="199"/>
      <c r="X165" s="199"/>
      <c r="Y165" s="199"/>
      <c r="Z165" s="199"/>
      <c r="AA165" s="199"/>
      <c r="AB165" s="199"/>
    </row>
    <row r="166" spans="1:28" ht="12.75">
      <c r="A166" s="199"/>
      <c r="B166" s="199"/>
      <c r="C166" s="199"/>
      <c r="D166" s="199"/>
      <c r="E166" s="199"/>
      <c r="F166" s="199"/>
      <c r="G166" s="244"/>
      <c r="H166" s="199"/>
      <c r="I166" s="199"/>
      <c r="J166" s="199"/>
      <c r="K166" s="199"/>
      <c r="L166" s="199"/>
      <c r="M166" s="199"/>
      <c r="N166" s="199"/>
      <c r="O166" s="199"/>
      <c r="P166" s="199"/>
      <c r="Q166" s="199"/>
      <c r="R166" s="199"/>
      <c r="S166" s="199"/>
      <c r="T166" s="199"/>
      <c r="U166" s="199"/>
      <c r="V166" s="199"/>
      <c r="W166" s="199"/>
      <c r="X166" s="199"/>
      <c r="Y166" s="199"/>
      <c r="Z166" s="199"/>
      <c r="AA166" s="199"/>
      <c r="AB166" s="199"/>
    </row>
    <row r="167" spans="1:28" ht="12.75">
      <c r="A167" s="199"/>
      <c r="B167" s="199"/>
      <c r="C167" s="199"/>
      <c r="D167" s="199"/>
      <c r="E167" s="199"/>
      <c r="F167" s="199"/>
      <c r="G167" s="244"/>
      <c r="H167" s="199"/>
      <c r="I167" s="199"/>
      <c r="J167" s="199"/>
      <c r="K167" s="199"/>
      <c r="L167" s="199"/>
      <c r="M167" s="199"/>
      <c r="N167" s="199"/>
      <c r="O167" s="199"/>
      <c r="P167" s="199"/>
      <c r="Q167" s="199"/>
      <c r="R167" s="199"/>
      <c r="S167" s="199"/>
      <c r="T167" s="199"/>
      <c r="U167" s="199"/>
      <c r="V167" s="199"/>
      <c r="W167" s="199"/>
      <c r="X167" s="199"/>
      <c r="Y167" s="199"/>
      <c r="Z167" s="199"/>
      <c r="AA167" s="199"/>
      <c r="AB167" s="199"/>
    </row>
    <row r="168" spans="1:28" ht="12.75">
      <c r="A168" s="199"/>
      <c r="B168" s="199"/>
      <c r="C168" s="199"/>
      <c r="D168" s="199"/>
      <c r="E168" s="199"/>
      <c r="F168" s="199"/>
      <c r="G168" s="244"/>
      <c r="H168" s="199"/>
      <c r="I168" s="199"/>
      <c r="J168" s="199"/>
      <c r="K168" s="199"/>
      <c r="L168" s="199"/>
      <c r="M168" s="199"/>
      <c r="N168" s="199"/>
      <c r="O168" s="199"/>
      <c r="P168" s="199"/>
      <c r="Q168" s="199"/>
      <c r="R168" s="199"/>
      <c r="S168" s="199"/>
      <c r="T168" s="199"/>
      <c r="U168" s="199"/>
      <c r="V168" s="199"/>
      <c r="W168" s="199"/>
      <c r="X168" s="199"/>
      <c r="Y168" s="199"/>
      <c r="Z168" s="199"/>
      <c r="AA168" s="199"/>
      <c r="AB168" s="199"/>
    </row>
    <row r="169" spans="1:28" ht="12.75">
      <c r="A169" s="199"/>
      <c r="B169" s="199"/>
      <c r="C169" s="199"/>
      <c r="D169" s="199"/>
      <c r="E169" s="199"/>
      <c r="F169" s="199"/>
      <c r="G169" s="244"/>
      <c r="H169" s="199"/>
      <c r="I169" s="199"/>
      <c r="J169" s="199"/>
      <c r="K169" s="199"/>
      <c r="L169" s="199"/>
      <c r="M169" s="199"/>
      <c r="N169" s="199"/>
      <c r="O169" s="199"/>
      <c r="P169" s="199"/>
      <c r="Q169" s="199"/>
      <c r="R169" s="199"/>
      <c r="S169" s="199"/>
      <c r="T169" s="199"/>
      <c r="U169" s="199"/>
      <c r="V169" s="199"/>
      <c r="W169" s="199"/>
      <c r="X169" s="199"/>
      <c r="Y169" s="199"/>
      <c r="Z169" s="199"/>
      <c r="AA169" s="199"/>
      <c r="AB169" s="199"/>
    </row>
    <row r="170" spans="1:28" ht="12.75">
      <c r="A170" s="199"/>
      <c r="B170" s="199"/>
      <c r="C170" s="199"/>
      <c r="D170" s="199"/>
      <c r="E170" s="199"/>
      <c r="F170" s="199"/>
      <c r="G170" s="244"/>
      <c r="H170" s="199"/>
      <c r="I170" s="199"/>
      <c r="J170" s="199"/>
      <c r="K170" s="199"/>
      <c r="L170" s="199"/>
      <c r="M170" s="199"/>
      <c r="N170" s="199"/>
      <c r="O170" s="199"/>
      <c r="P170" s="199"/>
      <c r="Q170" s="199"/>
      <c r="R170" s="199"/>
      <c r="S170" s="199"/>
      <c r="T170" s="199"/>
      <c r="U170" s="199"/>
      <c r="V170" s="199"/>
      <c r="W170" s="199"/>
      <c r="X170" s="199"/>
      <c r="Y170" s="199"/>
      <c r="Z170" s="199"/>
      <c r="AA170" s="199"/>
      <c r="AB170" s="199"/>
    </row>
    <row r="171" spans="1:28" ht="12.75">
      <c r="A171" s="199"/>
      <c r="B171" s="199"/>
      <c r="C171" s="199"/>
      <c r="D171" s="199"/>
      <c r="E171" s="199"/>
      <c r="F171" s="199"/>
      <c r="G171" s="244"/>
      <c r="H171" s="199"/>
      <c r="I171" s="199"/>
      <c r="J171" s="199"/>
      <c r="K171" s="199"/>
      <c r="L171" s="199"/>
      <c r="M171" s="199"/>
      <c r="N171" s="199"/>
      <c r="O171" s="199"/>
      <c r="P171" s="199"/>
      <c r="Q171" s="199"/>
      <c r="R171" s="199"/>
      <c r="S171" s="199"/>
      <c r="T171" s="199"/>
      <c r="U171" s="199"/>
      <c r="V171" s="199"/>
      <c r="W171" s="199"/>
      <c r="X171" s="199"/>
      <c r="Y171" s="199"/>
      <c r="Z171" s="199"/>
      <c r="AA171" s="199"/>
      <c r="AB171" s="199"/>
    </row>
    <row r="172" spans="1:28" ht="12.75">
      <c r="A172" s="199"/>
      <c r="B172" s="199"/>
      <c r="C172" s="199"/>
      <c r="D172" s="199"/>
      <c r="E172" s="199"/>
      <c r="F172" s="199"/>
      <c r="G172" s="244"/>
      <c r="H172" s="199"/>
      <c r="I172" s="199"/>
      <c r="J172" s="199"/>
      <c r="K172" s="199"/>
      <c r="L172" s="199"/>
      <c r="M172" s="199"/>
      <c r="N172" s="199"/>
      <c r="O172" s="199"/>
      <c r="P172" s="199"/>
      <c r="Q172" s="199"/>
      <c r="R172" s="199"/>
      <c r="S172" s="199"/>
      <c r="T172" s="199"/>
      <c r="U172" s="199"/>
      <c r="V172" s="199"/>
      <c r="W172" s="199"/>
      <c r="X172" s="199"/>
      <c r="Y172" s="199"/>
      <c r="Z172" s="199"/>
      <c r="AA172" s="199"/>
      <c r="AB172" s="199"/>
    </row>
    <row r="173" spans="1:28" ht="12.75">
      <c r="A173" s="199"/>
      <c r="B173" s="199"/>
      <c r="C173" s="199"/>
      <c r="D173" s="199"/>
      <c r="E173" s="199"/>
      <c r="F173" s="199"/>
      <c r="G173" s="244"/>
      <c r="H173" s="199"/>
      <c r="I173" s="199"/>
      <c r="J173" s="199"/>
      <c r="K173" s="199"/>
      <c r="L173" s="199"/>
      <c r="M173" s="199"/>
      <c r="N173" s="199"/>
      <c r="O173" s="199"/>
      <c r="P173" s="199"/>
      <c r="Q173" s="199"/>
      <c r="R173" s="199"/>
      <c r="S173" s="199"/>
      <c r="T173" s="199"/>
      <c r="U173" s="199"/>
      <c r="V173" s="199"/>
      <c r="W173" s="199"/>
      <c r="X173" s="199"/>
      <c r="Y173" s="199"/>
      <c r="Z173" s="199"/>
      <c r="AA173" s="199"/>
      <c r="AB173" s="199"/>
    </row>
    <row r="174" spans="1:28" ht="12.75">
      <c r="A174" s="199"/>
      <c r="B174" s="199"/>
      <c r="C174" s="199"/>
      <c r="D174" s="199"/>
      <c r="E174" s="199"/>
      <c r="F174" s="199"/>
      <c r="G174" s="244"/>
      <c r="H174" s="199"/>
      <c r="I174" s="199"/>
      <c r="J174" s="199"/>
      <c r="K174" s="199"/>
      <c r="L174" s="199"/>
      <c r="M174" s="199"/>
      <c r="N174" s="199"/>
      <c r="O174" s="199"/>
      <c r="P174" s="199"/>
      <c r="Q174" s="199"/>
      <c r="R174" s="199"/>
      <c r="S174" s="199"/>
      <c r="T174" s="199"/>
      <c r="U174" s="199"/>
      <c r="V174" s="199"/>
      <c r="W174" s="199"/>
      <c r="X174" s="199"/>
      <c r="Y174" s="199"/>
      <c r="Z174" s="199"/>
      <c r="AA174" s="199"/>
      <c r="AB174" s="199"/>
    </row>
    <row r="175" spans="1:28" ht="12.75">
      <c r="A175" s="199"/>
      <c r="B175" s="199"/>
      <c r="C175" s="199"/>
      <c r="D175" s="199"/>
      <c r="E175" s="199"/>
      <c r="F175" s="199"/>
      <c r="G175" s="244"/>
      <c r="H175" s="199"/>
      <c r="I175" s="199"/>
      <c r="J175" s="199"/>
      <c r="K175" s="199"/>
      <c r="L175" s="199"/>
      <c r="M175" s="199"/>
      <c r="N175" s="199"/>
      <c r="O175" s="199"/>
      <c r="P175" s="199"/>
      <c r="Q175" s="199"/>
      <c r="R175" s="199"/>
      <c r="S175" s="199"/>
      <c r="T175" s="199"/>
      <c r="U175" s="199"/>
      <c r="V175" s="199"/>
      <c r="W175" s="199"/>
      <c r="X175" s="199"/>
      <c r="Y175" s="199"/>
      <c r="Z175" s="199"/>
      <c r="AA175" s="199"/>
      <c r="AB175" s="199"/>
    </row>
    <row r="176" spans="1:28" ht="12.75">
      <c r="A176" s="199"/>
      <c r="B176" s="199"/>
      <c r="C176" s="199"/>
      <c r="D176" s="199"/>
      <c r="E176" s="199"/>
      <c r="F176" s="199"/>
      <c r="G176" s="244"/>
      <c r="H176" s="199"/>
      <c r="I176" s="199"/>
      <c r="J176" s="199"/>
      <c r="K176" s="199"/>
      <c r="L176" s="199"/>
      <c r="M176" s="199"/>
      <c r="N176" s="199"/>
      <c r="O176" s="199"/>
      <c r="P176" s="199"/>
      <c r="Q176" s="199"/>
      <c r="R176" s="199"/>
      <c r="S176" s="199"/>
      <c r="T176" s="199"/>
      <c r="U176" s="199"/>
      <c r="V176" s="199"/>
      <c r="W176" s="199"/>
      <c r="X176" s="199"/>
      <c r="Y176" s="199"/>
      <c r="Z176" s="199"/>
      <c r="AA176" s="199"/>
      <c r="AB176" s="199"/>
    </row>
    <row r="177" spans="1:28" ht="12.75">
      <c r="A177" s="199"/>
      <c r="B177" s="199"/>
      <c r="C177" s="199"/>
      <c r="D177" s="199"/>
      <c r="E177" s="199"/>
      <c r="F177" s="199"/>
      <c r="G177" s="244"/>
      <c r="H177" s="199"/>
      <c r="I177" s="199"/>
      <c r="J177" s="199"/>
      <c r="K177" s="199"/>
      <c r="L177" s="199"/>
      <c r="M177" s="199"/>
      <c r="N177" s="199"/>
      <c r="O177" s="199"/>
      <c r="P177" s="199"/>
      <c r="Q177" s="199"/>
      <c r="R177" s="199"/>
      <c r="S177" s="199"/>
      <c r="T177" s="199"/>
      <c r="U177" s="199"/>
      <c r="V177" s="199"/>
      <c r="W177" s="199"/>
      <c r="X177" s="199"/>
      <c r="Y177" s="199"/>
      <c r="Z177" s="199"/>
      <c r="AA177" s="199"/>
      <c r="AB177" s="199"/>
    </row>
    <row r="178" spans="1:28" ht="12.75">
      <c r="A178" s="199"/>
      <c r="B178" s="199"/>
      <c r="C178" s="199"/>
      <c r="D178" s="199"/>
      <c r="E178" s="199"/>
      <c r="F178" s="199"/>
      <c r="G178" s="244"/>
      <c r="H178" s="199"/>
      <c r="I178" s="199"/>
      <c r="J178" s="199"/>
      <c r="K178" s="199"/>
      <c r="L178" s="199"/>
      <c r="M178" s="199"/>
      <c r="N178" s="199"/>
      <c r="O178" s="199"/>
      <c r="P178" s="199"/>
      <c r="Q178" s="199"/>
      <c r="R178" s="199"/>
      <c r="S178" s="199"/>
      <c r="T178" s="199"/>
      <c r="U178" s="199"/>
      <c r="V178" s="199"/>
      <c r="W178" s="199"/>
      <c r="X178" s="199"/>
      <c r="Y178" s="199"/>
      <c r="Z178" s="199"/>
      <c r="AA178" s="199"/>
      <c r="AB178" s="199"/>
    </row>
    <row r="179" spans="1:28" ht="12.75">
      <c r="A179" s="199"/>
      <c r="B179" s="199"/>
      <c r="C179" s="199"/>
      <c r="D179" s="199"/>
      <c r="E179" s="199"/>
      <c r="F179" s="199"/>
      <c r="G179" s="244"/>
      <c r="H179" s="199"/>
      <c r="I179" s="199"/>
      <c r="J179" s="199"/>
      <c r="K179" s="199"/>
      <c r="L179" s="199"/>
      <c r="M179" s="199"/>
      <c r="N179" s="199"/>
      <c r="O179" s="199"/>
      <c r="P179" s="199"/>
      <c r="Q179" s="199"/>
      <c r="R179" s="199"/>
      <c r="S179" s="199"/>
      <c r="T179" s="199"/>
      <c r="U179" s="199"/>
      <c r="V179" s="199"/>
      <c r="W179" s="199"/>
      <c r="X179" s="199"/>
      <c r="Y179" s="199"/>
      <c r="Z179" s="199"/>
      <c r="AA179" s="199"/>
      <c r="AB179" s="199"/>
    </row>
    <row r="180" spans="1:28" ht="12.75">
      <c r="A180" s="199"/>
      <c r="B180" s="199"/>
      <c r="C180" s="199"/>
      <c r="D180" s="199"/>
      <c r="E180" s="199"/>
      <c r="F180" s="199"/>
      <c r="G180" s="244"/>
      <c r="H180" s="199"/>
      <c r="I180" s="199"/>
      <c r="J180" s="199"/>
      <c r="K180" s="199"/>
      <c r="L180" s="199"/>
      <c r="M180" s="199"/>
      <c r="N180" s="199"/>
      <c r="O180" s="199"/>
      <c r="P180" s="199"/>
      <c r="Q180" s="199"/>
      <c r="R180" s="199"/>
      <c r="S180" s="199"/>
      <c r="T180" s="199"/>
      <c r="U180" s="199"/>
      <c r="V180" s="199"/>
      <c r="W180" s="199"/>
      <c r="X180" s="199"/>
      <c r="Y180" s="199"/>
      <c r="Z180" s="199"/>
      <c r="AA180" s="199"/>
      <c r="AB180" s="199"/>
    </row>
    <row r="181" spans="1:28" ht="12.75">
      <c r="A181" s="199"/>
      <c r="B181" s="199"/>
      <c r="C181" s="199"/>
      <c r="D181" s="199"/>
      <c r="E181" s="199"/>
      <c r="F181" s="199"/>
      <c r="G181" s="244"/>
      <c r="H181" s="199"/>
      <c r="I181" s="199"/>
      <c r="J181" s="199"/>
      <c r="K181" s="199"/>
      <c r="L181" s="199"/>
      <c r="M181" s="199"/>
      <c r="N181" s="199"/>
      <c r="O181" s="199"/>
      <c r="P181" s="199"/>
      <c r="Q181" s="199"/>
      <c r="R181" s="199"/>
      <c r="S181" s="199"/>
      <c r="T181" s="199"/>
      <c r="U181" s="199"/>
      <c r="V181" s="199"/>
      <c r="W181" s="199"/>
      <c r="X181" s="199"/>
      <c r="Y181" s="199"/>
      <c r="Z181" s="199"/>
      <c r="AA181" s="199"/>
      <c r="AB181" s="199"/>
    </row>
    <row r="182" spans="1:28" ht="12.75">
      <c r="A182" s="199"/>
      <c r="B182" s="199"/>
      <c r="C182" s="199"/>
      <c r="D182" s="199"/>
      <c r="E182" s="199"/>
      <c r="F182" s="199"/>
      <c r="G182" s="244"/>
      <c r="H182" s="199"/>
      <c r="I182" s="199"/>
      <c r="J182" s="199"/>
      <c r="K182" s="199"/>
      <c r="L182" s="199"/>
      <c r="M182" s="199"/>
      <c r="N182" s="199"/>
      <c r="O182" s="199"/>
      <c r="P182" s="199"/>
      <c r="Q182" s="199"/>
      <c r="R182" s="199"/>
      <c r="S182" s="199"/>
      <c r="T182" s="199"/>
      <c r="U182" s="199"/>
      <c r="V182" s="199"/>
      <c r="W182" s="199"/>
      <c r="X182" s="199"/>
      <c r="Y182" s="199"/>
      <c r="Z182" s="199"/>
      <c r="AA182" s="199"/>
      <c r="AB182" s="199"/>
    </row>
    <row r="183" spans="1:28" ht="12.75">
      <c r="A183" s="199"/>
      <c r="B183" s="199"/>
      <c r="C183" s="199"/>
      <c r="D183" s="199"/>
      <c r="E183" s="199"/>
      <c r="F183" s="199"/>
      <c r="G183" s="244"/>
      <c r="H183" s="199"/>
      <c r="I183" s="199"/>
      <c r="J183" s="199"/>
      <c r="K183" s="199"/>
      <c r="L183" s="199"/>
      <c r="M183" s="199"/>
      <c r="N183" s="199"/>
      <c r="O183" s="199"/>
      <c r="P183" s="199"/>
      <c r="Q183" s="199"/>
      <c r="R183" s="199"/>
      <c r="S183" s="199"/>
      <c r="T183" s="199"/>
      <c r="U183" s="199"/>
      <c r="V183" s="199"/>
      <c r="W183" s="199"/>
      <c r="X183" s="199"/>
      <c r="Y183" s="199"/>
      <c r="Z183" s="199"/>
      <c r="AA183" s="199"/>
      <c r="AB183" s="199"/>
    </row>
    <row r="184" spans="1:28" ht="12.75">
      <c r="A184" s="199"/>
      <c r="B184" s="199"/>
      <c r="C184" s="199"/>
      <c r="D184" s="199"/>
      <c r="E184" s="199"/>
      <c r="F184" s="199"/>
      <c r="G184" s="244"/>
      <c r="H184" s="199"/>
      <c r="I184" s="199"/>
      <c r="J184" s="199"/>
      <c r="K184" s="199"/>
      <c r="L184" s="199"/>
      <c r="M184" s="199"/>
      <c r="N184" s="199"/>
      <c r="O184" s="199"/>
      <c r="P184" s="199"/>
      <c r="Q184" s="199"/>
      <c r="R184" s="199"/>
      <c r="S184" s="199"/>
      <c r="T184" s="199"/>
      <c r="U184" s="199"/>
      <c r="V184" s="199"/>
      <c r="W184" s="199"/>
      <c r="X184" s="199"/>
      <c r="Y184" s="199"/>
      <c r="Z184" s="199"/>
      <c r="AA184" s="199"/>
      <c r="AB184" s="199"/>
    </row>
    <row r="185" spans="1:28" ht="12.75">
      <c r="A185" s="199"/>
      <c r="B185" s="199"/>
      <c r="C185" s="199"/>
      <c r="D185" s="199"/>
      <c r="E185" s="199"/>
      <c r="F185" s="199"/>
      <c r="G185" s="244"/>
      <c r="H185" s="199"/>
      <c r="I185" s="199"/>
      <c r="J185" s="199"/>
      <c r="K185" s="199"/>
      <c r="L185" s="199"/>
      <c r="M185" s="199"/>
      <c r="N185" s="199"/>
      <c r="O185" s="199"/>
      <c r="P185" s="199"/>
      <c r="Q185" s="199"/>
      <c r="R185" s="199"/>
      <c r="S185" s="199"/>
      <c r="T185" s="199"/>
      <c r="U185" s="199"/>
      <c r="V185" s="199"/>
      <c r="W185" s="199"/>
      <c r="X185" s="199"/>
      <c r="Y185" s="199"/>
      <c r="Z185" s="199"/>
      <c r="AA185" s="199"/>
      <c r="AB185" s="199"/>
    </row>
    <row r="186" spans="1:28" ht="12.75">
      <c r="A186" s="199"/>
      <c r="B186" s="199"/>
      <c r="C186" s="199"/>
      <c r="D186" s="199"/>
      <c r="E186" s="199"/>
      <c r="F186" s="199"/>
      <c r="G186" s="244"/>
      <c r="H186" s="199"/>
      <c r="I186" s="199"/>
      <c r="J186" s="199"/>
      <c r="K186" s="199"/>
      <c r="L186" s="199"/>
      <c r="M186" s="199"/>
      <c r="N186" s="199"/>
      <c r="O186" s="199"/>
      <c r="P186" s="199"/>
      <c r="Q186" s="199"/>
      <c r="R186" s="199"/>
      <c r="S186" s="199"/>
      <c r="T186" s="199"/>
      <c r="U186" s="199"/>
      <c r="V186" s="199"/>
      <c r="W186" s="199"/>
      <c r="X186" s="199"/>
      <c r="Y186" s="199"/>
      <c r="Z186" s="199"/>
      <c r="AA186" s="199"/>
      <c r="AB186" s="199"/>
    </row>
    <row r="187" spans="1:28" ht="12.75">
      <c r="A187" s="199"/>
      <c r="B187" s="199"/>
      <c r="C187" s="199"/>
      <c r="D187" s="199"/>
      <c r="E187" s="199"/>
      <c r="F187" s="199"/>
      <c r="G187" s="244"/>
      <c r="H187" s="199"/>
      <c r="I187" s="199"/>
      <c r="J187" s="199"/>
      <c r="K187" s="199"/>
      <c r="L187" s="199"/>
      <c r="M187" s="199"/>
      <c r="N187" s="199"/>
      <c r="O187" s="199"/>
      <c r="P187" s="199"/>
      <c r="Q187" s="199"/>
      <c r="R187" s="199"/>
      <c r="S187" s="199"/>
      <c r="T187" s="199"/>
      <c r="U187" s="199"/>
      <c r="V187" s="199"/>
      <c r="W187" s="199"/>
      <c r="X187" s="199"/>
      <c r="Y187" s="199"/>
      <c r="Z187" s="199"/>
      <c r="AA187" s="199"/>
      <c r="AB187" s="199"/>
    </row>
    <row r="188" spans="1:28" ht="12.75">
      <c r="A188" s="199"/>
      <c r="B188" s="199"/>
      <c r="C188" s="199"/>
      <c r="D188" s="199"/>
      <c r="E188" s="199"/>
      <c r="F188" s="199"/>
      <c r="G188" s="244"/>
      <c r="H188" s="199"/>
      <c r="I188" s="199"/>
      <c r="J188" s="199"/>
      <c r="K188" s="199"/>
      <c r="L188" s="199"/>
      <c r="M188" s="199"/>
      <c r="N188" s="199"/>
      <c r="O188" s="199"/>
      <c r="P188" s="199"/>
      <c r="Q188" s="199"/>
      <c r="R188" s="199"/>
      <c r="S188" s="199"/>
      <c r="T188" s="199"/>
      <c r="U188" s="199"/>
      <c r="V188" s="199"/>
      <c r="W188" s="199"/>
      <c r="X188" s="199"/>
      <c r="Y188" s="199"/>
      <c r="Z188" s="199"/>
      <c r="AA188" s="199"/>
      <c r="AB188" s="199"/>
    </row>
    <row r="189" spans="1:28" ht="12.75">
      <c r="A189" s="199"/>
      <c r="B189" s="199"/>
      <c r="C189" s="199"/>
      <c r="D189" s="199"/>
      <c r="E189" s="199"/>
      <c r="F189" s="199"/>
      <c r="G189" s="244"/>
      <c r="H189" s="199"/>
      <c r="I189" s="199"/>
      <c r="J189" s="199"/>
      <c r="K189" s="199"/>
      <c r="L189" s="199"/>
      <c r="M189" s="199"/>
      <c r="N189" s="199"/>
      <c r="O189" s="199"/>
      <c r="P189" s="199"/>
      <c r="Q189" s="199"/>
      <c r="R189" s="199"/>
      <c r="S189" s="199"/>
      <c r="T189" s="199"/>
      <c r="U189" s="199"/>
      <c r="V189" s="199"/>
      <c r="W189" s="199"/>
      <c r="X189" s="199"/>
      <c r="Y189" s="199"/>
      <c r="Z189" s="199"/>
      <c r="AA189" s="199"/>
      <c r="AB189" s="199"/>
    </row>
    <row r="190" spans="1:28" ht="12.75">
      <c r="A190" s="199"/>
      <c r="B190" s="199"/>
      <c r="C190" s="199"/>
      <c r="D190" s="199"/>
      <c r="E190" s="199"/>
      <c r="F190" s="199"/>
      <c r="G190" s="244"/>
      <c r="H190" s="199"/>
      <c r="I190" s="199"/>
      <c r="J190" s="199"/>
      <c r="K190" s="199"/>
      <c r="L190" s="199"/>
      <c r="M190" s="199"/>
      <c r="N190" s="199"/>
      <c r="O190" s="199"/>
      <c r="P190" s="199"/>
      <c r="Q190" s="199"/>
      <c r="R190" s="199"/>
      <c r="S190" s="199"/>
      <c r="T190" s="199"/>
      <c r="U190" s="199"/>
      <c r="V190" s="199"/>
      <c r="W190" s="199"/>
      <c r="X190" s="199"/>
      <c r="Y190" s="199"/>
      <c r="Z190" s="199"/>
      <c r="AA190" s="199"/>
      <c r="AB190" s="199"/>
    </row>
    <row r="191" spans="1:28" ht="12.75">
      <c r="A191" s="199"/>
      <c r="B191" s="199"/>
      <c r="C191" s="199"/>
      <c r="D191" s="199"/>
      <c r="E191" s="199"/>
      <c r="F191" s="199"/>
      <c r="G191" s="244"/>
      <c r="H191" s="199"/>
      <c r="I191" s="199"/>
      <c r="J191" s="199"/>
      <c r="K191" s="199"/>
      <c r="L191" s="199"/>
      <c r="M191" s="199"/>
      <c r="N191" s="199"/>
      <c r="O191" s="199"/>
      <c r="P191" s="199"/>
      <c r="Q191" s="199"/>
      <c r="R191" s="199"/>
      <c r="S191" s="199"/>
      <c r="T191" s="199"/>
      <c r="U191" s="199"/>
      <c r="V191" s="199"/>
      <c r="W191" s="199"/>
      <c r="X191" s="199"/>
      <c r="Y191" s="199"/>
      <c r="Z191" s="199"/>
      <c r="AA191" s="199"/>
      <c r="AB191" s="199"/>
    </row>
    <row r="192" spans="1:28" ht="12.75">
      <c r="A192" s="199"/>
      <c r="B192" s="199"/>
      <c r="C192" s="199"/>
      <c r="D192" s="199"/>
      <c r="E192" s="199"/>
      <c r="F192" s="199"/>
      <c r="G192" s="244"/>
      <c r="H192" s="199"/>
      <c r="I192" s="199"/>
      <c r="J192" s="199"/>
      <c r="K192" s="199"/>
      <c r="L192" s="199"/>
      <c r="M192" s="199"/>
      <c r="N192" s="199"/>
      <c r="O192" s="199"/>
      <c r="P192" s="199"/>
      <c r="Q192" s="199"/>
      <c r="R192" s="199"/>
      <c r="S192" s="199"/>
      <c r="T192" s="199"/>
      <c r="U192" s="199"/>
      <c r="V192" s="199"/>
      <c r="W192" s="199"/>
      <c r="X192" s="199"/>
      <c r="Y192" s="199"/>
      <c r="Z192" s="199"/>
      <c r="AA192" s="199"/>
      <c r="AB192" s="199"/>
    </row>
    <row r="193" spans="1:28" ht="12.75">
      <c r="A193" s="199"/>
      <c r="B193" s="199"/>
      <c r="C193" s="199"/>
      <c r="D193" s="199"/>
      <c r="E193" s="199"/>
      <c r="F193" s="199"/>
      <c r="G193" s="244"/>
      <c r="H193" s="199"/>
      <c r="I193" s="199"/>
      <c r="J193" s="199"/>
      <c r="K193" s="199"/>
      <c r="L193" s="199"/>
      <c r="M193" s="199"/>
      <c r="N193" s="199"/>
      <c r="O193" s="199"/>
      <c r="P193" s="199"/>
      <c r="Q193" s="199"/>
      <c r="R193" s="199"/>
      <c r="S193" s="199"/>
      <c r="T193" s="199"/>
      <c r="U193" s="199"/>
      <c r="V193" s="199"/>
      <c r="W193" s="199"/>
      <c r="X193" s="199"/>
      <c r="Y193" s="199"/>
      <c r="Z193" s="199"/>
      <c r="AA193" s="199"/>
      <c r="AB193" s="199"/>
    </row>
    <row r="194" spans="1:28" ht="12.75">
      <c r="A194" s="199"/>
      <c r="B194" s="199"/>
      <c r="C194" s="199"/>
      <c r="D194" s="199"/>
      <c r="E194" s="199"/>
      <c r="F194" s="199"/>
      <c r="G194" s="244"/>
      <c r="H194" s="199"/>
      <c r="I194" s="199"/>
      <c r="J194" s="199"/>
      <c r="K194" s="199"/>
      <c r="L194" s="199"/>
      <c r="M194" s="199"/>
      <c r="N194" s="199"/>
      <c r="O194" s="199"/>
      <c r="P194" s="199"/>
      <c r="Q194" s="199"/>
      <c r="R194" s="199"/>
      <c r="S194" s="199"/>
      <c r="T194" s="199"/>
      <c r="U194" s="199"/>
      <c r="V194" s="199"/>
      <c r="W194" s="199"/>
      <c r="X194" s="199"/>
      <c r="Y194" s="199"/>
      <c r="Z194" s="199"/>
      <c r="AA194" s="199"/>
      <c r="AB194" s="199"/>
    </row>
    <row r="195" spans="1:28" ht="12.75">
      <c r="A195" s="199"/>
      <c r="B195" s="199"/>
      <c r="C195" s="199"/>
      <c r="D195" s="199"/>
      <c r="E195" s="199"/>
      <c r="F195" s="199"/>
      <c r="G195" s="244"/>
      <c r="H195" s="199"/>
      <c r="I195" s="199"/>
      <c r="J195" s="199"/>
      <c r="K195" s="199"/>
      <c r="L195" s="199"/>
      <c r="M195" s="199"/>
      <c r="N195" s="199"/>
      <c r="O195" s="199"/>
      <c r="P195" s="199"/>
      <c r="Q195" s="199"/>
      <c r="R195" s="199"/>
      <c r="S195" s="199"/>
      <c r="T195" s="199"/>
      <c r="U195" s="199"/>
      <c r="V195" s="199"/>
      <c r="W195" s="199"/>
      <c r="X195" s="199"/>
      <c r="Y195" s="199"/>
      <c r="Z195" s="199"/>
      <c r="AA195" s="199"/>
      <c r="AB195" s="199"/>
    </row>
    <row r="196" spans="1:28" ht="12.75">
      <c r="A196" s="199"/>
      <c r="B196" s="199"/>
      <c r="C196" s="199"/>
      <c r="D196" s="199"/>
      <c r="E196" s="199"/>
      <c r="F196" s="199"/>
      <c r="G196" s="244"/>
      <c r="H196" s="199"/>
      <c r="I196" s="199"/>
      <c r="J196" s="199"/>
      <c r="K196" s="199"/>
      <c r="L196" s="199"/>
      <c r="M196" s="199"/>
      <c r="N196" s="199"/>
      <c r="O196" s="199"/>
      <c r="P196" s="199"/>
      <c r="Q196" s="199"/>
      <c r="R196" s="199"/>
      <c r="S196" s="199"/>
      <c r="T196" s="199"/>
      <c r="U196" s="199"/>
      <c r="V196" s="199"/>
      <c r="W196" s="199"/>
      <c r="X196" s="199"/>
      <c r="Y196" s="199"/>
      <c r="Z196" s="199"/>
      <c r="AA196" s="199"/>
      <c r="AB196" s="199"/>
    </row>
    <row r="197" spans="1:28" ht="12.75">
      <c r="A197" s="199"/>
      <c r="B197" s="199"/>
      <c r="C197" s="199"/>
      <c r="D197" s="199"/>
      <c r="E197" s="199"/>
      <c r="F197" s="199"/>
      <c r="G197" s="244"/>
      <c r="H197" s="199"/>
      <c r="I197" s="199"/>
      <c r="J197" s="199"/>
      <c r="K197" s="199"/>
      <c r="L197" s="199"/>
      <c r="M197" s="199"/>
      <c r="N197" s="199"/>
      <c r="O197" s="199"/>
      <c r="P197" s="199"/>
      <c r="Q197" s="199"/>
      <c r="R197" s="199"/>
      <c r="S197" s="199"/>
      <c r="T197" s="199"/>
      <c r="U197" s="199"/>
      <c r="V197" s="199"/>
      <c r="W197" s="199"/>
      <c r="X197" s="199"/>
      <c r="Y197" s="199"/>
      <c r="Z197" s="199"/>
      <c r="AA197" s="199"/>
      <c r="AB197" s="199"/>
    </row>
    <row r="198" spans="1:28" ht="12.75">
      <c r="A198" s="199"/>
      <c r="B198" s="199"/>
      <c r="C198" s="199"/>
      <c r="D198" s="199"/>
      <c r="E198" s="199"/>
      <c r="F198" s="199"/>
      <c r="G198" s="244"/>
      <c r="H198" s="199"/>
      <c r="I198" s="199"/>
      <c r="J198" s="199"/>
      <c r="K198" s="199"/>
      <c r="L198" s="199"/>
      <c r="M198" s="199"/>
      <c r="N198" s="199"/>
      <c r="O198" s="199"/>
      <c r="P198" s="199"/>
      <c r="Q198" s="199"/>
      <c r="R198" s="199"/>
      <c r="S198" s="199"/>
      <c r="T198" s="199"/>
      <c r="U198" s="199"/>
      <c r="V198" s="199"/>
      <c r="W198" s="199"/>
      <c r="X198" s="199"/>
      <c r="Y198" s="199"/>
      <c r="Z198" s="199"/>
      <c r="AA198" s="199"/>
      <c r="AB198" s="199"/>
    </row>
    <row r="199" spans="1:28" ht="12.75">
      <c r="A199" s="199"/>
      <c r="B199" s="199"/>
      <c r="C199" s="199"/>
      <c r="D199" s="199"/>
      <c r="E199" s="199"/>
      <c r="F199" s="199"/>
      <c r="G199" s="244"/>
      <c r="H199" s="199"/>
      <c r="I199" s="199"/>
      <c r="J199" s="199"/>
      <c r="K199" s="199"/>
      <c r="L199" s="199"/>
      <c r="M199" s="199"/>
      <c r="N199" s="199"/>
      <c r="O199" s="199"/>
      <c r="P199" s="199"/>
      <c r="Q199" s="199"/>
      <c r="R199" s="199"/>
      <c r="S199" s="199"/>
      <c r="T199" s="199"/>
      <c r="U199" s="199"/>
      <c r="V199" s="199"/>
      <c r="W199" s="199"/>
      <c r="X199" s="199"/>
      <c r="Y199" s="199"/>
      <c r="Z199" s="199"/>
      <c r="AA199" s="199"/>
      <c r="AB199" s="199"/>
    </row>
    <row r="200" spans="1:28" ht="12.75">
      <c r="A200" s="199"/>
      <c r="B200" s="199"/>
      <c r="C200" s="199"/>
      <c r="D200" s="199"/>
      <c r="E200" s="199"/>
      <c r="F200" s="199"/>
      <c r="G200" s="244"/>
      <c r="H200" s="199"/>
      <c r="I200" s="199"/>
      <c r="J200" s="199"/>
      <c r="K200" s="199"/>
      <c r="L200" s="199"/>
      <c r="M200" s="199"/>
      <c r="N200" s="199"/>
      <c r="O200" s="199"/>
      <c r="P200" s="199"/>
      <c r="Q200" s="199"/>
      <c r="R200" s="199"/>
      <c r="S200" s="199"/>
      <c r="T200" s="199"/>
      <c r="U200" s="199"/>
      <c r="V200" s="199"/>
      <c r="W200" s="199"/>
      <c r="X200" s="199"/>
      <c r="Y200" s="199"/>
      <c r="Z200" s="199"/>
      <c r="AA200" s="199"/>
      <c r="AB200" s="199"/>
    </row>
    <row r="201" spans="1:28" ht="12.75">
      <c r="A201" s="199"/>
      <c r="B201" s="199"/>
      <c r="C201" s="199"/>
      <c r="D201" s="199"/>
      <c r="E201" s="199"/>
      <c r="F201" s="199"/>
      <c r="G201" s="244"/>
      <c r="H201" s="199"/>
      <c r="I201" s="199"/>
      <c r="J201" s="199"/>
      <c r="K201" s="199"/>
      <c r="L201" s="199"/>
      <c r="M201" s="199"/>
      <c r="N201" s="199"/>
      <c r="O201" s="199"/>
      <c r="P201" s="199"/>
      <c r="Q201" s="199"/>
      <c r="R201" s="199"/>
      <c r="S201" s="199"/>
      <c r="T201" s="199"/>
      <c r="U201" s="199"/>
      <c r="V201" s="199"/>
      <c r="W201" s="199"/>
      <c r="X201" s="199"/>
      <c r="Y201" s="199"/>
      <c r="Z201" s="199"/>
      <c r="AA201" s="199"/>
      <c r="AB201" s="199"/>
    </row>
    <row r="202" spans="1:28" ht="12.75">
      <c r="A202" s="199"/>
      <c r="B202" s="199"/>
      <c r="C202" s="199"/>
      <c r="D202" s="199"/>
      <c r="E202" s="199"/>
      <c r="F202" s="199"/>
      <c r="G202" s="244"/>
      <c r="H202" s="199"/>
      <c r="I202" s="199"/>
      <c r="J202" s="199"/>
      <c r="K202" s="199"/>
      <c r="L202" s="199"/>
      <c r="M202" s="199"/>
      <c r="N202" s="199"/>
      <c r="O202" s="199"/>
      <c r="P202" s="199"/>
      <c r="Q202" s="199"/>
      <c r="R202" s="199"/>
      <c r="S202" s="199"/>
      <c r="T202" s="199"/>
      <c r="U202" s="199"/>
      <c r="V202" s="199"/>
      <c r="W202" s="199"/>
      <c r="X202" s="199"/>
      <c r="Y202" s="199"/>
      <c r="Z202" s="199"/>
      <c r="AA202" s="199"/>
      <c r="AB202" s="199"/>
    </row>
    <row r="203" spans="1:28" ht="12.75">
      <c r="A203" s="199"/>
      <c r="B203" s="199"/>
      <c r="C203" s="199"/>
      <c r="D203" s="199"/>
      <c r="E203" s="199"/>
      <c r="F203" s="199"/>
      <c r="G203" s="244"/>
      <c r="H203" s="199"/>
      <c r="I203" s="199"/>
      <c r="J203" s="199"/>
      <c r="K203" s="199"/>
      <c r="L203" s="199"/>
      <c r="M203" s="199"/>
      <c r="N203" s="199"/>
      <c r="O203" s="199"/>
      <c r="P203" s="199"/>
      <c r="Q203" s="199"/>
      <c r="R203" s="199"/>
      <c r="S203" s="199"/>
      <c r="T203" s="199"/>
      <c r="U203" s="199"/>
      <c r="V203" s="199"/>
      <c r="W203" s="199"/>
      <c r="X203" s="199"/>
      <c r="Y203" s="199"/>
      <c r="Z203" s="199"/>
      <c r="AA203" s="199"/>
      <c r="AB203" s="199"/>
    </row>
    <row r="204" spans="1:28" ht="12.75">
      <c r="A204" s="199"/>
      <c r="B204" s="199"/>
      <c r="C204" s="199"/>
      <c r="D204" s="199"/>
      <c r="E204" s="199"/>
      <c r="F204" s="199"/>
      <c r="G204" s="244"/>
      <c r="H204" s="199"/>
      <c r="I204" s="199"/>
      <c r="J204" s="199"/>
      <c r="K204" s="199"/>
      <c r="L204" s="199"/>
      <c r="M204" s="199"/>
      <c r="N204" s="199"/>
      <c r="O204" s="199"/>
      <c r="P204" s="199"/>
      <c r="Q204" s="199"/>
      <c r="R204" s="199"/>
      <c r="S204" s="199"/>
      <c r="T204" s="199"/>
      <c r="U204" s="199"/>
      <c r="V204" s="199"/>
      <c r="W204" s="199"/>
      <c r="X204" s="199"/>
      <c r="Y204" s="199"/>
      <c r="Z204" s="199"/>
      <c r="AA204" s="199"/>
      <c r="AB204" s="199"/>
    </row>
    <row r="205" spans="1:28" ht="12.75">
      <c r="A205" s="199"/>
      <c r="B205" s="199"/>
      <c r="C205" s="199"/>
      <c r="D205" s="199"/>
      <c r="E205" s="199"/>
      <c r="F205" s="199"/>
      <c r="G205" s="244"/>
      <c r="H205" s="199"/>
      <c r="I205" s="199"/>
      <c r="J205" s="199"/>
      <c r="K205" s="199"/>
      <c r="L205" s="199"/>
      <c r="M205" s="199"/>
      <c r="N205" s="199"/>
      <c r="O205" s="199"/>
      <c r="P205" s="199"/>
      <c r="Q205" s="199"/>
      <c r="R205" s="199"/>
      <c r="S205" s="199"/>
      <c r="T205" s="199"/>
      <c r="U205" s="199"/>
      <c r="V205" s="199"/>
      <c r="W205" s="199"/>
      <c r="X205" s="199"/>
      <c r="Y205" s="199"/>
      <c r="Z205" s="199"/>
      <c r="AA205" s="199"/>
      <c r="AB205" s="199"/>
    </row>
    <row r="206" spans="1:28" ht="12.75">
      <c r="A206" s="199"/>
      <c r="B206" s="199"/>
      <c r="C206" s="199"/>
      <c r="D206" s="199"/>
      <c r="E206" s="199"/>
      <c r="F206" s="199"/>
      <c r="G206" s="244"/>
      <c r="H206" s="199"/>
      <c r="I206" s="199"/>
      <c r="J206" s="199"/>
      <c r="K206" s="199"/>
      <c r="L206" s="199"/>
      <c r="M206" s="199"/>
      <c r="N206" s="199"/>
      <c r="O206" s="199"/>
      <c r="P206" s="199"/>
      <c r="Q206" s="199"/>
      <c r="R206" s="199"/>
      <c r="S206" s="199"/>
      <c r="T206" s="199"/>
      <c r="U206" s="199"/>
      <c r="V206" s="199"/>
      <c r="W206" s="199"/>
      <c r="X206" s="199"/>
      <c r="Y206" s="199"/>
      <c r="Z206" s="199"/>
      <c r="AA206" s="199"/>
      <c r="AB206" s="199"/>
    </row>
    <row r="207" spans="1:28" ht="12.75">
      <c r="A207" s="199"/>
      <c r="B207" s="199"/>
      <c r="C207" s="199"/>
      <c r="D207" s="199"/>
      <c r="E207" s="199"/>
      <c r="F207" s="199"/>
      <c r="G207" s="244"/>
      <c r="H207" s="199"/>
      <c r="I207" s="199"/>
      <c r="J207" s="199"/>
      <c r="K207" s="199"/>
      <c r="L207" s="199"/>
      <c r="M207" s="199"/>
      <c r="N207" s="199"/>
      <c r="O207" s="199"/>
      <c r="P207" s="199"/>
      <c r="Q207" s="199"/>
      <c r="R207" s="199"/>
      <c r="S207" s="199"/>
      <c r="T207" s="199"/>
      <c r="U207" s="199"/>
      <c r="V207" s="199"/>
      <c r="W207" s="199"/>
      <c r="X207" s="199"/>
      <c r="Y207" s="199"/>
      <c r="Z207" s="199"/>
      <c r="AA207" s="199"/>
      <c r="AB207" s="199"/>
    </row>
    <row r="208" spans="1:28" ht="12.75">
      <c r="A208" s="199"/>
      <c r="B208" s="199"/>
      <c r="C208" s="199"/>
      <c r="D208" s="199"/>
      <c r="E208" s="199"/>
      <c r="F208" s="199"/>
      <c r="G208" s="244"/>
      <c r="H208" s="199"/>
      <c r="I208" s="199"/>
      <c r="J208" s="199"/>
      <c r="K208" s="199"/>
      <c r="L208" s="199"/>
      <c r="M208" s="199"/>
      <c r="N208" s="199"/>
      <c r="O208" s="199"/>
      <c r="P208" s="199"/>
      <c r="Q208" s="199"/>
      <c r="R208" s="199"/>
      <c r="S208" s="199"/>
      <c r="T208" s="199"/>
      <c r="U208" s="199"/>
      <c r="V208" s="199"/>
      <c r="W208" s="199"/>
      <c r="X208" s="199"/>
      <c r="Y208" s="199"/>
      <c r="Z208" s="199"/>
      <c r="AA208" s="199"/>
      <c r="AB208" s="199"/>
    </row>
    <row r="209" spans="1:28" ht="12.75">
      <c r="A209" s="199"/>
      <c r="B209" s="199"/>
      <c r="C209" s="199"/>
      <c r="D209" s="199"/>
      <c r="E209" s="199"/>
      <c r="F209" s="199"/>
      <c r="G209" s="244"/>
      <c r="H209" s="199"/>
      <c r="I209" s="199"/>
      <c r="J209" s="199"/>
      <c r="K209" s="199"/>
      <c r="L209" s="199"/>
      <c r="M209" s="199"/>
      <c r="N209" s="199"/>
      <c r="O209" s="199"/>
      <c r="P209" s="199"/>
      <c r="Q209" s="199"/>
      <c r="R209" s="199"/>
      <c r="S209" s="199"/>
      <c r="T209" s="199"/>
      <c r="U209" s="199"/>
      <c r="V209" s="199"/>
      <c r="W209" s="199"/>
      <c r="X209" s="199"/>
      <c r="Y209" s="199"/>
      <c r="Z209" s="199"/>
      <c r="AA209" s="199"/>
      <c r="AB209" s="199"/>
    </row>
    <row r="210" spans="1:28" ht="12.75">
      <c r="A210" s="199"/>
      <c r="B210" s="199"/>
      <c r="C210" s="199"/>
      <c r="D210" s="199"/>
      <c r="E210" s="199"/>
      <c r="F210" s="199"/>
      <c r="G210" s="244"/>
      <c r="H210" s="199"/>
      <c r="I210" s="199"/>
      <c r="J210" s="199"/>
      <c r="K210" s="199"/>
      <c r="L210" s="199"/>
      <c r="M210" s="199"/>
      <c r="N210" s="199"/>
      <c r="O210" s="199"/>
      <c r="P210" s="199"/>
      <c r="Q210" s="199"/>
      <c r="R210" s="199"/>
      <c r="S210" s="199"/>
      <c r="T210" s="199"/>
      <c r="U210" s="199"/>
      <c r="V210" s="199"/>
      <c r="W210" s="199"/>
      <c r="X210" s="199"/>
      <c r="Y210" s="199"/>
      <c r="Z210" s="199"/>
      <c r="AA210" s="199"/>
      <c r="AB210" s="199"/>
    </row>
    <row r="211" spans="1:28" ht="12.75">
      <c r="A211" s="199"/>
      <c r="B211" s="199"/>
      <c r="C211" s="199"/>
      <c r="D211" s="199"/>
      <c r="E211" s="199"/>
      <c r="F211" s="199"/>
      <c r="G211" s="244"/>
      <c r="H211" s="199"/>
      <c r="I211" s="199"/>
      <c r="J211" s="199"/>
      <c r="K211" s="199"/>
      <c r="L211" s="199"/>
      <c r="M211" s="199"/>
      <c r="N211" s="199"/>
      <c r="O211" s="199"/>
      <c r="P211" s="199"/>
      <c r="Q211" s="199"/>
      <c r="R211" s="199"/>
      <c r="S211" s="199"/>
      <c r="T211" s="199"/>
      <c r="U211" s="199"/>
      <c r="V211" s="199"/>
      <c r="W211" s="199"/>
      <c r="X211" s="199"/>
      <c r="Y211" s="199"/>
      <c r="Z211" s="199"/>
      <c r="AA211" s="199"/>
      <c r="AB211" s="199"/>
    </row>
    <row r="212" spans="1:28" ht="12.75">
      <c r="A212" s="199"/>
      <c r="B212" s="199"/>
      <c r="C212" s="199"/>
      <c r="D212" s="199"/>
      <c r="E212" s="199"/>
      <c r="F212" s="199"/>
      <c r="G212" s="244"/>
      <c r="H212" s="199"/>
      <c r="I212" s="199"/>
      <c r="J212" s="199"/>
      <c r="K212" s="199"/>
      <c r="L212" s="199"/>
      <c r="M212" s="199"/>
      <c r="N212" s="199"/>
      <c r="O212" s="199"/>
      <c r="P212" s="199"/>
      <c r="Q212" s="199"/>
      <c r="R212" s="199"/>
      <c r="S212" s="199"/>
      <c r="T212" s="199"/>
      <c r="U212" s="199"/>
      <c r="V212" s="199"/>
      <c r="W212" s="199"/>
      <c r="X212" s="199"/>
      <c r="Y212" s="199"/>
      <c r="Z212" s="199"/>
      <c r="AA212" s="199"/>
      <c r="AB212" s="199"/>
    </row>
    <row r="213" spans="1:28" ht="12.75">
      <c r="A213" s="199"/>
      <c r="B213" s="199"/>
      <c r="C213" s="199"/>
      <c r="D213" s="199"/>
      <c r="E213" s="199"/>
      <c r="F213" s="199"/>
      <c r="G213" s="244"/>
      <c r="H213" s="199"/>
      <c r="I213" s="199"/>
      <c r="J213" s="199"/>
      <c r="K213" s="199"/>
      <c r="L213" s="199"/>
      <c r="M213" s="199"/>
      <c r="N213" s="199"/>
      <c r="O213" s="199"/>
      <c r="P213" s="199"/>
      <c r="Q213" s="199"/>
      <c r="R213" s="199"/>
      <c r="S213" s="199"/>
      <c r="T213" s="199"/>
      <c r="U213" s="199"/>
      <c r="V213" s="199"/>
      <c r="W213" s="199"/>
      <c r="X213" s="199"/>
      <c r="Y213" s="199"/>
      <c r="Z213" s="199"/>
      <c r="AA213" s="199"/>
      <c r="AB213" s="199"/>
    </row>
    <row r="214" spans="1:28" ht="12.75">
      <c r="A214" s="199"/>
      <c r="B214" s="199"/>
      <c r="C214" s="199"/>
      <c r="D214" s="199"/>
      <c r="E214" s="199"/>
      <c r="F214" s="199"/>
      <c r="G214" s="244"/>
      <c r="H214" s="199"/>
      <c r="I214" s="199"/>
      <c r="J214" s="199"/>
      <c r="K214" s="199"/>
      <c r="L214" s="199"/>
      <c r="M214" s="199"/>
      <c r="N214" s="199"/>
      <c r="O214" s="199"/>
      <c r="P214" s="199"/>
      <c r="Q214" s="199"/>
      <c r="R214" s="199"/>
      <c r="S214" s="199"/>
      <c r="T214" s="199"/>
      <c r="U214" s="199"/>
      <c r="V214" s="199"/>
      <c r="W214" s="199"/>
      <c r="X214" s="199"/>
      <c r="Y214" s="199"/>
      <c r="Z214" s="199"/>
      <c r="AA214" s="199"/>
      <c r="AB214" s="199"/>
    </row>
    <row r="215" spans="1:28" ht="12.75">
      <c r="A215" s="199"/>
      <c r="B215" s="199"/>
      <c r="C215" s="199"/>
      <c r="D215" s="199"/>
      <c r="E215" s="199"/>
      <c r="F215" s="199"/>
      <c r="G215" s="244"/>
      <c r="H215" s="199"/>
      <c r="I215" s="199"/>
      <c r="J215" s="199"/>
      <c r="K215" s="199"/>
      <c r="L215" s="199"/>
      <c r="M215" s="199"/>
      <c r="N215" s="199"/>
      <c r="O215" s="199"/>
      <c r="P215" s="199"/>
      <c r="Q215" s="199"/>
      <c r="R215" s="199"/>
      <c r="S215" s="199"/>
      <c r="T215" s="199"/>
      <c r="U215" s="199"/>
      <c r="V215" s="199"/>
      <c r="W215" s="199"/>
      <c r="X215" s="199"/>
      <c r="Y215" s="199"/>
      <c r="Z215" s="199"/>
      <c r="AA215" s="199"/>
      <c r="AB215" s="199"/>
    </row>
    <row r="216" spans="1:28" ht="12.75">
      <c r="A216" s="199"/>
      <c r="B216" s="199"/>
      <c r="C216" s="199"/>
      <c r="D216" s="199"/>
      <c r="E216" s="199"/>
      <c r="F216" s="199"/>
      <c r="G216" s="244"/>
      <c r="H216" s="199"/>
      <c r="I216" s="199"/>
      <c r="J216" s="199"/>
      <c r="K216" s="199"/>
      <c r="L216" s="199"/>
      <c r="M216" s="199"/>
      <c r="N216" s="199"/>
      <c r="O216" s="199"/>
      <c r="P216" s="199"/>
      <c r="Q216" s="199"/>
      <c r="R216" s="199"/>
      <c r="S216" s="199"/>
      <c r="T216" s="199"/>
      <c r="U216" s="199"/>
      <c r="V216" s="199"/>
      <c r="W216" s="199"/>
      <c r="X216" s="199"/>
      <c r="Y216" s="199"/>
      <c r="Z216" s="199"/>
      <c r="AA216" s="199"/>
      <c r="AB216" s="199"/>
    </row>
    <row r="217" spans="1:28" ht="12.75">
      <c r="A217" s="199"/>
      <c r="B217" s="199"/>
      <c r="C217" s="199"/>
      <c r="D217" s="199"/>
      <c r="E217" s="199"/>
      <c r="F217" s="199"/>
      <c r="G217" s="244"/>
      <c r="H217" s="199"/>
      <c r="I217" s="199"/>
      <c r="J217" s="199"/>
      <c r="K217" s="199"/>
      <c r="L217" s="199"/>
      <c r="M217" s="199"/>
      <c r="N217" s="199"/>
      <c r="O217" s="199"/>
      <c r="P217" s="199"/>
      <c r="Q217" s="199"/>
      <c r="R217" s="199"/>
      <c r="S217" s="199"/>
      <c r="T217" s="199"/>
      <c r="U217" s="199"/>
      <c r="V217" s="199"/>
      <c r="W217" s="199"/>
      <c r="X217" s="199"/>
      <c r="Y217" s="199"/>
      <c r="Z217" s="199"/>
      <c r="AA217" s="199"/>
      <c r="AB217" s="199"/>
    </row>
    <row r="218" spans="1:28" ht="12.75">
      <c r="A218" s="199"/>
      <c r="B218" s="199"/>
      <c r="C218" s="199"/>
      <c r="D218" s="199"/>
      <c r="E218" s="199"/>
      <c r="F218" s="199"/>
      <c r="G218" s="244"/>
      <c r="H218" s="199"/>
      <c r="I218" s="199"/>
      <c r="J218" s="199"/>
      <c r="K218" s="199"/>
      <c r="L218" s="199"/>
      <c r="M218" s="199"/>
      <c r="N218" s="199"/>
      <c r="O218" s="199"/>
      <c r="P218" s="199"/>
      <c r="Q218" s="199"/>
      <c r="R218" s="199"/>
      <c r="S218" s="199"/>
      <c r="T218" s="199"/>
      <c r="U218" s="199"/>
      <c r="V218" s="199"/>
      <c r="W218" s="199"/>
      <c r="X218" s="199"/>
      <c r="Y218" s="199"/>
      <c r="Z218" s="199"/>
      <c r="AA218" s="199"/>
      <c r="AB218" s="199"/>
    </row>
    <row r="219" spans="1:28" ht="12.75">
      <c r="A219" s="199"/>
      <c r="B219" s="199"/>
      <c r="C219" s="199"/>
      <c r="D219" s="199"/>
      <c r="E219" s="199"/>
      <c r="F219" s="199"/>
      <c r="G219" s="244"/>
      <c r="H219" s="199"/>
      <c r="I219" s="199"/>
      <c r="J219" s="199"/>
      <c r="K219" s="199"/>
      <c r="L219" s="199"/>
      <c r="M219" s="199"/>
      <c r="N219" s="199"/>
      <c r="O219" s="199"/>
      <c r="P219" s="199"/>
      <c r="Q219" s="199"/>
      <c r="R219" s="199"/>
      <c r="S219" s="199"/>
      <c r="T219" s="199"/>
      <c r="U219" s="199"/>
      <c r="V219" s="199"/>
      <c r="W219" s="199"/>
      <c r="X219" s="199"/>
      <c r="Y219" s="199"/>
      <c r="Z219" s="199"/>
      <c r="AA219" s="199"/>
      <c r="AB219" s="199"/>
    </row>
    <row r="220" spans="1:28" ht="12.75">
      <c r="A220" s="199"/>
      <c r="B220" s="199"/>
      <c r="C220" s="199"/>
      <c r="D220" s="199"/>
      <c r="E220" s="199"/>
      <c r="F220" s="199"/>
      <c r="G220" s="244"/>
      <c r="H220" s="199"/>
      <c r="I220" s="199"/>
      <c r="J220" s="199"/>
      <c r="K220" s="199"/>
      <c r="L220" s="199"/>
      <c r="M220" s="199"/>
      <c r="N220" s="199"/>
      <c r="O220" s="199"/>
      <c r="P220" s="199"/>
      <c r="Q220" s="199"/>
      <c r="R220" s="199"/>
      <c r="S220" s="199"/>
      <c r="T220" s="199"/>
      <c r="U220" s="199"/>
      <c r="V220" s="199"/>
      <c r="W220" s="199"/>
      <c r="X220" s="199"/>
      <c r="Y220" s="199"/>
      <c r="Z220" s="199"/>
      <c r="AA220" s="199"/>
      <c r="AB220" s="199"/>
    </row>
    <row r="221" spans="1:28" ht="12.75">
      <c r="A221" s="199"/>
      <c r="B221" s="199"/>
      <c r="C221" s="199"/>
      <c r="D221" s="199"/>
      <c r="E221" s="199"/>
      <c r="F221" s="199"/>
      <c r="G221" s="244"/>
      <c r="H221" s="199"/>
      <c r="I221" s="199"/>
      <c r="J221" s="199"/>
      <c r="K221" s="199"/>
      <c r="L221" s="199"/>
      <c r="M221" s="199"/>
      <c r="N221" s="199"/>
      <c r="O221" s="199"/>
      <c r="P221" s="199"/>
      <c r="Q221" s="199"/>
      <c r="R221" s="199"/>
      <c r="S221" s="199"/>
      <c r="T221" s="199"/>
      <c r="U221" s="199"/>
      <c r="V221" s="199"/>
      <c r="W221" s="199"/>
      <c r="X221" s="199"/>
      <c r="Y221" s="199"/>
      <c r="Z221" s="199"/>
      <c r="AA221" s="199"/>
      <c r="AB221" s="199"/>
    </row>
    <row r="222" spans="1:28" ht="12.75">
      <c r="A222" s="199"/>
      <c r="B222" s="199"/>
      <c r="C222" s="199"/>
      <c r="D222" s="199"/>
      <c r="E222" s="199"/>
      <c r="F222" s="199"/>
      <c r="G222" s="244"/>
      <c r="H222" s="199"/>
      <c r="I222" s="199"/>
      <c r="J222" s="199"/>
      <c r="K222" s="199"/>
      <c r="L222" s="199"/>
      <c r="M222" s="199"/>
      <c r="N222" s="199"/>
      <c r="O222" s="199"/>
      <c r="P222" s="199"/>
      <c r="Q222" s="199"/>
      <c r="R222" s="199"/>
      <c r="S222" s="199"/>
      <c r="T222" s="199"/>
      <c r="U222" s="199"/>
      <c r="V222" s="199"/>
      <c r="W222" s="199"/>
      <c r="X222" s="199"/>
      <c r="Y222" s="199"/>
      <c r="Z222" s="199"/>
      <c r="AA222" s="199"/>
      <c r="AB222" s="199"/>
    </row>
    <row r="223" spans="1:28" ht="12.75">
      <c r="A223" s="199"/>
      <c r="B223" s="199"/>
      <c r="C223" s="199"/>
      <c r="D223" s="199"/>
      <c r="E223" s="199"/>
      <c r="F223" s="199"/>
      <c r="G223" s="244"/>
      <c r="H223" s="199"/>
      <c r="I223" s="199"/>
      <c r="J223" s="199"/>
      <c r="K223" s="199"/>
      <c r="L223" s="199"/>
      <c r="M223" s="199"/>
      <c r="N223" s="199"/>
      <c r="O223" s="199"/>
      <c r="P223" s="199"/>
      <c r="Q223" s="199"/>
      <c r="R223" s="199"/>
      <c r="S223" s="199"/>
      <c r="T223" s="199"/>
      <c r="U223" s="199"/>
      <c r="V223" s="199"/>
      <c r="W223" s="199"/>
      <c r="X223" s="199"/>
      <c r="Y223" s="199"/>
      <c r="Z223" s="199"/>
      <c r="AA223" s="199"/>
      <c r="AB223" s="199"/>
    </row>
    <row r="224" spans="1:28" ht="12.75">
      <c r="A224" s="199"/>
      <c r="B224" s="199"/>
      <c r="C224" s="199"/>
      <c r="D224" s="199"/>
      <c r="E224" s="199"/>
      <c r="F224" s="199"/>
      <c r="G224" s="244"/>
      <c r="H224" s="199"/>
      <c r="I224" s="199"/>
      <c r="J224" s="199"/>
      <c r="K224" s="199"/>
      <c r="L224" s="199"/>
      <c r="M224" s="199"/>
      <c r="N224" s="199"/>
      <c r="O224" s="199"/>
      <c r="P224" s="199"/>
      <c r="Q224" s="199"/>
      <c r="R224" s="199"/>
      <c r="S224" s="199"/>
      <c r="T224" s="199"/>
      <c r="U224" s="199"/>
      <c r="V224" s="199"/>
      <c r="W224" s="199"/>
      <c r="X224" s="199"/>
      <c r="Y224" s="199"/>
      <c r="Z224" s="199"/>
      <c r="AA224" s="199"/>
      <c r="AB224" s="199"/>
    </row>
    <row r="225" spans="1:28" ht="12.75">
      <c r="A225" s="199"/>
      <c r="B225" s="199"/>
      <c r="C225" s="199"/>
      <c r="D225" s="199"/>
      <c r="E225" s="199"/>
      <c r="F225" s="199"/>
      <c r="G225" s="244"/>
      <c r="H225" s="199"/>
      <c r="I225" s="199"/>
      <c r="J225" s="199"/>
      <c r="K225" s="199"/>
      <c r="L225" s="199"/>
      <c r="M225" s="199"/>
      <c r="N225" s="199"/>
      <c r="O225" s="199"/>
      <c r="P225" s="199"/>
      <c r="Q225" s="199"/>
      <c r="R225" s="199"/>
      <c r="S225" s="199"/>
      <c r="T225" s="199"/>
      <c r="U225" s="199"/>
      <c r="V225" s="199"/>
      <c r="W225" s="199"/>
      <c r="X225" s="199"/>
      <c r="Y225" s="199"/>
      <c r="Z225" s="199"/>
      <c r="AA225" s="199"/>
      <c r="AB225" s="199"/>
    </row>
    <row r="226" spans="1:28" ht="12.75">
      <c r="A226" s="199"/>
      <c r="B226" s="199"/>
      <c r="C226" s="199"/>
      <c r="D226" s="199"/>
      <c r="E226" s="199"/>
      <c r="F226" s="199"/>
      <c r="G226" s="244"/>
      <c r="H226" s="199"/>
      <c r="I226" s="199"/>
      <c r="J226" s="199"/>
      <c r="K226" s="199"/>
      <c r="L226" s="199"/>
      <c r="M226" s="199"/>
      <c r="N226" s="199"/>
      <c r="O226" s="199"/>
      <c r="P226" s="199"/>
      <c r="Q226" s="199"/>
      <c r="R226" s="199"/>
      <c r="S226" s="199"/>
      <c r="T226" s="199"/>
      <c r="U226" s="199"/>
      <c r="V226" s="199"/>
      <c r="W226" s="199"/>
      <c r="X226" s="199"/>
      <c r="Y226" s="199"/>
      <c r="Z226" s="199"/>
      <c r="AA226" s="199"/>
      <c r="AB226" s="199"/>
    </row>
    <row r="227" spans="1:28" ht="12.75">
      <c r="A227" s="199"/>
      <c r="B227" s="199"/>
      <c r="C227" s="199"/>
      <c r="D227" s="199"/>
      <c r="E227" s="199"/>
      <c r="F227" s="199"/>
      <c r="G227" s="244"/>
      <c r="H227" s="199"/>
      <c r="I227" s="199"/>
      <c r="J227" s="199"/>
      <c r="K227" s="199"/>
      <c r="L227" s="199"/>
      <c r="M227" s="199"/>
      <c r="N227" s="199"/>
      <c r="O227" s="199"/>
      <c r="P227" s="199"/>
      <c r="Q227" s="199"/>
      <c r="R227" s="199"/>
      <c r="S227" s="199"/>
      <c r="T227" s="199"/>
      <c r="U227" s="199"/>
      <c r="V227" s="199"/>
      <c r="W227" s="199"/>
      <c r="X227" s="199"/>
      <c r="Y227" s="199"/>
      <c r="Z227" s="199"/>
      <c r="AA227" s="199"/>
      <c r="AB227" s="199"/>
    </row>
    <row r="228" spans="1:28" ht="12.75">
      <c r="A228" s="199"/>
      <c r="B228" s="199"/>
      <c r="C228" s="199"/>
      <c r="D228" s="199"/>
      <c r="E228" s="199"/>
      <c r="F228" s="199"/>
      <c r="G228" s="244"/>
      <c r="H228" s="199"/>
      <c r="I228" s="199"/>
      <c r="J228" s="199"/>
      <c r="K228" s="199"/>
      <c r="L228" s="199"/>
      <c r="M228" s="199"/>
      <c r="N228" s="199"/>
      <c r="O228" s="199"/>
      <c r="P228" s="199"/>
      <c r="Q228" s="199"/>
      <c r="R228" s="199"/>
      <c r="S228" s="199"/>
      <c r="T228" s="199"/>
      <c r="U228" s="199"/>
      <c r="V228" s="199"/>
      <c r="W228" s="199"/>
      <c r="X228" s="199"/>
      <c r="Y228" s="199"/>
      <c r="Z228" s="199"/>
      <c r="AA228" s="199"/>
      <c r="AB228" s="199"/>
    </row>
    <row r="229" spans="1:28" ht="12.75">
      <c r="A229" s="199"/>
      <c r="B229" s="199"/>
      <c r="C229" s="199"/>
      <c r="D229" s="199"/>
      <c r="E229" s="199"/>
      <c r="F229" s="199"/>
      <c r="G229" s="244"/>
      <c r="H229" s="199"/>
      <c r="I229" s="199"/>
      <c r="J229" s="199"/>
      <c r="K229" s="199"/>
      <c r="L229" s="199"/>
      <c r="M229" s="199"/>
      <c r="N229" s="199"/>
      <c r="O229" s="199"/>
      <c r="P229" s="199"/>
      <c r="Q229" s="199"/>
      <c r="R229" s="199"/>
      <c r="S229" s="199"/>
      <c r="T229" s="199"/>
      <c r="U229" s="199"/>
      <c r="V229" s="199"/>
      <c r="W229" s="199"/>
      <c r="X229" s="199"/>
      <c r="Y229" s="199"/>
      <c r="Z229" s="199"/>
      <c r="AA229" s="199"/>
      <c r="AB229" s="199"/>
    </row>
    <row r="230" spans="1:28" ht="12.75">
      <c r="A230" s="199"/>
      <c r="B230" s="199"/>
      <c r="C230" s="199"/>
      <c r="D230" s="199"/>
      <c r="E230" s="199"/>
      <c r="F230" s="199"/>
      <c r="G230" s="244"/>
      <c r="H230" s="199"/>
      <c r="I230" s="199"/>
      <c r="J230" s="199"/>
      <c r="K230" s="199"/>
      <c r="L230" s="199"/>
      <c r="M230" s="199"/>
      <c r="N230" s="199"/>
      <c r="O230" s="199"/>
      <c r="P230" s="199"/>
      <c r="Q230" s="199"/>
      <c r="R230" s="199"/>
      <c r="S230" s="199"/>
      <c r="T230" s="199"/>
      <c r="U230" s="199"/>
      <c r="V230" s="199"/>
      <c r="W230" s="199"/>
      <c r="X230" s="199"/>
      <c r="Y230" s="199"/>
      <c r="Z230" s="199"/>
      <c r="AA230" s="199"/>
      <c r="AB230" s="199"/>
    </row>
    <row r="231" spans="1:28" ht="12.75">
      <c r="A231" s="199"/>
      <c r="B231" s="199"/>
      <c r="C231" s="199"/>
      <c r="D231" s="199"/>
      <c r="E231" s="199"/>
      <c r="F231" s="199"/>
      <c r="G231" s="244"/>
      <c r="H231" s="199"/>
      <c r="I231" s="199"/>
      <c r="J231" s="199"/>
      <c r="K231" s="199"/>
      <c r="L231" s="199"/>
      <c r="M231" s="199"/>
      <c r="N231" s="199"/>
      <c r="O231" s="199"/>
      <c r="P231" s="199"/>
      <c r="Q231" s="199"/>
      <c r="R231" s="199"/>
      <c r="S231" s="199"/>
      <c r="T231" s="199"/>
      <c r="U231" s="199"/>
      <c r="V231" s="199"/>
      <c r="W231" s="199"/>
      <c r="X231" s="199"/>
      <c r="Y231" s="199"/>
      <c r="Z231" s="199"/>
      <c r="AA231" s="199"/>
      <c r="AB231" s="199"/>
    </row>
    <row r="232" spans="1:28" ht="12.75">
      <c r="A232" s="199"/>
      <c r="B232" s="199"/>
      <c r="C232" s="199"/>
      <c r="D232" s="199"/>
      <c r="E232" s="199"/>
      <c r="F232" s="199"/>
      <c r="G232" s="244"/>
      <c r="H232" s="199"/>
      <c r="I232" s="199"/>
      <c r="J232" s="199"/>
      <c r="K232" s="199"/>
      <c r="L232" s="199"/>
      <c r="M232" s="199"/>
      <c r="N232" s="199"/>
      <c r="O232" s="199"/>
      <c r="P232" s="199"/>
      <c r="Q232" s="199"/>
      <c r="R232" s="199"/>
      <c r="S232" s="199"/>
      <c r="T232" s="199"/>
      <c r="U232" s="199"/>
      <c r="V232" s="199"/>
      <c r="W232" s="199"/>
      <c r="X232" s="199"/>
      <c r="Y232" s="199"/>
      <c r="Z232" s="199"/>
      <c r="AA232" s="199"/>
      <c r="AB232" s="199"/>
    </row>
    <row r="233" spans="1:28" ht="12.75">
      <c r="A233" s="199"/>
      <c r="B233" s="199"/>
      <c r="C233" s="199"/>
      <c r="D233" s="199"/>
      <c r="E233" s="199"/>
      <c r="F233" s="199"/>
      <c r="G233" s="244"/>
      <c r="H233" s="199"/>
      <c r="I233" s="199"/>
      <c r="J233" s="199"/>
      <c r="K233" s="199"/>
      <c r="L233" s="199"/>
      <c r="M233" s="199"/>
      <c r="N233" s="199"/>
      <c r="O233" s="199"/>
      <c r="P233" s="199"/>
      <c r="Q233" s="199"/>
      <c r="R233" s="199"/>
      <c r="S233" s="199"/>
      <c r="T233" s="199"/>
      <c r="U233" s="199"/>
      <c r="V233" s="199"/>
      <c r="W233" s="199"/>
      <c r="X233" s="199"/>
      <c r="Y233" s="199"/>
      <c r="Z233" s="199"/>
      <c r="AA233" s="199"/>
      <c r="AB233" s="199"/>
    </row>
    <row r="234" spans="1:28" ht="12.75">
      <c r="A234" s="199"/>
      <c r="B234" s="199"/>
      <c r="C234" s="199"/>
      <c r="D234" s="199"/>
      <c r="E234" s="199"/>
      <c r="F234" s="199"/>
      <c r="G234" s="244"/>
      <c r="H234" s="199"/>
      <c r="I234" s="199"/>
      <c r="J234" s="199"/>
      <c r="K234" s="199"/>
      <c r="L234" s="199"/>
      <c r="M234" s="199"/>
      <c r="N234" s="199"/>
      <c r="O234" s="199"/>
      <c r="P234" s="199"/>
      <c r="Q234" s="199"/>
      <c r="R234" s="199"/>
      <c r="S234" s="199"/>
      <c r="T234" s="199"/>
      <c r="U234" s="199"/>
      <c r="V234" s="199"/>
      <c r="W234" s="199"/>
      <c r="X234" s="199"/>
      <c r="Y234" s="199"/>
      <c r="Z234" s="199"/>
      <c r="AA234" s="199"/>
      <c r="AB234" s="199"/>
    </row>
    <row r="235" spans="1:28" ht="12.75">
      <c r="A235" s="199"/>
      <c r="B235" s="199"/>
      <c r="C235" s="199"/>
      <c r="D235" s="199"/>
      <c r="E235" s="199"/>
      <c r="F235" s="199"/>
      <c r="G235" s="244"/>
      <c r="H235" s="199"/>
      <c r="I235" s="199"/>
      <c r="J235" s="199"/>
      <c r="K235" s="199"/>
      <c r="L235" s="199"/>
      <c r="M235" s="199"/>
      <c r="N235" s="199"/>
      <c r="O235" s="199"/>
      <c r="P235" s="199"/>
      <c r="Q235" s="199"/>
      <c r="R235" s="199"/>
      <c r="S235" s="199"/>
      <c r="T235" s="199"/>
      <c r="U235" s="199"/>
      <c r="V235" s="199"/>
      <c r="W235" s="199"/>
      <c r="X235" s="199"/>
      <c r="Y235" s="199"/>
      <c r="Z235" s="199"/>
      <c r="AA235" s="199"/>
      <c r="AB235" s="199"/>
    </row>
    <row r="236" spans="1:28" ht="12.75">
      <c r="A236" s="199"/>
      <c r="B236" s="199"/>
      <c r="C236" s="199"/>
      <c r="D236" s="199"/>
      <c r="E236" s="199"/>
      <c r="F236" s="199"/>
      <c r="G236" s="244"/>
      <c r="H236" s="199"/>
      <c r="I236" s="199"/>
      <c r="J236" s="199"/>
      <c r="K236" s="199"/>
      <c r="L236" s="199"/>
      <c r="M236" s="199"/>
      <c r="N236" s="199"/>
      <c r="O236" s="199"/>
      <c r="P236" s="199"/>
      <c r="Q236" s="199"/>
      <c r="R236" s="199"/>
      <c r="S236" s="199"/>
      <c r="T236" s="199"/>
      <c r="U236" s="199"/>
      <c r="V236" s="199"/>
      <c r="W236" s="199"/>
      <c r="X236" s="199"/>
      <c r="Y236" s="199"/>
      <c r="Z236" s="199"/>
      <c r="AA236" s="199"/>
      <c r="AB236" s="199"/>
    </row>
    <row r="237" spans="1:28" ht="12.75">
      <c r="A237" s="199"/>
      <c r="B237" s="199"/>
      <c r="C237" s="199"/>
      <c r="D237" s="199"/>
      <c r="E237" s="199"/>
      <c r="F237" s="199"/>
      <c r="G237" s="244"/>
      <c r="H237" s="199"/>
      <c r="I237" s="199"/>
      <c r="J237" s="199"/>
      <c r="K237" s="199"/>
      <c r="L237" s="199"/>
      <c r="M237" s="199"/>
      <c r="N237" s="199"/>
      <c r="O237" s="199"/>
      <c r="P237" s="199"/>
      <c r="Q237" s="199"/>
      <c r="R237" s="199"/>
      <c r="S237" s="199"/>
      <c r="T237" s="199"/>
      <c r="U237" s="199"/>
      <c r="V237" s="199"/>
      <c r="W237" s="199"/>
      <c r="X237" s="199"/>
      <c r="Y237" s="199"/>
      <c r="Z237" s="199"/>
      <c r="AA237" s="199"/>
      <c r="AB237" s="199"/>
    </row>
    <row r="238" spans="1:28" ht="12.75">
      <c r="A238" s="199"/>
      <c r="B238" s="199"/>
      <c r="C238" s="199"/>
      <c r="D238" s="199"/>
      <c r="E238" s="199"/>
      <c r="F238" s="199"/>
      <c r="G238" s="244"/>
      <c r="H238" s="199"/>
      <c r="I238" s="199"/>
      <c r="J238" s="199"/>
      <c r="K238" s="199"/>
      <c r="L238" s="199"/>
      <c r="M238" s="199"/>
      <c r="N238" s="199"/>
      <c r="O238" s="199"/>
      <c r="P238" s="199"/>
      <c r="Q238" s="199"/>
      <c r="R238" s="199"/>
      <c r="S238" s="199"/>
      <c r="T238" s="199"/>
      <c r="U238" s="199"/>
      <c r="V238" s="199"/>
      <c r="W238" s="199"/>
      <c r="X238" s="199"/>
      <c r="Y238" s="199"/>
      <c r="Z238" s="199"/>
      <c r="AA238" s="199"/>
      <c r="AB238" s="199"/>
    </row>
    <row r="239" spans="1:28" ht="12.75">
      <c r="A239" s="199"/>
      <c r="B239" s="199"/>
      <c r="C239" s="199"/>
      <c r="D239" s="199"/>
      <c r="E239" s="199"/>
      <c r="F239" s="199"/>
      <c r="G239" s="244"/>
      <c r="H239" s="199"/>
      <c r="I239" s="199"/>
      <c r="J239" s="199"/>
      <c r="K239" s="199"/>
      <c r="L239" s="199"/>
      <c r="M239" s="199"/>
      <c r="N239" s="199"/>
      <c r="O239" s="199"/>
      <c r="P239" s="199"/>
      <c r="Q239" s="199"/>
      <c r="R239" s="199"/>
      <c r="S239" s="199"/>
      <c r="T239" s="199"/>
      <c r="U239" s="199"/>
      <c r="V239" s="199"/>
      <c r="W239" s="199"/>
      <c r="X239" s="199"/>
      <c r="Y239" s="199"/>
      <c r="Z239" s="199"/>
      <c r="AA239" s="199"/>
      <c r="AB239" s="199"/>
    </row>
    <row r="240" spans="1:28" ht="12.75">
      <c r="A240" s="199"/>
      <c r="B240" s="199"/>
      <c r="C240" s="199"/>
      <c r="D240" s="199"/>
      <c r="E240" s="199"/>
      <c r="F240" s="199"/>
      <c r="G240" s="244"/>
      <c r="H240" s="199"/>
      <c r="I240" s="199"/>
      <c r="J240" s="199"/>
      <c r="K240" s="199"/>
      <c r="L240" s="199"/>
      <c r="M240" s="199"/>
      <c r="N240" s="199"/>
      <c r="O240" s="199"/>
      <c r="P240" s="199"/>
      <c r="Q240" s="199"/>
      <c r="R240" s="199"/>
      <c r="S240" s="199"/>
      <c r="T240" s="199"/>
      <c r="U240" s="199"/>
      <c r="V240" s="199"/>
      <c r="W240" s="199"/>
      <c r="X240" s="199"/>
      <c r="Y240" s="199"/>
      <c r="Z240" s="199"/>
      <c r="AA240" s="199"/>
      <c r="AB240" s="199"/>
    </row>
    <row r="241" spans="1:28" ht="12.75">
      <c r="A241" s="199"/>
      <c r="B241" s="199"/>
      <c r="C241" s="199"/>
      <c r="D241" s="199"/>
      <c r="E241" s="199"/>
      <c r="F241" s="199"/>
      <c r="G241" s="244"/>
      <c r="H241" s="199"/>
      <c r="I241" s="199"/>
      <c r="J241" s="199"/>
      <c r="K241" s="199"/>
      <c r="L241" s="199"/>
      <c r="M241" s="199"/>
      <c r="N241" s="199"/>
      <c r="O241" s="199"/>
      <c r="P241" s="199"/>
      <c r="Q241" s="199"/>
      <c r="R241" s="199"/>
      <c r="S241" s="199"/>
      <c r="T241" s="199"/>
      <c r="U241" s="199"/>
      <c r="V241" s="199"/>
      <c r="W241" s="199"/>
      <c r="X241" s="199"/>
      <c r="Y241" s="199"/>
      <c r="Z241" s="199"/>
      <c r="AA241" s="199"/>
      <c r="AB241" s="199"/>
    </row>
    <row r="242" spans="1:28" ht="12.75">
      <c r="A242" s="199"/>
      <c r="B242" s="199"/>
      <c r="C242" s="199"/>
      <c r="D242" s="199"/>
      <c r="E242" s="199"/>
      <c r="F242" s="199"/>
      <c r="G242" s="244"/>
      <c r="H242" s="199"/>
      <c r="I242" s="199"/>
      <c r="J242" s="199"/>
      <c r="K242" s="199"/>
      <c r="L242" s="199"/>
      <c r="M242" s="199"/>
      <c r="N242" s="199"/>
      <c r="O242" s="199"/>
      <c r="P242" s="199"/>
      <c r="Q242" s="199"/>
      <c r="R242" s="199"/>
      <c r="S242" s="199"/>
      <c r="T242" s="199"/>
      <c r="U242" s="199"/>
      <c r="V242" s="199"/>
      <c r="W242" s="199"/>
      <c r="X242" s="199"/>
      <c r="Y242" s="199"/>
      <c r="Z242" s="199"/>
      <c r="AA242" s="199"/>
      <c r="AB242" s="199"/>
    </row>
    <row r="243" spans="1:28" ht="12.75">
      <c r="A243" s="199"/>
      <c r="B243" s="199"/>
      <c r="C243" s="199"/>
      <c r="D243" s="199"/>
      <c r="E243" s="199"/>
      <c r="F243" s="199"/>
      <c r="G243" s="244"/>
      <c r="H243" s="199"/>
      <c r="I243" s="199"/>
      <c r="J243" s="199"/>
      <c r="K243" s="199"/>
      <c r="L243" s="199"/>
      <c r="M243" s="199"/>
      <c r="N243" s="199"/>
      <c r="O243" s="199"/>
      <c r="P243" s="199"/>
      <c r="Q243" s="199"/>
      <c r="R243" s="199"/>
      <c r="S243" s="199"/>
      <c r="T243" s="199"/>
      <c r="U243" s="199"/>
      <c r="V243" s="199"/>
      <c r="W243" s="199"/>
      <c r="X243" s="199"/>
      <c r="Y243" s="199"/>
      <c r="Z243" s="199"/>
      <c r="AA243" s="199"/>
      <c r="AB243" s="199"/>
    </row>
    <row r="244" spans="1:28" ht="12.75">
      <c r="A244" s="199"/>
      <c r="B244" s="199"/>
      <c r="C244" s="199"/>
      <c r="D244" s="199"/>
      <c r="E244" s="199"/>
      <c r="F244" s="199"/>
      <c r="G244" s="244"/>
      <c r="H244" s="199"/>
      <c r="I244" s="199"/>
      <c r="J244" s="199"/>
      <c r="K244" s="199"/>
      <c r="L244" s="199"/>
      <c r="M244" s="199"/>
      <c r="N244" s="199"/>
      <c r="O244" s="199"/>
      <c r="P244" s="199"/>
      <c r="Q244" s="199"/>
      <c r="R244" s="199"/>
      <c r="S244" s="199"/>
      <c r="T244" s="199"/>
      <c r="U244" s="199"/>
      <c r="V244" s="199"/>
      <c r="W244" s="199"/>
      <c r="X244" s="199"/>
      <c r="Y244" s="199"/>
      <c r="Z244" s="199"/>
      <c r="AA244" s="199"/>
      <c r="AB244" s="199"/>
    </row>
    <row r="245" spans="1:28" ht="12.75">
      <c r="A245" s="199"/>
      <c r="B245" s="199"/>
      <c r="C245" s="199"/>
      <c r="D245" s="199"/>
      <c r="E245" s="199"/>
      <c r="F245" s="199"/>
      <c r="G245" s="244"/>
      <c r="H245" s="199"/>
      <c r="I245" s="199"/>
      <c r="J245" s="199"/>
      <c r="K245" s="199"/>
      <c r="L245" s="199"/>
      <c r="M245" s="199"/>
      <c r="N245" s="199"/>
      <c r="O245" s="199"/>
      <c r="P245" s="199"/>
      <c r="Q245" s="199"/>
      <c r="R245" s="199"/>
      <c r="S245" s="199"/>
      <c r="T245" s="199"/>
      <c r="U245" s="199"/>
      <c r="V245" s="199"/>
      <c r="W245" s="199"/>
      <c r="X245" s="199"/>
      <c r="Y245" s="199"/>
      <c r="Z245" s="199"/>
      <c r="AA245" s="199"/>
      <c r="AB245" s="199"/>
    </row>
    <row r="246" spans="1:28" ht="12.75">
      <c r="A246" s="199"/>
      <c r="B246" s="199"/>
      <c r="C246" s="199"/>
      <c r="D246" s="199"/>
      <c r="E246" s="199"/>
      <c r="F246" s="199"/>
      <c r="G246" s="244"/>
      <c r="H246" s="199"/>
      <c r="I246" s="199"/>
      <c r="J246" s="199"/>
      <c r="K246" s="199"/>
      <c r="L246" s="199"/>
      <c r="M246" s="199"/>
      <c r="N246" s="199"/>
      <c r="O246" s="199"/>
      <c r="P246" s="199"/>
      <c r="Q246" s="199"/>
      <c r="R246" s="199"/>
      <c r="S246" s="199"/>
      <c r="T246" s="199"/>
      <c r="U246" s="199"/>
      <c r="V246" s="199"/>
      <c r="W246" s="199"/>
      <c r="X246" s="199"/>
      <c r="Y246" s="199"/>
      <c r="Z246" s="199"/>
      <c r="AA246" s="199"/>
      <c r="AB246" s="199"/>
    </row>
    <row r="247" spans="1:28" ht="12.75">
      <c r="A247" s="199"/>
      <c r="B247" s="199"/>
      <c r="C247" s="199"/>
      <c r="D247" s="199"/>
      <c r="E247" s="199"/>
      <c r="F247" s="199"/>
      <c r="G247" s="244"/>
      <c r="H247" s="199"/>
      <c r="I247" s="199"/>
      <c r="J247" s="199"/>
      <c r="K247" s="199"/>
      <c r="L247" s="199"/>
      <c r="M247" s="199"/>
      <c r="N247" s="199"/>
      <c r="O247" s="199"/>
      <c r="P247" s="199"/>
      <c r="Q247" s="199"/>
      <c r="R247" s="199"/>
      <c r="S247" s="199"/>
      <c r="T247" s="199"/>
      <c r="U247" s="199"/>
      <c r="V247" s="199"/>
      <c r="W247" s="199"/>
      <c r="X247" s="199"/>
      <c r="Y247" s="199"/>
      <c r="Z247" s="199"/>
      <c r="AA247" s="199"/>
      <c r="AB247" s="199"/>
    </row>
    <row r="248" spans="1:28" ht="12.75">
      <c r="A248" s="199"/>
      <c r="B248" s="199"/>
      <c r="C248" s="199"/>
      <c r="D248" s="199"/>
      <c r="E248" s="199"/>
      <c r="F248" s="199"/>
      <c r="G248" s="244"/>
      <c r="H248" s="199"/>
      <c r="I248" s="199"/>
      <c r="J248" s="199"/>
      <c r="K248" s="199"/>
      <c r="L248" s="199"/>
      <c r="M248" s="199"/>
      <c r="N248" s="199"/>
      <c r="O248" s="199"/>
      <c r="P248" s="199"/>
      <c r="Q248" s="199"/>
      <c r="R248" s="199"/>
      <c r="S248" s="199"/>
      <c r="T248" s="199"/>
      <c r="U248" s="199"/>
      <c r="V248" s="199"/>
      <c r="W248" s="199"/>
      <c r="X248" s="199"/>
      <c r="Y248" s="199"/>
      <c r="Z248" s="199"/>
      <c r="AA248" s="199"/>
      <c r="AB248" s="199"/>
    </row>
    <row r="249" spans="1:28" ht="12.75">
      <c r="A249" s="199"/>
      <c r="B249" s="199"/>
      <c r="C249" s="199"/>
      <c r="D249" s="199"/>
      <c r="E249" s="199"/>
      <c r="F249" s="199"/>
      <c r="G249" s="244"/>
      <c r="H249" s="199"/>
      <c r="I249" s="199"/>
      <c r="J249" s="199"/>
      <c r="K249" s="199"/>
      <c r="L249" s="199"/>
      <c r="M249" s="199"/>
      <c r="N249" s="199"/>
      <c r="O249" s="199"/>
      <c r="P249" s="199"/>
      <c r="Q249" s="199"/>
      <c r="R249" s="199"/>
      <c r="S249" s="199"/>
      <c r="T249" s="199"/>
      <c r="U249" s="199"/>
      <c r="V249" s="199"/>
      <c r="W249" s="199"/>
      <c r="X249" s="199"/>
      <c r="Y249" s="199"/>
      <c r="Z249" s="199"/>
      <c r="AA249" s="199"/>
      <c r="AB249" s="199"/>
    </row>
    <row r="250" spans="1:28" ht="12.75">
      <c r="A250" s="199"/>
      <c r="B250" s="199"/>
      <c r="C250" s="199"/>
      <c r="D250" s="199"/>
      <c r="E250" s="199"/>
      <c r="F250" s="199"/>
      <c r="G250" s="244"/>
      <c r="H250" s="199"/>
      <c r="I250" s="199"/>
      <c r="J250" s="199"/>
      <c r="K250" s="199"/>
      <c r="L250" s="199"/>
      <c r="M250" s="199"/>
      <c r="N250" s="199"/>
      <c r="O250" s="199"/>
      <c r="P250" s="199"/>
      <c r="Q250" s="199"/>
      <c r="R250" s="199"/>
      <c r="S250" s="199"/>
      <c r="T250" s="199"/>
      <c r="U250" s="199"/>
      <c r="V250" s="199"/>
      <c r="W250" s="199"/>
      <c r="X250" s="199"/>
      <c r="Y250" s="199"/>
      <c r="Z250" s="199"/>
      <c r="AA250" s="199"/>
      <c r="AB250" s="199"/>
    </row>
    <row r="251" spans="1:28" ht="12.75">
      <c r="A251" s="199"/>
      <c r="B251" s="199"/>
      <c r="C251" s="199"/>
      <c r="D251" s="199"/>
      <c r="E251" s="199"/>
      <c r="F251" s="199"/>
      <c r="G251" s="244"/>
      <c r="H251" s="199"/>
      <c r="I251" s="199"/>
      <c r="J251" s="199"/>
      <c r="K251" s="199"/>
      <c r="L251" s="199"/>
      <c r="M251" s="199"/>
      <c r="N251" s="199"/>
      <c r="O251" s="199"/>
      <c r="P251" s="199"/>
      <c r="Q251" s="199"/>
      <c r="R251" s="199"/>
      <c r="S251" s="199"/>
      <c r="T251" s="199"/>
      <c r="U251" s="199"/>
      <c r="V251" s="199"/>
      <c r="W251" s="199"/>
      <c r="X251" s="199"/>
      <c r="Y251" s="199"/>
      <c r="Z251" s="199"/>
      <c r="AA251" s="199"/>
      <c r="AB251" s="199"/>
    </row>
    <row r="252" spans="1:28" ht="12.75">
      <c r="A252" s="199"/>
      <c r="B252" s="199"/>
      <c r="C252" s="199"/>
      <c r="D252" s="199"/>
      <c r="E252" s="199"/>
      <c r="F252" s="199"/>
      <c r="G252" s="244"/>
      <c r="H252" s="199"/>
      <c r="I252" s="199"/>
      <c r="J252" s="199"/>
      <c r="K252" s="199"/>
      <c r="L252" s="199"/>
      <c r="M252" s="199"/>
      <c r="N252" s="199"/>
      <c r="O252" s="199"/>
      <c r="P252" s="199"/>
      <c r="Q252" s="199"/>
      <c r="R252" s="199"/>
      <c r="S252" s="199"/>
      <c r="T252" s="199"/>
      <c r="U252" s="199"/>
      <c r="V252" s="199"/>
      <c r="W252" s="199"/>
      <c r="X252" s="199"/>
      <c r="Y252" s="199"/>
      <c r="Z252" s="199"/>
      <c r="AA252" s="199"/>
      <c r="AB252" s="199"/>
    </row>
    <row r="253" spans="1:28" ht="12.75">
      <c r="A253" s="199"/>
      <c r="B253" s="199"/>
      <c r="C253" s="199"/>
      <c r="D253" s="199"/>
      <c r="E253" s="199"/>
      <c r="F253" s="199"/>
      <c r="G253" s="244"/>
      <c r="H253" s="199"/>
      <c r="I253" s="199"/>
      <c r="J253" s="199"/>
      <c r="K253" s="199"/>
      <c r="L253" s="199"/>
      <c r="M253" s="199"/>
      <c r="N253" s="199"/>
      <c r="O253" s="199"/>
      <c r="P253" s="199"/>
      <c r="Q253" s="199"/>
      <c r="R253" s="199"/>
      <c r="S253" s="199"/>
      <c r="T253" s="199"/>
      <c r="U253" s="199"/>
      <c r="V253" s="199"/>
      <c r="W253" s="199"/>
      <c r="X253" s="199"/>
      <c r="Y253" s="199"/>
      <c r="Z253" s="199"/>
      <c r="AA253" s="199"/>
      <c r="AB253" s="199"/>
    </row>
    <row r="254" spans="1:28" ht="12.75">
      <c r="A254" s="199"/>
      <c r="B254" s="199"/>
      <c r="C254" s="199"/>
      <c r="D254" s="199"/>
      <c r="E254" s="199"/>
      <c r="F254" s="199"/>
      <c r="G254" s="244"/>
      <c r="H254" s="199"/>
      <c r="I254" s="199"/>
      <c r="J254" s="199"/>
      <c r="K254" s="199"/>
      <c r="L254" s="199"/>
      <c r="M254" s="199"/>
      <c r="N254" s="199"/>
      <c r="O254" s="199"/>
      <c r="P254" s="199"/>
      <c r="Q254" s="199"/>
      <c r="R254" s="199"/>
      <c r="S254" s="199"/>
      <c r="T254" s="199"/>
      <c r="U254" s="199"/>
      <c r="V254" s="199"/>
      <c r="W254" s="199"/>
      <c r="X254" s="199"/>
      <c r="Y254" s="199"/>
      <c r="Z254" s="199"/>
      <c r="AA254" s="199"/>
      <c r="AB254" s="199"/>
    </row>
    <row r="255" spans="1:28" ht="12.75">
      <c r="A255" s="199"/>
      <c r="B255" s="199"/>
      <c r="C255" s="199"/>
      <c r="D255" s="199"/>
      <c r="E255" s="199"/>
      <c r="F255" s="199"/>
      <c r="G255" s="244"/>
      <c r="H255" s="199"/>
      <c r="I255" s="199"/>
      <c r="J255" s="199"/>
      <c r="K255" s="199"/>
      <c r="L255" s="199"/>
      <c r="M255" s="199"/>
      <c r="N255" s="199"/>
      <c r="O255" s="199"/>
      <c r="P255" s="199"/>
      <c r="Q255" s="199"/>
      <c r="R255" s="199"/>
      <c r="S255" s="199"/>
      <c r="T255" s="199"/>
      <c r="U255" s="199"/>
      <c r="V255" s="199"/>
      <c r="W255" s="199"/>
      <c r="X255" s="199"/>
      <c r="Y255" s="199"/>
      <c r="Z255" s="199"/>
      <c r="AA255" s="199"/>
      <c r="AB255" s="199"/>
    </row>
    <row r="256" spans="1:28" ht="12.75">
      <c r="A256" s="199"/>
      <c r="B256" s="199"/>
      <c r="C256" s="199"/>
      <c r="D256" s="199"/>
      <c r="E256" s="199"/>
      <c r="F256" s="199"/>
      <c r="G256" s="244"/>
      <c r="H256" s="199"/>
      <c r="I256" s="199"/>
      <c r="J256" s="199"/>
      <c r="K256" s="199"/>
      <c r="L256" s="199"/>
      <c r="M256" s="199"/>
      <c r="N256" s="199"/>
      <c r="O256" s="199"/>
      <c r="P256" s="199"/>
      <c r="Q256" s="199"/>
      <c r="R256" s="199"/>
      <c r="S256" s="199"/>
      <c r="T256" s="199"/>
      <c r="U256" s="199"/>
      <c r="V256" s="199"/>
      <c r="W256" s="199"/>
      <c r="X256" s="199"/>
      <c r="Y256" s="199"/>
      <c r="Z256" s="199"/>
      <c r="AA256" s="199"/>
      <c r="AB256" s="199"/>
    </row>
    <row r="257" spans="1:28" ht="12.75">
      <c r="A257" s="199"/>
      <c r="B257" s="199"/>
      <c r="C257" s="199"/>
      <c r="D257" s="199"/>
      <c r="E257" s="199"/>
      <c r="F257" s="199"/>
      <c r="G257" s="244"/>
      <c r="H257" s="199"/>
      <c r="I257" s="199"/>
      <c r="J257" s="199"/>
      <c r="K257" s="199"/>
      <c r="L257" s="199"/>
      <c r="M257" s="199"/>
      <c r="N257" s="199"/>
      <c r="O257" s="199"/>
      <c r="P257" s="199"/>
      <c r="Q257" s="199"/>
      <c r="R257" s="199"/>
      <c r="S257" s="199"/>
      <c r="T257" s="199"/>
      <c r="U257" s="199"/>
      <c r="V257" s="199"/>
      <c r="W257" s="199"/>
      <c r="X257" s="199"/>
      <c r="Y257" s="199"/>
      <c r="Z257" s="199"/>
      <c r="AA257" s="199"/>
      <c r="AB257" s="199"/>
    </row>
    <row r="258" spans="1:28" ht="12.75">
      <c r="A258" s="199"/>
      <c r="B258" s="199"/>
      <c r="C258" s="199"/>
      <c r="D258" s="199"/>
      <c r="E258" s="199"/>
      <c r="F258" s="199"/>
      <c r="G258" s="244"/>
      <c r="H258" s="199"/>
      <c r="I258" s="199"/>
      <c r="J258" s="199"/>
      <c r="K258" s="199"/>
      <c r="L258" s="199"/>
      <c r="M258" s="199"/>
      <c r="N258" s="199"/>
      <c r="O258" s="199"/>
      <c r="P258" s="199"/>
      <c r="Q258" s="199"/>
      <c r="R258" s="199"/>
      <c r="S258" s="199"/>
      <c r="T258" s="199"/>
      <c r="U258" s="199"/>
      <c r="V258" s="199"/>
      <c r="W258" s="199"/>
      <c r="X258" s="199"/>
      <c r="Y258" s="199"/>
      <c r="Z258" s="199"/>
      <c r="AA258" s="199"/>
      <c r="AB258" s="199"/>
    </row>
    <row r="259" spans="1:28" ht="12.75">
      <c r="A259" s="199"/>
      <c r="B259" s="199"/>
      <c r="C259" s="199"/>
      <c r="D259" s="199"/>
      <c r="E259" s="199"/>
      <c r="F259" s="199"/>
      <c r="G259" s="244"/>
      <c r="H259" s="199"/>
      <c r="I259" s="199"/>
      <c r="J259" s="199"/>
      <c r="K259" s="199"/>
      <c r="L259" s="199"/>
      <c r="M259" s="199"/>
      <c r="N259" s="199"/>
      <c r="O259" s="199"/>
      <c r="P259" s="199"/>
      <c r="Q259" s="199"/>
      <c r="R259" s="199"/>
      <c r="S259" s="199"/>
      <c r="T259" s="199"/>
      <c r="U259" s="199"/>
      <c r="V259" s="199"/>
      <c r="W259" s="199"/>
      <c r="X259" s="199"/>
      <c r="Y259" s="199"/>
      <c r="Z259" s="199"/>
      <c r="AA259" s="199"/>
      <c r="AB259" s="199"/>
    </row>
    <row r="260" spans="1:28" ht="12.75">
      <c r="A260" s="199"/>
      <c r="B260" s="199"/>
      <c r="C260" s="199"/>
      <c r="D260" s="199"/>
      <c r="E260" s="199"/>
      <c r="F260" s="199"/>
      <c r="G260" s="244"/>
      <c r="H260" s="199"/>
      <c r="I260" s="199"/>
      <c r="J260" s="199"/>
      <c r="K260" s="199"/>
      <c r="L260" s="199"/>
      <c r="M260" s="199"/>
      <c r="N260" s="199"/>
      <c r="O260" s="199"/>
      <c r="P260" s="199"/>
      <c r="Q260" s="199"/>
      <c r="R260" s="199"/>
      <c r="S260" s="199"/>
      <c r="T260" s="199"/>
      <c r="U260" s="199"/>
      <c r="V260" s="199"/>
      <c r="W260" s="199"/>
      <c r="X260" s="199"/>
      <c r="Y260" s="199"/>
      <c r="Z260" s="199"/>
      <c r="AA260" s="199"/>
      <c r="AB260" s="199"/>
    </row>
    <row r="261" spans="1:28" ht="12.75">
      <c r="A261" s="199"/>
      <c r="B261" s="199"/>
      <c r="C261" s="199"/>
      <c r="D261" s="199"/>
      <c r="E261" s="199"/>
      <c r="F261" s="199"/>
      <c r="G261" s="244"/>
      <c r="H261" s="199"/>
      <c r="I261" s="199"/>
      <c r="J261" s="199"/>
      <c r="K261" s="199"/>
      <c r="L261" s="199"/>
      <c r="M261" s="199"/>
      <c r="N261" s="199"/>
      <c r="O261" s="199"/>
      <c r="P261" s="199"/>
      <c r="Q261" s="199"/>
      <c r="R261" s="199"/>
      <c r="S261" s="199"/>
      <c r="T261" s="199"/>
      <c r="U261" s="199"/>
      <c r="V261" s="199"/>
      <c r="W261" s="199"/>
      <c r="X261" s="199"/>
      <c r="Y261" s="199"/>
      <c r="Z261" s="199"/>
      <c r="AA261" s="199"/>
      <c r="AB261" s="199"/>
    </row>
    <row r="262" spans="1:28" ht="12.75">
      <c r="A262" s="199"/>
      <c r="B262" s="199"/>
      <c r="C262" s="199"/>
      <c r="D262" s="199"/>
      <c r="E262" s="199"/>
      <c r="F262" s="199"/>
      <c r="G262" s="244"/>
      <c r="H262" s="199"/>
      <c r="I262" s="199"/>
      <c r="J262" s="199"/>
      <c r="K262" s="199"/>
      <c r="L262" s="199"/>
      <c r="M262" s="199"/>
      <c r="N262" s="199"/>
      <c r="O262" s="199"/>
      <c r="P262" s="199"/>
      <c r="Q262" s="199"/>
      <c r="R262" s="199"/>
      <c r="S262" s="199"/>
      <c r="T262" s="199"/>
      <c r="U262" s="199"/>
      <c r="V262" s="199"/>
      <c r="W262" s="199"/>
      <c r="X262" s="199"/>
      <c r="Y262" s="199"/>
      <c r="Z262" s="199"/>
      <c r="AA262" s="199"/>
      <c r="AB262" s="199"/>
    </row>
    <row r="263" spans="1:28" ht="12.75">
      <c r="A263" s="199"/>
      <c r="B263" s="199"/>
      <c r="C263" s="199"/>
      <c r="D263" s="199"/>
      <c r="E263" s="199"/>
      <c r="F263" s="199"/>
      <c r="G263" s="244"/>
      <c r="H263" s="199"/>
      <c r="I263" s="199"/>
      <c r="J263" s="199"/>
      <c r="K263" s="199"/>
      <c r="L263" s="199"/>
      <c r="M263" s="199"/>
      <c r="N263" s="199"/>
      <c r="O263" s="199"/>
      <c r="P263" s="199"/>
      <c r="Q263" s="199"/>
      <c r="R263" s="199"/>
      <c r="S263" s="199"/>
      <c r="T263" s="199"/>
      <c r="U263" s="199"/>
      <c r="V263" s="199"/>
      <c r="W263" s="199"/>
      <c r="X263" s="199"/>
      <c r="Y263" s="199"/>
      <c r="Z263" s="199"/>
      <c r="AA263" s="199"/>
      <c r="AB263" s="199"/>
    </row>
    <row r="264" spans="1:28" ht="12.75">
      <c r="A264" s="199"/>
      <c r="B264" s="199"/>
      <c r="C264" s="199"/>
      <c r="D264" s="199"/>
      <c r="E264" s="199"/>
      <c r="F264" s="199"/>
      <c r="G264" s="244"/>
      <c r="H264" s="199"/>
      <c r="I264" s="199"/>
      <c r="J264" s="199"/>
      <c r="K264" s="199"/>
      <c r="L264" s="199"/>
      <c r="M264" s="199"/>
      <c r="N264" s="199"/>
      <c r="O264" s="199"/>
      <c r="P264" s="199"/>
      <c r="Q264" s="199"/>
      <c r="R264" s="199"/>
      <c r="S264" s="199"/>
      <c r="T264" s="199"/>
      <c r="U264" s="199"/>
      <c r="V264" s="199"/>
      <c r="W264" s="199"/>
      <c r="X264" s="199"/>
      <c r="Y264" s="199"/>
      <c r="Z264" s="199"/>
      <c r="AA264" s="199"/>
      <c r="AB264" s="199"/>
    </row>
    <row r="265" spans="1:28" ht="12.75">
      <c r="A265" s="199"/>
      <c r="B265" s="199"/>
      <c r="C265" s="199"/>
      <c r="D265" s="199"/>
      <c r="E265" s="199"/>
      <c r="F265" s="199"/>
      <c r="G265" s="244"/>
      <c r="H265" s="199"/>
      <c r="I265" s="199"/>
      <c r="J265" s="199"/>
      <c r="K265" s="199"/>
      <c r="L265" s="199"/>
      <c r="M265" s="199"/>
      <c r="N265" s="199"/>
      <c r="O265" s="199"/>
      <c r="P265" s="199"/>
      <c r="Q265" s="199"/>
      <c r="R265" s="199"/>
      <c r="S265" s="199"/>
      <c r="T265" s="199"/>
      <c r="U265" s="199"/>
      <c r="V265" s="199"/>
      <c r="W265" s="199"/>
      <c r="X265" s="199"/>
      <c r="Y265" s="199"/>
      <c r="Z265" s="199"/>
      <c r="AA265" s="199"/>
      <c r="AB265" s="199"/>
    </row>
    <row r="266" spans="1:28" ht="12.75">
      <c r="A266" s="199"/>
      <c r="B266" s="199"/>
      <c r="C266" s="199"/>
      <c r="D266" s="199"/>
      <c r="E266" s="199"/>
      <c r="F266" s="199"/>
      <c r="G266" s="244"/>
      <c r="H266" s="199"/>
      <c r="I266" s="199"/>
      <c r="J266" s="199"/>
      <c r="K266" s="199"/>
      <c r="L266" s="199"/>
      <c r="M266" s="199"/>
      <c r="N266" s="199"/>
      <c r="O266" s="199"/>
      <c r="P266" s="199"/>
      <c r="Q266" s="199"/>
      <c r="R266" s="199"/>
      <c r="S266" s="199"/>
      <c r="T266" s="199"/>
      <c r="U266" s="199"/>
      <c r="V266" s="199"/>
      <c r="W266" s="199"/>
      <c r="X266" s="199"/>
      <c r="Y266" s="199"/>
      <c r="Z266" s="199"/>
      <c r="AA266" s="199"/>
      <c r="AB266" s="199"/>
    </row>
    <row r="267" spans="1:28" ht="12.75">
      <c r="A267" s="199"/>
      <c r="B267" s="199"/>
      <c r="C267" s="199"/>
      <c r="D267" s="199"/>
      <c r="E267" s="199"/>
      <c r="F267" s="199"/>
      <c r="G267" s="244"/>
      <c r="H267" s="199"/>
      <c r="I267" s="199"/>
      <c r="J267" s="199"/>
      <c r="K267" s="199"/>
      <c r="L267" s="199"/>
      <c r="M267" s="199"/>
      <c r="N267" s="199"/>
      <c r="O267" s="199"/>
      <c r="P267" s="199"/>
      <c r="Q267" s="199"/>
      <c r="R267" s="199"/>
      <c r="S267" s="199"/>
      <c r="T267" s="199"/>
      <c r="U267" s="199"/>
      <c r="V267" s="199"/>
      <c r="W267" s="199"/>
      <c r="X267" s="199"/>
      <c r="Y267" s="199"/>
      <c r="Z267" s="199"/>
      <c r="AA267" s="199"/>
      <c r="AB267" s="199"/>
    </row>
    <row r="268" spans="1:28" ht="12.75">
      <c r="A268" s="199"/>
      <c r="B268" s="199"/>
      <c r="C268" s="199"/>
      <c r="D268" s="199"/>
      <c r="E268" s="199"/>
      <c r="F268" s="199"/>
      <c r="G268" s="244"/>
      <c r="H268" s="199"/>
      <c r="I268" s="199"/>
      <c r="J268" s="199"/>
      <c r="K268" s="199"/>
      <c r="L268" s="199"/>
      <c r="M268" s="199"/>
      <c r="N268" s="199"/>
      <c r="O268" s="199"/>
      <c r="P268" s="199"/>
      <c r="Q268" s="199"/>
      <c r="R268" s="199"/>
      <c r="S268" s="199"/>
      <c r="T268" s="199"/>
      <c r="U268" s="199"/>
      <c r="V268" s="199"/>
      <c r="W268" s="199"/>
      <c r="X268" s="199"/>
      <c r="Y268" s="199"/>
      <c r="Z268" s="199"/>
      <c r="AA268" s="199"/>
      <c r="AB268" s="199"/>
    </row>
    <row r="269" spans="1:28" ht="12.75">
      <c r="A269" s="199"/>
      <c r="B269" s="199"/>
      <c r="C269" s="199"/>
      <c r="D269" s="199"/>
      <c r="E269" s="199"/>
      <c r="F269" s="199"/>
      <c r="G269" s="244"/>
      <c r="H269" s="199"/>
      <c r="I269" s="199"/>
      <c r="J269" s="199"/>
      <c r="K269" s="199"/>
      <c r="L269" s="199"/>
      <c r="M269" s="199"/>
      <c r="N269" s="199"/>
      <c r="O269" s="199"/>
      <c r="P269" s="199"/>
      <c r="Q269" s="199"/>
      <c r="R269" s="199"/>
      <c r="S269" s="199"/>
      <c r="T269" s="199"/>
      <c r="U269" s="199"/>
      <c r="V269" s="199"/>
      <c r="W269" s="199"/>
      <c r="X269" s="199"/>
      <c r="Y269" s="199"/>
      <c r="Z269" s="199"/>
      <c r="AA269" s="199"/>
      <c r="AB269" s="199"/>
    </row>
    <row r="270" spans="1:28" ht="12.75">
      <c r="A270" s="199"/>
      <c r="B270" s="199"/>
      <c r="C270" s="199"/>
      <c r="D270" s="199"/>
      <c r="E270" s="199"/>
      <c r="F270" s="199"/>
      <c r="G270" s="244"/>
      <c r="H270" s="199"/>
      <c r="I270" s="199"/>
      <c r="J270" s="199"/>
      <c r="K270" s="199"/>
      <c r="L270" s="199"/>
      <c r="M270" s="199"/>
      <c r="N270" s="199"/>
      <c r="O270" s="199"/>
      <c r="P270" s="199"/>
      <c r="Q270" s="199"/>
      <c r="R270" s="199"/>
      <c r="S270" s="199"/>
      <c r="T270" s="199"/>
      <c r="U270" s="199"/>
      <c r="V270" s="199"/>
      <c r="W270" s="199"/>
      <c r="X270" s="199"/>
      <c r="Y270" s="199"/>
      <c r="Z270" s="199"/>
      <c r="AA270" s="199"/>
      <c r="AB270" s="199"/>
    </row>
    <row r="271" spans="1:28" ht="12.75">
      <c r="A271" s="199"/>
      <c r="B271" s="199"/>
      <c r="C271" s="199"/>
      <c r="D271" s="199"/>
      <c r="E271" s="199"/>
      <c r="F271" s="199"/>
      <c r="G271" s="244"/>
      <c r="H271" s="199"/>
      <c r="I271" s="199"/>
      <c r="J271" s="199"/>
      <c r="K271" s="199"/>
      <c r="L271" s="199"/>
      <c r="M271" s="199"/>
      <c r="N271" s="199"/>
      <c r="O271" s="199"/>
      <c r="P271" s="199"/>
      <c r="Q271" s="199"/>
      <c r="R271" s="199"/>
      <c r="S271" s="199"/>
      <c r="T271" s="199"/>
      <c r="U271" s="199"/>
      <c r="V271" s="199"/>
      <c r="W271" s="199"/>
      <c r="X271" s="199"/>
      <c r="Y271" s="199"/>
      <c r="Z271" s="199"/>
      <c r="AA271" s="199"/>
      <c r="AB271" s="199"/>
    </row>
    <row r="272" spans="1:28" ht="12.75">
      <c r="A272" s="199"/>
      <c r="B272" s="199"/>
      <c r="C272" s="199"/>
      <c r="D272" s="199"/>
      <c r="E272" s="199"/>
      <c r="F272" s="199"/>
      <c r="G272" s="244"/>
      <c r="H272" s="199"/>
      <c r="I272" s="199"/>
      <c r="J272" s="199"/>
      <c r="K272" s="199"/>
      <c r="L272" s="199"/>
      <c r="M272" s="199"/>
      <c r="N272" s="199"/>
      <c r="O272" s="199"/>
      <c r="P272" s="199"/>
      <c r="Q272" s="199"/>
      <c r="R272" s="199"/>
      <c r="S272" s="199"/>
      <c r="T272" s="199"/>
      <c r="U272" s="199"/>
      <c r="V272" s="199"/>
      <c r="W272" s="199"/>
      <c r="X272" s="199"/>
      <c r="Y272" s="199"/>
      <c r="Z272" s="199"/>
      <c r="AA272" s="199"/>
      <c r="AB272" s="199"/>
    </row>
    <row r="273" spans="1:28" ht="12.75">
      <c r="A273" s="199"/>
      <c r="B273" s="199"/>
      <c r="C273" s="199"/>
      <c r="D273" s="199"/>
      <c r="E273" s="199"/>
      <c r="F273" s="199"/>
      <c r="G273" s="244"/>
      <c r="H273" s="199"/>
      <c r="I273" s="199"/>
      <c r="J273" s="199"/>
      <c r="K273" s="199"/>
      <c r="L273" s="199"/>
      <c r="M273" s="199"/>
      <c r="N273" s="199"/>
      <c r="O273" s="199"/>
      <c r="P273" s="199"/>
      <c r="Q273" s="199"/>
      <c r="R273" s="199"/>
      <c r="S273" s="199"/>
      <c r="T273" s="199"/>
      <c r="U273" s="199"/>
      <c r="V273" s="199"/>
      <c r="W273" s="199"/>
      <c r="X273" s="199"/>
      <c r="Y273" s="199"/>
      <c r="Z273" s="199"/>
      <c r="AA273" s="199"/>
      <c r="AB273" s="199"/>
    </row>
    <row r="274" spans="1:28" ht="12.75">
      <c r="A274" s="199"/>
      <c r="B274" s="199"/>
      <c r="C274" s="199"/>
      <c r="D274" s="199"/>
      <c r="E274" s="199"/>
      <c r="F274" s="199"/>
      <c r="G274" s="244"/>
      <c r="H274" s="199"/>
      <c r="I274" s="199"/>
      <c r="J274" s="199"/>
      <c r="K274" s="199"/>
      <c r="L274" s="199"/>
      <c r="M274" s="199"/>
      <c r="N274" s="199"/>
      <c r="O274" s="199"/>
      <c r="P274" s="199"/>
      <c r="Q274" s="199"/>
      <c r="R274" s="199"/>
      <c r="S274" s="199"/>
      <c r="T274" s="199"/>
      <c r="U274" s="199"/>
      <c r="V274" s="199"/>
      <c r="W274" s="199"/>
      <c r="X274" s="199"/>
      <c r="Y274" s="199"/>
      <c r="Z274" s="199"/>
      <c r="AA274" s="199"/>
      <c r="AB274" s="199"/>
    </row>
    <row r="275" spans="1:28" ht="12.75">
      <c r="A275" s="199"/>
      <c r="B275" s="199"/>
      <c r="C275" s="199"/>
      <c r="D275" s="199"/>
      <c r="E275" s="199"/>
      <c r="F275" s="199"/>
      <c r="G275" s="244"/>
      <c r="H275" s="199"/>
      <c r="I275" s="199"/>
      <c r="J275" s="199"/>
      <c r="K275" s="199"/>
      <c r="L275" s="199"/>
      <c r="M275" s="199"/>
      <c r="N275" s="199"/>
      <c r="O275" s="199"/>
      <c r="P275" s="199"/>
      <c r="Q275" s="199"/>
      <c r="R275" s="199"/>
      <c r="S275" s="199"/>
      <c r="T275" s="199"/>
      <c r="U275" s="199"/>
      <c r="V275" s="199"/>
      <c r="W275" s="199"/>
      <c r="X275" s="199"/>
      <c r="Y275" s="199"/>
      <c r="Z275" s="199"/>
      <c r="AA275" s="199"/>
      <c r="AB275" s="199"/>
    </row>
    <row r="276" spans="1:28" ht="12.75">
      <c r="A276" s="199"/>
      <c r="B276" s="199"/>
      <c r="C276" s="199"/>
      <c r="D276" s="199"/>
      <c r="E276" s="199"/>
      <c r="F276" s="199"/>
      <c r="G276" s="244"/>
      <c r="H276" s="199"/>
      <c r="I276" s="199"/>
      <c r="J276" s="199"/>
      <c r="K276" s="199"/>
      <c r="L276" s="199"/>
      <c r="M276" s="199"/>
      <c r="N276" s="199"/>
      <c r="O276" s="199"/>
      <c r="P276" s="199"/>
      <c r="Q276" s="199"/>
      <c r="R276" s="199"/>
      <c r="S276" s="199"/>
      <c r="T276" s="199"/>
      <c r="U276" s="199"/>
      <c r="V276" s="199"/>
      <c r="W276" s="199"/>
      <c r="X276" s="199"/>
      <c r="Y276" s="199"/>
      <c r="Z276" s="199"/>
      <c r="AA276" s="199"/>
      <c r="AB276" s="199"/>
    </row>
    <row r="277" spans="1:28" ht="12.75">
      <c r="A277" s="199"/>
      <c r="B277" s="199"/>
      <c r="C277" s="199"/>
      <c r="D277" s="199"/>
      <c r="E277" s="199"/>
      <c r="F277" s="199"/>
      <c r="G277" s="244"/>
      <c r="H277" s="199"/>
      <c r="I277" s="199"/>
      <c r="J277" s="199"/>
      <c r="K277" s="199"/>
      <c r="L277" s="199"/>
      <c r="M277" s="199"/>
      <c r="N277" s="199"/>
      <c r="O277" s="199"/>
      <c r="P277" s="199"/>
      <c r="Q277" s="199"/>
      <c r="R277" s="199"/>
      <c r="S277" s="199"/>
      <c r="T277" s="199"/>
      <c r="U277" s="199"/>
      <c r="V277" s="199"/>
      <c r="W277" s="199"/>
      <c r="X277" s="199"/>
      <c r="Y277" s="199"/>
      <c r="Z277" s="199"/>
      <c r="AA277" s="199"/>
      <c r="AB277" s="199"/>
    </row>
    <row r="278" spans="1:28" ht="12.75">
      <c r="A278" s="199"/>
      <c r="B278" s="199"/>
      <c r="C278" s="199"/>
      <c r="D278" s="199"/>
      <c r="E278" s="199"/>
      <c r="F278" s="199"/>
      <c r="G278" s="244"/>
      <c r="H278" s="199"/>
      <c r="I278" s="199"/>
      <c r="J278" s="199"/>
      <c r="K278" s="199"/>
      <c r="L278" s="199"/>
      <c r="M278" s="199"/>
      <c r="N278" s="199"/>
      <c r="O278" s="199"/>
      <c r="P278" s="199"/>
      <c r="Q278" s="199"/>
      <c r="R278" s="199"/>
      <c r="S278" s="199"/>
      <c r="T278" s="199"/>
      <c r="U278" s="199"/>
      <c r="V278" s="199"/>
      <c r="W278" s="199"/>
      <c r="X278" s="199"/>
      <c r="Y278" s="199"/>
      <c r="Z278" s="199"/>
      <c r="AA278" s="199"/>
      <c r="AB278" s="199"/>
    </row>
    <row r="279" spans="1:28" ht="12.75">
      <c r="A279" s="199"/>
      <c r="B279" s="199"/>
      <c r="C279" s="199"/>
      <c r="D279" s="199"/>
      <c r="E279" s="199"/>
      <c r="F279" s="199"/>
      <c r="G279" s="244"/>
      <c r="H279" s="199"/>
      <c r="I279" s="199"/>
      <c r="J279" s="199"/>
      <c r="K279" s="199"/>
      <c r="L279" s="199"/>
      <c r="M279" s="199"/>
      <c r="N279" s="199"/>
      <c r="O279" s="199"/>
      <c r="P279" s="199"/>
      <c r="Q279" s="199"/>
      <c r="R279" s="199"/>
      <c r="S279" s="199"/>
      <c r="T279" s="199"/>
      <c r="U279" s="199"/>
      <c r="V279" s="199"/>
      <c r="W279" s="199"/>
      <c r="X279" s="199"/>
      <c r="Y279" s="199"/>
      <c r="Z279" s="199"/>
      <c r="AA279" s="199"/>
      <c r="AB279" s="199"/>
    </row>
    <row r="280" spans="1:28" ht="12.75">
      <c r="A280" s="199"/>
      <c r="B280" s="199"/>
      <c r="C280" s="199"/>
      <c r="D280" s="199"/>
      <c r="E280" s="199"/>
      <c r="F280" s="199"/>
      <c r="G280" s="244"/>
      <c r="H280" s="199"/>
      <c r="I280" s="199"/>
      <c r="J280" s="199"/>
      <c r="K280" s="199"/>
      <c r="L280" s="199"/>
      <c r="M280" s="199"/>
      <c r="N280" s="199"/>
      <c r="O280" s="199"/>
      <c r="P280" s="199"/>
      <c r="Q280" s="199"/>
      <c r="R280" s="199"/>
      <c r="S280" s="199"/>
      <c r="T280" s="199"/>
      <c r="U280" s="199"/>
      <c r="V280" s="199"/>
      <c r="W280" s="199"/>
      <c r="X280" s="199"/>
      <c r="Y280" s="199"/>
      <c r="Z280" s="199"/>
      <c r="AA280" s="199"/>
      <c r="AB280" s="199"/>
    </row>
    <row r="281" spans="1:28" ht="12.75">
      <c r="A281" s="199"/>
      <c r="B281" s="199"/>
      <c r="C281" s="199"/>
      <c r="D281" s="199"/>
      <c r="E281" s="199"/>
      <c r="F281" s="199"/>
      <c r="G281" s="244"/>
      <c r="H281" s="199"/>
      <c r="I281" s="199"/>
      <c r="J281" s="199"/>
      <c r="K281" s="199"/>
      <c r="L281" s="199"/>
      <c r="M281" s="199"/>
      <c r="N281" s="199"/>
      <c r="O281" s="199"/>
      <c r="P281" s="199"/>
      <c r="Q281" s="199"/>
      <c r="R281" s="199"/>
      <c r="S281" s="199"/>
      <c r="T281" s="199"/>
      <c r="U281" s="199"/>
      <c r="V281" s="199"/>
      <c r="W281" s="199"/>
      <c r="X281" s="199"/>
      <c r="Y281" s="199"/>
      <c r="Z281" s="199"/>
      <c r="AA281" s="199"/>
      <c r="AB281" s="199"/>
    </row>
    <row r="282" spans="1:28" ht="12.75">
      <c r="A282" s="199"/>
      <c r="B282" s="199"/>
      <c r="C282" s="199"/>
      <c r="D282" s="199"/>
      <c r="E282" s="199"/>
      <c r="F282" s="199"/>
      <c r="G282" s="244"/>
      <c r="H282" s="199"/>
      <c r="I282" s="199"/>
      <c r="J282" s="199"/>
      <c r="K282" s="199"/>
      <c r="L282" s="199"/>
      <c r="M282" s="199"/>
      <c r="N282" s="199"/>
      <c r="O282" s="199"/>
      <c r="P282" s="199"/>
      <c r="Q282" s="199"/>
      <c r="R282" s="199"/>
      <c r="S282" s="199"/>
      <c r="T282" s="199"/>
      <c r="U282" s="199"/>
      <c r="V282" s="199"/>
      <c r="W282" s="199"/>
      <c r="X282" s="199"/>
      <c r="Y282" s="199"/>
      <c r="Z282" s="199"/>
      <c r="AA282" s="199"/>
      <c r="AB282" s="199"/>
    </row>
    <row r="283" spans="1:28" ht="12.75">
      <c r="A283" s="199"/>
      <c r="B283" s="199"/>
      <c r="C283" s="199"/>
      <c r="D283" s="199"/>
      <c r="E283" s="199"/>
      <c r="F283" s="199"/>
      <c r="G283" s="244"/>
      <c r="H283" s="199"/>
      <c r="I283" s="199"/>
      <c r="J283" s="199"/>
      <c r="K283" s="199"/>
      <c r="L283" s="199"/>
      <c r="M283" s="199"/>
      <c r="N283" s="199"/>
      <c r="O283" s="199"/>
      <c r="P283" s="199"/>
      <c r="Q283" s="199"/>
      <c r="R283" s="199"/>
      <c r="S283" s="199"/>
      <c r="T283" s="199"/>
      <c r="U283" s="199"/>
      <c r="V283" s="199"/>
      <c r="W283" s="199"/>
      <c r="X283" s="199"/>
      <c r="Y283" s="199"/>
      <c r="Z283" s="199"/>
      <c r="AA283" s="199"/>
      <c r="AB283" s="199"/>
    </row>
    <row r="284" spans="1:28" ht="12.75">
      <c r="A284" s="199"/>
      <c r="B284" s="199"/>
      <c r="C284" s="199"/>
      <c r="D284" s="199"/>
      <c r="E284" s="199"/>
      <c r="F284" s="199"/>
      <c r="G284" s="244"/>
      <c r="H284" s="199"/>
      <c r="I284" s="199"/>
      <c r="J284" s="199"/>
      <c r="K284" s="199"/>
      <c r="L284" s="199"/>
      <c r="M284" s="199"/>
      <c r="N284" s="199"/>
      <c r="O284" s="199"/>
      <c r="P284" s="199"/>
      <c r="Q284" s="199"/>
      <c r="R284" s="199"/>
      <c r="S284" s="199"/>
      <c r="T284" s="199"/>
      <c r="U284" s="199"/>
      <c r="V284" s="199"/>
      <c r="W284" s="199"/>
      <c r="X284" s="199"/>
      <c r="Y284" s="199"/>
      <c r="Z284" s="199"/>
      <c r="AA284" s="199"/>
      <c r="AB284" s="199"/>
    </row>
    <row r="285" spans="1:28" ht="12.75">
      <c r="A285" s="199"/>
      <c r="B285" s="199"/>
      <c r="C285" s="199"/>
      <c r="D285" s="199"/>
      <c r="E285" s="199"/>
      <c r="F285" s="199"/>
      <c r="G285" s="244"/>
      <c r="H285" s="199"/>
      <c r="I285" s="199"/>
      <c r="J285" s="199"/>
      <c r="K285" s="199"/>
      <c r="L285" s="199"/>
      <c r="M285" s="199"/>
      <c r="N285" s="199"/>
      <c r="O285" s="199"/>
      <c r="P285" s="199"/>
      <c r="Q285" s="199"/>
      <c r="R285" s="199"/>
      <c r="S285" s="199"/>
      <c r="T285" s="199"/>
      <c r="U285" s="199"/>
      <c r="V285" s="199"/>
      <c r="W285" s="199"/>
      <c r="X285" s="199"/>
      <c r="Y285" s="199"/>
      <c r="Z285" s="199"/>
      <c r="AA285" s="199"/>
      <c r="AB285" s="199"/>
    </row>
    <row r="286" spans="1:28" ht="12.75">
      <c r="A286" s="199"/>
      <c r="B286" s="199"/>
      <c r="C286" s="199"/>
      <c r="D286" s="199"/>
      <c r="E286" s="199"/>
      <c r="F286" s="199"/>
      <c r="G286" s="244"/>
      <c r="H286" s="199"/>
      <c r="I286" s="199"/>
      <c r="J286" s="199"/>
      <c r="K286" s="199"/>
      <c r="L286" s="199"/>
      <c r="M286" s="199"/>
      <c r="N286" s="199"/>
      <c r="O286" s="199"/>
      <c r="P286" s="199"/>
      <c r="Q286" s="199"/>
      <c r="R286" s="199"/>
      <c r="S286" s="199"/>
      <c r="T286" s="199"/>
      <c r="U286" s="199"/>
      <c r="V286" s="199"/>
      <c r="W286" s="199"/>
      <c r="X286" s="199"/>
      <c r="Y286" s="199"/>
      <c r="Z286" s="199"/>
      <c r="AA286" s="199"/>
      <c r="AB286" s="199"/>
    </row>
    <row r="287" spans="1:28" ht="12.75">
      <c r="A287" s="199"/>
      <c r="B287" s="199"/>
      <c r="C287" s="199"/>
      <c r="D287" s="199"/>
      <c r="E287" s="199"/>
      <c r="F287" s="199"/>
      <c r="G287" s="244"/>
      <c r="H287" s="199"/>
      <c r="I287" s="199"/>
      <c r="J287" s="199"/>
      <c r="K287" s="199"/>
      <c r="L287" s="199"/>
      <c r="M287" s="199"/>
      <c r="N287" s="199"/>
      <c r="O287" s="199"/>
      <c r="P287" s="199"/>
      <c r="Q287" s="199"/>
      <c r="R287" s="199"/>
      <c r="S287" s="199"/>
      <c r="T287" s="199"/>
      <c r="U287" s="199"/>
      <c r="V287" s="199"/>
      <c r="W287" s="199"/>
      <c r="X287" s="199"/>
      <c r="Y287" s="199"/>
      <c r="Z287" s="199"/>
      <c r="AA287" s="199"/>
      <c r="AB287" s="199"/>
    </row>
    <row r="288" spans="1:28" ht="12.75">
      <c r="A288" s="199"/>
      <c r="B288" s="199"/>
      <c r="C288" s="199"/>
      <c r="D288" s="199"/>
      <c r="E288" s="199"/>
      <c r="F288" s="199"/>
      <c r="G288" s="244"/>
      <c r="H288" s="199"/>
      <c r="I288" s="199"/>
      <c r="J288" s="199"/>
      <c r="K288" s="199"/>
      <c r="L288" s="199"/>
      <c r="M288" s="199"/>
      <c r="N288" s="199"/>
      <c r="O288" s="199"/>
      <c r="P288" s="199"/>
      <c r="Q288" s="199"/>
      <c r="R288" s="199"/>
      <c r="S288" s="199"/>
      <c r="T288" s="199"/>
      <c r="U288" s="199"/>
      <c r="V288" s="199"/>
      <c r="W288" s="199"/>
      <c r="X288" s="199"/>
      <c r="Y288" s="199"/>
      <c r="Z288" s="199"/>
      <c r="AA288" s="199"/>
      <c r="AB288" s="199"/>
    </row>
    <row r="289" spans="1:28" ht="12.75">
      <c r="A289" s="199"/>
      <c r="B289" s="199"/>
      <c r="C289" s="199"/>
      <c r="D289" s="199"/>
      <c r="E289" s="199"/>
      <c r="F289" s="199"/>
      <c r="G289" s="244"/>
      <c r="H289" s="199"/>
      <c r="I289" s="199"/>
      <c r="J289" s="199"/>
      <c r="K289" s="199"/>
      <c r="L289" s="199"/>
      <c r="M289" s="199"/>
      <c r="N289" s="199"/>
      <c r="O289" s="199"/>
      <c r="P289" s="199"/>
      <c r="Q289" s="199"/>
      <c r="R289" s="199"/>
      <c r="S289" s="199"/>
      <c r="T289" s="199"/>
      <c r="U289" s="199"/>
      <c r="V289" s="199"/>
      <c r="W289" s="199"/>
      <c r="X289" s="199"/>
      <c r="Y289" s="199"/>
      <c r="Z289" s="199"/>
      <c r="AA289" s="199"/>
      <c r="AB289" s="199"/>
    </row>
    <row r="290" spans="1:28" ht="12.75">
      <c r="A290" s="199"/>
      <c r="B290" s="199"/>
      <c r="C290" s="199"/>
      <c r="D290" s="199"/>
      <c r="E290" s="199"/>
      <c r="F290" s="199"/>
      <c r="G290" s="244"/>
      <c r="H290" s="199"/>
      <c r="I290" s="199"/>
      <c r="J290" s="199"/>
      <c r="K290" s="199"/>
      <c r="L290" s="199"/>
      <c r="M290" s="199"/>
      <c r="N290" s="199"/>
      <c r="O290" s="199"/>
      <c r="P290" s="199"/>
      <c r="Q290" s="199"/>
      <c r="R290" s="199"/>
      <c r="S290" s="199"/>
      <c r="T290" s="199"/>
      <c r="U290" s="199"/>
      <c r="V290" s="199"/>
      <c r="W290" s="199"/>
      <c r="X290" s="199"/>
      <c r="Y290" s="199"/>
      <c r="Z290" s="199"/>
      <c r="AA290" s="199"/>
      <c r="AB290" s="199"/>
    </row>
    <row r="291" spans="1:28" ht="12.75">
      <c r="A291" s="199"/>
      <c r="B291" s="199"/>
      <c r="C291" s="199"/>
      <c r="D291" s="199"/>
      <c r="E291" s="199"/>
      <c r="F291" s="199"/>
      <c r="G291" s="244"/>
      <c r="H291" s="199"/>
      <c r="I291" s="199"/>
      <c r="J291" s="199"/>
      <c r="K291" s="199"/>
      <c r="L291" s="199"/>
      <c r="M291" s="199"/>
      <c r="N291" s="199"/>
      <c r="O291" s="199"/>
      <c r="P291" s="199"/>
      <c r="Q291" s="199"/>
      <c r="R291" s="199"/>
      <c r="S291" s="199"/>
      <c r="T291" s="199"/>
      <c r="U291" s="199"/>
      <c r="V291" s="199"/>
      <c r="W291" s="199"/>
      <c r="X291" s="199"/>
      <c r="Y291" s="199"/>
      <c r="Z291" s="199"/>
      <c r="AA291" s="199"/>
      <c r="AB291" s="199"/>
    </row>
    <row r="292" spans="1:28" ht="12.75">
      <c r="A292" s="199"/>
      <c r="B292" s="199"/>
      <c r="C292" s="199"/>
      <c r="D292" s="199"/>
      <c r="E292" s="199"/>
      <c r="F292" s="199"/>
      <c r="G292" s="244"/>
      <c r="H292" s="199"/>
      <c r="I292" s="199"/>
      <c r="J292" s="199"/>
      <c r="K292" s="199"/>
      <c r="L292" s="199"/>
      <c r="M292" s="199"/>
      <c r="N292" s="199"/>
      <c r="O292" s="199"/>
      <c r="P292" s="199"/>
      <c r="Q292" s="199"/>
      <c r="R292" s="199"/>
      <c r="S292" s="199"/>
      <c r="T292" s="199"/>
      <c r="U292" s="199"/>
      <c r="V292" s="199"/>
      <c r="W292" s="199"/>
      <c r="X292" s="199"/>
      <c r="Y292" s="199"/>
      <c r="Z292" s="199"/>
      <c r="AA292" s="199"/>
      <c r="AB292" s="199"/>
    </row>
    <row r="293" spans="1:28" ht="12.75">
      <c r="A293" s="199"/>
      <c r="B293" s="199"/>
      <c r="C293" s="199"/>
      <c r="D293" s="199"/>
      <c r="E293" s="199"/>
      <c r="F293" s="199"/>
      <c r="G293" s="244"/>
      <c r="H293" s="199"/>
      <c r="I293" s="199"/>
      <c r="J293" s="199"/>
      <c r="K293" s="199"/>
      <c r="L293" s="199"/>
      <c r="M293" s="199"/>
      <c r="N293" s="199"/>
      <c r="O293" s="199"/>
      <c r="P293" s="199"/>
      <c r="Q293" s="199"/>
      <c r="R293" s="199"/>
      <c r="S293" s="199"/>
      <c r="T293" s="199"/>
      <c r="U293" s="199"/>
      <c r="V293" s="199"/>
      <c r="W293" s="199"/>
      <c r="X293" s="199"/>
      <c r="Y293" s="199"/>
      <c r="Z293" s="199"/>
      <c r="AA293" s="199"/>
      <c r="AB293" s="199"/>
    </row>
    <row r="294" spans="1:28" ht="12.75">
      <c r="A294" s="199"/>
      <c r="B294" s="199"/>
      <c r="C294" s="199"/>
      <c r="D294" s="199"/>
      <c r="E294" s="199"/>
      <c r="F294" s="199"/>
      <c r="G294" s="244"/>
      <c r="H294" s="199"/>
      <c r="I294" s="199"/>
      <c r="J294" s="199"/>
      <c r="K294" s="199"/>
      <c r="L294" s="199"/>
      <c r="M294" s="199"/>
      <c r="N294" s="199"/>
      <c r="O294" s="199"/>
      <c r="P294" s="199"/>
      <c r="Q294" s="199"/>
      <c r="R294" s="199"/>
      <c r="S294" s="199"/>
      <c r="T294" s="199"/>
      <c r="U294" s="199"/>
      <c r="V294" s="199"/>
      <c r="W294" s="199"/>
      <c r="X294" s="199"/>
      <c r="Y294" s="199"/>
      <c r="Z294" s="199"/>
      <c r="AA294" s="199"/>
      <c r="AB294" s="199"/>
    </row>
    <row r="295" spans="1:28" ht="12.75">
      <c r="A295" s="199"/>
      <c r="B295" s="199"/>
      <c r="C295" s="199"/>
      <c r="D295" s="199"/>
      <c r="E295" s="199"/>
      <c r="F295" s="199"/>
      <c r="G295" s="244"/>
      <c r="H295" s="199"/>
      <c r="I295" s="199"/>
      <c r="J295" s="199"/>
      <c r="K295" s="199"/>
      <c r="L295" s="199"/>
      <c r="M295" s="199"/>
      <c r="N295" s="199"/>
      <c r="O295" s="199"/>
      <c r="P295" s="199"/>
      <c r="Q295" s="199"/>
      <c r="R295" s="199"/>
      <c r="S295" s="199"/>
      <c r="T295" s="199"/>
      <c r="U295" s="199"/>
      <c r="V295" s="199"/>
      <c r="W295" s="199"/>
      <c r="X295" s="199"/>
      <c r="Y295" s="199"/>
      <c r="Z295" s="199"/>
      <c r="AA295" s="199"/>
      <c r="AB295" s="199"/>
    </row>
    <row r="296" spans="1:28" ht="12.75">
      <c r="A296" s="199"/>
      <c r="B296" s="199"/>
      <c r="C296" s="199"/>
      <c r="D296" s="199"/>
      <c r="E296" s="199"/>
      <c r="F296" s="199"/>
      <c r="G296" s="244"/>
      <c r="H296" s="199"/>
      <c r="I296" s="199"/>
      <c r="J296" s="199"/>
      <c r="K296" s="199"/>
      <c r="L296" s="199"/>
      <c r="M296" s="199"/>
      <c r="N296" s="199"/>
      <c r="O296" s="199"/>
      <c r="P296" s="199"/>
      <c r="Q296" s="199"/>
      <c r="R296" s="199"/>
      <c r="S296" s="199"/>
      <c r="T296" s="199"/>
      <c r="U296" s="199"/>
      <c r="V296" s="199"/>
      <c r="W296" s="199"/>
      <c r="X296" s="199"/>
      <c r="Y296" s="199"/>
      <c r="Z296" s="199"/>
      <c r="AA296" s="199"/>
      <c r="AB296" s="199"/>
    </row>
    <row r="297" spans="1:28" ht="12.75">
      <c r="A297" s="199"/>
      <c r="B297" s="199"/>
      <c r="C297" s="199"/>
      <c r="D297" s="199"/>
      <c r="E297" s="199"/>
      <c r="F297" s="199"/>
      <c r="G297" s="244"/>
      <c r="H297" s="199"/>
      <c r="I297" s="199"/>
      <c r="J297" s="199"/>
      <c r="K297" s="199"/>
      <c r="L297" s="199"/>
      <c r="M297" s="199"/>
      <c r="N297" s="199"/>
      <c r="O297" s="199"/>
      <c r="P297" s="199"/>
      <c r="Q297" s="199"/>
      <c r="R297" s="199"/>
      <c r="S297" s="199"/>
      <c r="T297" s="199"/>
      <c r="U297" s="199"/>
      <c r="V297" s="199"/>
      <c r="W297" s="199"/>
      <c r="X297" s="199"/>
      <c r="Y297" s="199"/>
      <c r="Z297" s="199"/>
      <c r="AA297" s="199"/>
      <c r="AB297" s="199"/>
    </row>
    <row r="298" spans="1:28" ht="12.75">
      <c r="A298" s="199"/>
      <c r="B298" s="199"/>
      <c r="C298" s="199"/>
      <c r="D298" s="199"/>
      <c r="E298" s="199"/>
      <c r="F298" s="199"/>
      <c r="G298" s="244"/>
      <c r="H298" s="199"/>
      <c r="I298" s="199"/>
      <c r="J298" s="199"/>
      <c r="K298" s="199"/>
      <c r="L298" s="199"/>
      <c r="M298" s="199"/>
      <c r="N298" s="199"/>
      <c r="O298" s="199"/>
      <c r="P298" s="199"/>
      <c r="Q298" s="199"/>
      <c r="R298" s="199"/>
      <c r="S298" s="199"/>
      <c r="T298" s="199"/>
      <c r="U298" s="199"/>
      <c r="V298" s="199"/>
      <c r="W298" s="199"/>
      <c r="X298" s="199"/>
      <c r="Y298" s="199"/>
      <c r="Z298" s="199"/>
      <c r="AA298" s="199"/>
      <c r="AB298" s="199"/>
    </row>
    <row r="299" spans="1:28" ht="12.75">
      <c r="A299" s="199"/>
      <c r="B299" s="199"/>
      <c r="C299" s="199"/>
      <c r="D299" s="199"/>
      <c r="E299" s="199"/>
      <c r="F299" s="199"/>
      <c r="G299" s="244"/>
      <c r="H299" s="199"/>
      <c r="I299" s="199"/>
      <c r="J299" s="199"/>
      <c r="K299" s="199"/>
      <c r="L299" s="199"/>
      <c r="M299" s="199"/>
      <c r="N299" s="199"/>
      <c r="O299" s="199"/>
      <c r="P299" s="199"/>
      <c r="Q299" s="199"/>
      <c r="R299" s="199"/>
      <c r="S299" s="199"/>
      <c r="T299" s="199"/>
      <c r="U299" s="199"/>
      <c r="V299" s="199"/>
      <c r="W299" s="199"/>
      <c r="X299" s="199"/>
      <c r="Y299" s="199"/>
      <c r="Z299" s="199"/>
      <c r="AA299" s="199"/>
      <c r="AB299" s="199"/>
    </row>
    <row r="300" spans="1:28" ht="12.75">
      <c r="A300" s="199"/>
      <c r="B300" s="199"/>
      <c r="C300" s="199"/>
      <c r="D300" s="199"/>
      <c r="E300" s="199"/>
      <c r="F300" s="199"/>
      <c r="G300" s="244"/>
      <c r="H300" s="199"/>
      <c r="I300" s="199"/>
      <c r="J300" s="199"/>
      <c r="K300" s="199"/>
      <c r="L300" s="199"/>
      <c r="M300" s="199"/>
      <c r="N300" s="199"/>
      <c r="O300" s="199"/>
      <c r="P300" s="199"/>
      <c r="Q300" s="199"/>
      <c r="R300" s="199"/>
      <c r="S300" s="199"/>
      <c r="T300" s="199"/>
      <c r="U300" s="199"/>
      <c r="V300" s="199"/>
      <c r="W300" s="199"/>
      <c r="X300" s="199"/>
      <c r="Y300" s="199"/>
      <c r="Z300" s="199"/>
      <c r="AA300" s="199"/>
      <c r="AB300" s="199"/>
    </row>
    <row r="301" spans="1:28" ht="12.75">
      <c r="A301" s="199"/>
      <c r="B301" s="199"/>
      <c r="C301" s="199"/>
      <c r="D301" s="199"/>
      <c r="E301" s="199"/>
      <c r="F301" s="199"/>
      <c r="G301" s="244"/>
      <c r="H301" s="199"/>
      <c r="I301" s="199"/>
      <c r="J301" s="199"/>
      <c r="K301" s="199"/>
      <c r="L301" s="199"/>
      <c r="M301" s="199"/>
      <c r="N301" s="199"/>
      <c r="O301" s="199"/>
      <c r="P301" s="199"/>
      <c r="Q301" s="199"/>
      <c r="R301" s="199"/>
      <c r="S301" s="199"/>
      <c r="T301" s="199"/>
      <c r="U301" s="199"/>
      <c r="V301" s="199"/>
      <c r="W301" s="199"/>
      <c r="X301" s="199"/>
      <c r="Y301" s="199"/>
      <c r="Z301" s="199"/>
      <c r="AA301" s="199"/>
      <c r="AB301" s="199"/>
    </row>
    <row r="302" spans="1:28" ht="12.75">
      <c r="A302" s="199"/>
      <c r="B302" s="199"/>
      <c r="C302" s="199"/>
      <c r="D302" s="199"/>
      <c r="E302" s="199"/>
      <c r="F302" s="199"/>
      <c r="G302" s="244"/>
      <c r="H302" s="199"/>
      <c r="I302" s="199"/>
      <c r="J302" s="199"/>
      <c r="K302" s="199"/>
      <c r="L302" s="199"/>
      <c r="M302" s="199"/>
      <c r="N302" s="199"/>
      <c r="O302" s="199"/>
      <c r="P302" s="199"/>
      <c r="Q302" s="199"/>
      <c r="R302" s="199"/>
      <c r="S302" s="199"/>
      <c r="T302" s="199"/>
      <c r="U302" s="199"/>
      <c r="V302" s="199"/>
      <c r="W302" s="199"/>
      <c r="X302" s="199"/>
      <c r="Y302" s="199"/>
      <c r="Z302" s="199"/>
      <c r="AA302" s="199"/>
      <c r="AB302" s="199"/>
    </row>
    <row r="303" spans="1:28" ht="12.75">
      <c r="A303" s="199"/>
      <c r="B303" s="199"/>
      <c r="C303" s="199"/>
      <c r="D303" s="199"/>
      <c r="E303" s="199"/>
      <c r="F303" s="199"/>
      <c r="G303" s="244"/>
      <c r="H303" s="199"/>
      <c r="I303" s="199"/>
      <c r="J303" s="199"/>
      <c r="K303" s="199"/>
      <c r="L303" s="199"/>
      <c r="M303" s="199"/>
      <c r="N303" s="199"/>
      <c r="O303" s="199"/>
      <c r="P303" s="199"/>
      <c r="Q303" s="199"/>
      <c r="R303" s="199"/>
      <c r="S303" s="199"/>
      <c r="T303" s="199"/>
      <c r="U303" s="199"/>
      <c r="V303" s="199"/>
      <c r="W303" s="199"/>
      <c r="X303" s="199"/>
      <c r="Y303" s="199"/>
      <c r="Z303" s="199"/>
      <c r="AA303" s="199"/>
      <c r="AB303" s="199"/>
    </row>
    <row r="304" spans="1:28" ht="12.75">
      <c r="A304" s="199"/>
      <c r="B304" s="199"/>
      <c r="C304" s="199"/>
      <c r="D304" s="199"/>
      <c r="E304" s="199"/>
      <c r="F304" s="199"/>
      <c r="G304" s="244"/>
      <c r="H304" s="199"/>
      <c r="I304" s="199"/>
      <c r="J304" s="199"/>
      <c r="K304" s="199"/>
      <c r="L304" s="199"/>
      <c r="M304" s="199"/>
      <c r="N304" s="199"/>
      <c r="O304" s="199"/>
      <c r="P304" s="199"/>
      <c r="Q304" s="199"/>
      <c r="R304" s="199"/>
      <c r="S304" s="199"/>
      <c r="T304" s="199"/>
      <c r="U304" s="199"/>
      <c r="V304" s="199"/>
      <c r="W304" s="199"/>
      <c r="X304" s="199"/>
      <c r="Y304" s="199"/>
      <c r="Z304" s="199"/>
      <c r="AA304" s="199"/>
      <c r="AB304" s="199"/>
    </row>
    <row r="305" spans="1:28" ht="12.75">
      <c r="A305" s="199"/>
      <c r="B305" s="199"/>
      <c r="C305" s="199"/>
      <c r="D305" s="199"/>
      <c r="E305" s="199"/>
      <c r="F305" s="199"/>
      <c r="G305" s="244"/>
      <c r="H305" s="199"/>
      <c r="I305" s="199"/>
      <c r="J305" s="199"/>
      <c r="K305" s="199"/>
      <c r="L305" s="199"/>
      <c r="M305" s="199"/>
      <c r="N305" s="199"/>
      <c r="O305" s="199"/>
      <c r="P305" s="199"/>
      <c r="Q305" s="199"/>
      <c r="R305" s="199"/>
      <c r="S305" s="199"/>
      <c r="T305" s="199"/>
      <c r="U305" s="199"/>
      <c r="V305" s="199"/>
      <c r="W305" s="199"/>
      <c r="X305" s="199"/>
      <c r="Y305" s="199"/>
      <c r="Z305" s="199"/>
      <c r="AA305" s="199"/>
      <c r="AB305" s="199"/>
    </row>
    <row r="306" spans="1:28" ht="12.75">
      <c r="A306" s="199"/>
      <c r="B306" s="199"/>
      <c r="C306" s="199"/>
      <c r="D306" s="199"/>
      <c r="E306" s="199"/>
      <c r="F306" s="199"/>
      <c r="G306" s="244"/>
      <c r="H306" s="199"/>
      <c r="I306" s="199"/>
      <c r="J306" s="199"/>
      <c r="K306" s="199"/>
      <c r="L306" s="199"/>
      <c r="M306" s="199"/>
      <c r="N306" s="199"/>
      <c r="O306" s="199"/>
      <c r="P306" s="199"/>
      <c r="Q306" s="199"/>
      <c r="R306" s="199"/>
      <c r="S306" s="199"/>
      <c r="T306" s="199"/>
      <c r="U306" s="199"/>
      <c r="V306" s="199"/>
      <c r="W306" s="199"/>
      <c r="X306" s="199"/>
      <c r="Y306" s="199"/>
      <c r="Z306" s="199"/>
      <c r="AA306" s="199"/>
      <c r="AB306" s="199"/>
    </row>
    <row r="307" spans="1:28" ht="12.75">
      <c r="A307" s="199"/>
      <c r="B307" s="199"/>
      <c r="C307" s="199"/>
      <c r="D307" s="199"/>
      <c r="E307" s="199"/>
      <c r="F307" s="199"/>
      <c r="G307" s="244"/>
      <c r="H307" s="199"/>
      <c r="I307" s="199"/>
      <c r="J307" s="199"/>
      <c r="K307" s="199"/>
      <c r="L307" s="199"/>
      <c r="M307" s="199"/>
      <c r="N307" s="199"/>
      <c r="O307" s="199"/>
      <c r="P307" s="199"/>
      <c r="Q307" s="199"/>
      <c r="R307" s="199"/>
      <c r="S307" s="199"/>
      <c r="T307" s="199"/>
      <c r="U307" s="199"/>
      <c r="V307" s="199"/>
      <c r="W307" s="199"/>
      <c r="X307" s="199"/>
      <c r="Y307" s="199"/>
      <c r="Z307" s="199"/>
      <c r="AA307" s="199"/>
      <c r="AB307" s="199"/>
    </row>
    <row r="308" spans="1:28" ht="12.75">
      <c r="A308" s="199"/>
      <c r="B308" s="199"/>
      <c r="C308" s="199"/>
      <c r="D308" s="199"/>
      <c r="E308" s="199"/>
      <c r="F308" s="199"/>
      <c r="G308" s="244"/>
      <c r="H308" s="199"/>
      <c r="I308" s="199"/>
      <c r="J308" s="199"/>
      <c r="K308" s="199"/>
      <c r="L308" s="199"/>
      <c r="M308" s="199"/>
      <c r="N308" s="199"/>
      <c r="O308" s="199"/>
      <c r="P308" s="199"/>
      <c r="Q308" s="199"/>
      <c r="R308" s="199"/>
      <c r="S308" s="199"/>
      <c r="T308" s="199"/>
      <c r="U308" s="199"/>
      <c r="V308" s="199"/>
      <c r="W308" s="199"/>
      <c r="X308" s="199"/>
      <c r="Y308" s="199"/>
      <c r="Z308" s="199"/>
      <c r="AA308" s="199"/>
      <c r="AB308" s="199"/>
    </row>
    <row r="309" spans="1:28" ht="12.75">
      <c r="A309" s="199"/>
      <c r="B309" s="199"/>
      <c r="C309" s="199"/>
      <c r="D309" s="199"/>
      <c r="E309" s="199"/>
      <c r="F309" s="199"/>
      <c r="G309" s="244"/>
      <c r="H309" s="199"/>
      <c r="I309" s="199"/>
      <c r="J309" s="199"/>
      <c r="K309" s="199"/>
      <c r="L309" s="199"/>
      <c r="M309" s="199"/>
      <c r="N309" s="199"/>
      <c r="O309" s="199"/>
      <c r="P309" s="199"/>
      <c r="Q309" s="199"/>
      <c r="R309" s="199"/>
      <c r="S309" s="199"/>
      <c r="T309" s="199"/>
      <c r="U309" s="199"/>
      <c r="V309" s="199"/>
      <c r="W309" s="199"/>
      <c r="X309" s="199"/>
      <c r="Y309" s="199"/>
      <c r="Z309" s="199"/>
      <c r="AA309" s="199"/>
      <c r="AB309" s="199"/>
    </row>
    <row r="310" spans="1:28" ht="12.75">
      <c r="A310" s="199"/>
      <c r="B310" s="199"/>
      <c r="C310" s="199"/>
      <c r="D310" s="199"/>
      <c r="E310" s="199"/>
      <c r="F310" s="199"/>
      <c r="G310" s="244"/>
      <c r="H310" s="199"/>
      <c r="I310" s="199"/>
      <c r="J310" s="199"/>
      <c r="K310" s="199"/>
      <c r="L310" s="199"/>
      <c r="M310" s="199"/>
      <c r="N310" s="199"/>
      <c r="O310" s="199"/>
      <c r="P310" s="199"/>
      <c r="Q310" s="199"/>
      <c r="R310" s="199"/>
      <c r="S310" s="199"/>
      <c r="T310" s="199"/>
      <c r="U310" s="199"/>
      <c r="V310" s="199"/>
      <c r="W310" s="199"/>
      <c r="X310" s="199"/>
      <c r="Y310" s="199"/>
      <c r="Z310" s="199"/>
      <c r="AA310" s="199"/>
      <c r="AB310" s="199"/>
    </row>
    <row r="311" spans="1:28" ht="12.75">
      <c r="A311" s="199"/>
      <c r="B311" s="199"/>
      <c r="C311" s="199"/>
      <c r="D311" s="199"/>
      <c r="E311" s="199"/>
      <c r="F311" s="199"/>
      <c r="G311" s="244"/>
      <c r="H311" s="199"/>
      <c r="I311" s="199"/>
      <c r="J311" s="199"/>
      <c r="K311" s="199"/>
      <c r="L311" s="199"/>
      <c r="M311" s="199"/>
      <c r="N311" s="199"/>
      <c r="O311" s="199"/>
      <c r="P311" s="199"/>
      <c r="Q311" s="199"/>
      <c r="R311" s="199"/>
      <c r="S311" s="199"/>
      <c r="T311" s="199"/>
      <c r="U311" s="199"/>
      <c r="V311" s="199"/>
      <c r="W311" s="199"/>
      <c r="X311" s="199"/>
      <c r="Y311" s="199"/>
      <c r="Z311" s="199"/>
      <c r="AA311" s="199"/>
      <c r="AB311" s="199"/>
    </row>
    <row r="312" spans="1:28" ht="12.75">
      <c r="A312" s="199"/>
      <c r="B312" s="199"/>
      <c r="C312" s="199"/>
      <c r="D312" s="199"/>
      <c r="E312" s="199"/>
      <c r="F312" s="199"/>
      <c r="G312" s="244"/>
      <c r="H312" s="199"/>
      <c r="I312" s="199"/>
      <c r="J312" s="199"/>
      <c r="K312" s="199"/>
      <c r="L312" s="199"/>
      <c r="M312" s="199"/>
      <c r="N312" s="199"/>
      <c r="O312" s="199"/>
      <c r="P312" s="199"/>
      <c r="Q312" s="199"/>
      <c r="R312" s="199"/>
      <c r="S312" s="199"/>
      <c r="T312" s="199"/>
      <c r="U312" s="199"/>
      <c r="V312" s="199"/>
      <c r="W312" s="199"/>
      <c r="X312" s="199"/>
      <c r="Y312" s="199"/>
      <c r="Z312" s="199"/>
      <c r="AA312" s="199"/>
      <c r="AB312" s="199"/>
    </row>
    <row r="313" spans="1:28" ht="12.75">
      <c r="A313" s="199"/>
      <c r="B313" s="199"/>
      <c r="C313" s="199"/>
      <c r="D313" s="199"/>
      <c r="E313" s="199"/>
      <c r="F313" s="199"/>
      <c r="G313" s="244"/>
      <c r="H313" s="199"/>
      <c r="I313" s="199"/>
      <c r="J313" s="199"/>
      <c r="K313" s="199"/>
      <c r="L313" s="199"/>
      <c r="M313" s="199"/>
      <c r="N313" s="199"/>
      <c r="O313" s="199"/>
      <c r="P313" s="199"/>
      <c r="Q313" s="199"/>
      <c r="R313" s="199"/>
      <c r="S313" s="199"/>
      <c r="T313" s="199"/>
      <c r="U313" s="199"/>
      <c r="V313" s="199"/>
      <c r="W313" s="199"/>
      <c r="X313" s="199"/>
      <c r="Y313" s="199"/>
      <c r="Z313" s="199"/>
      <c r="AA313" s="199"/>
      <c r="AB313" s="199"/>
    </row>
    <row r="314" spans="1:28" ht="12.75">
      <c r="A314" s="199"/>
      <c r="B314" s="199"/>
      <c r="C314" s="199"/>
      <c r="D314" s="199"/>
      <c r="E314" s="199"/>
      <c r="F314" s="199"/>
      <c r="G314" s="244"/>
      <c r="H314" s="199"/>
      <c r="I314" s="199"/>
      <c r="J314" s="199"/>
      <c r="K314" s="199"/>
      <c r="L314" s="199"/>
      <c r="M314" s="199"/>
      <c r="N314" s="199"/>
      <c r="O314" s="199"/>
      <c r="P314" s="199"/>
      <c r="Q314" s="199"/>
      <c r="R314" s="199"/>
      <c r="S314" s="199"/>
      <c r="T314" s="199"/>
      <c r="U314" s="199"/>
      <c r="V314" s="199"/>
      <c r="W314" s="199"/>
      <c r="X314" s="199"/>
      <c r="Y314" s="199"/>
      <c r="Z314" s="199"/>
      <c r="AA314" s="199"/>
      <c r="AB314" s="199"/>
    </row>
    <row r="315" spans="1:28" ht="12.75">
      <c r="A315" s="199"/>
      <c r="B315" s="199"/>
      <c r="C315" s="199"/>
      <c r="D315" s="199"/>
      <c r="E315" s="199"/>
      <c r="F315" s="199"/>
      <c r="G315" s="244"/>
      <c r="H315" s="199"/>
      <c r="I315" s="199"/>
      <c r="J315" s="199"/>
      <c r="K315" s="199"/>
      <c r="L315" s="199"/>
      <c r="M315" s="199"/>
      <c r="N315" s="199"/>
      <c r="O315" s="199"/>
      <c r="P315" s="199"/>
      <c r="Q315" s="199"/>
      <c r="R315" s="199"/>
      <c r="S315" s="199"/>
      <c r="T315" s="199"/>
      <c r="U315" s="199"/>
      <c r="V315" s="199"/>
      <c r="W315" s="199"/>
      <c r="X315" s="199"/>
      <c r="Y315" s="199"/>
      <c r="Z315" s="199"/>
      <c r="AA315" s="199"/>
      <c r="AB315" s="199"/>
    </row>
    <row r="316" spans="1:28" ht="12.75">
      <c r="A316" s="199"/>
      <c r="B316" s="199"/>
      <c r="C316" s="199"/>
      <c r="D316" s="199"/>
      <c r="E316" s="199"/>
      <c r="F316" s="199"/>
      <c r="G316" s="244"/>
      <c r="H316" s="199"/>
      <c r="I316" s="199"/>
      <c r="J316" s="199"/>
      <c r="K316" s="199"/>
      <c r="L316" s="199"/>
      <c r="M316" s="199"/>
      <c r="N316" s="199"/>
      <c r="O316" s="199"/>
      <c r="P316" s="199"/>
      <c r="Q316" s="199"/>
      <c r="R316" s="199"/>
      <c r="S316" s="199"/>
      <c r="T316" s="199"/>
      <c r="U316" s="199"/>
      <c r="V316" s="199"/>
      <c r="W316" s="199"/>
      <c r="X316" s="199"/>
      <c r="Y316" s="199"/>
      <c r="Z316" s="199"/>
      <c r="AA316" s="199"/>
      <c r="AB316" s="199"/>
    </row>
    <row r="317" spans="1:28" ht="12.75">
      <c r="A317" s="199"/>
      <c r="B317" s="199"/>
      <c r="C317" s="199"/>
      <c r="D317" s="199"/>
      <c r="E317" s="199"/>
      <c r="F317" s="199"/>
      <c r="G317" s="244"/>
      <c r="H317" s="199"/>
      <c r="I317" s="199"/>
      <c r="J317" s="199"/>
      <c r="K317" s="199"/>
      <c r="L317" s="199"/>
      <c r="M317" s="199"/>
      <c r="N317" s="199"/>
      <c r="O317" s="199"/>
      <c r="P317" s="199"/>
      <c r="Q317" s="199"/>
      <c r="R317" s="199"/>
      <c r="S317" s="199"/>
      <c r="T317" s="199"/>
      <c r="U317" s="199"/>
      <c r="V317" s="199"/>
      <c r="W317" s="199"/>
      <c r="X317" s="199"/>
      <c r="Y317" s="199"/>
      <c r="Z317" s="199"/>
      <c r="AA317" s="199"/>
      <c r="AB317" s="199"/>
    </row>
    <row r="318" spans="1:28" ht="12.75">
      <c r="A318" s="199"/>
      <c r="B318" s="199"/>
      <c r="C318" s="199"/>
      <c r="D318" s="199"/>
      <c r="E318" s="199"/>
      <c r="F318" s="199"/>
      <c r="G318" s="244"/>
      <c r="H318" s="199"/>
      <c r="I318" s="199"/>
      <c r="J318" s="199"/>
      <c r="K318" s="199"/>
      <c r="L318" s="199"/>
      <c r="M318" s="199"/>
      <c r="N318" s="199"/>
      <c r="O318" s="199"/>
      <c r="P318" s="199"/>
      <c r="Q318" s="199"/>
      <c r="R318" s="199"/>
      <c r="S318" s="199"/>
      <c r="T318" s="199"/>
      <c r="U318" s="199"/>
      <c r="V318" s="199"/>
      <c r="W318" s="199"/>
      <c r="X318" s="199"/>
      <c r="Y318" s="199"/>
      <c r="Z318" s="199"/>
      <c r="AA318" s="199"/>
      <c r="AB318" s="199"/>
    </row>
    <row r="319" spans="1:28" ht="12.75">
      <c r="A319" s="199"/>
      <c r="B319" s="199"/>
      <c r="C319" s="199"/>
      <c r="D319" s="199"/>
      <c r="E319" s="199"/>
      <c r="F319" s="199"/>
      <c r="G319" s="244"/>
      <c r="H319" s="199"/>
      <c r="I319" s="199"/>
      <c r="J319" s="199"/>
      <c r="K319" s="199"/>
      <c r="L319" s="199"/>
      <c r="M319" s="199"/>
      <c r="N319" s="199"/>
      <c r="O319" s="199"/>
      <c r="P319" s="199"/>
      <c r="Q319" s="199"/>
      <c r="R319" s="199"/>
      <c r="S319" s="199"/>
      <c r="T319" s="199"/>
      <c r="U319" s="199"/>
      <c r="V319" s="199"/>
      <c r="W319" s="199"/>
      <c r="X319" s="199"/>
      <c r="Y319" s="199"/>
      <c r="Z319" s="199"/>
      <c r="AA319" s="199"/>
      <c r="AB319" s="199"/>
    </row>
    <row r="320" spans="1:28" ht="12.75">
      <c r="A320" s="199"/>
      <c r="B320" s="199"/>
      <c r="C320" s="199"/>
      <c r="D320" s="199"/>
      <c r="E320" s="199"/>
      <c r="F320" s="199"/>
      <c r="G320" s="244"/>
      <c r="H320" s="199"/>
      <c r="I320" s="199"/>
      <c r="J320" s="199"/>
      <c r="K320" s="199"/>
      <c r="L320" s="199"/>
      <c r="M320" s="199"/>
      <c r="N320" s="199"/>
      <c r="O320" s="199"/>
      <c r="P320" s="199"/>
      <c r="Q320" s="199"/>
      <c r="R320" s="199"/>
      <c r="S320" s="199"/>
      <c r="T320" s="199"/>
      <c r="U320" s="199"/>
      <c r="V320" s="199"/>
      <c r="W320" s="199"/>
      <c r="X320" s="199"/>
      <c r="Y320" s="199"/>
      <c r="Z320" s="199"/>
      <c r="AA320" s="199"/>
      <c r="AB320" s="199"/>
    </row>
    <row r="321" spans="1:28" ht="12.75">
      <c r="A321" s="199"/>
      <c r="B321" s="199"/>
      <c r="C321" s="199"/>
      <c r="D321" s="199"/>
      <c r="E321" s="199"/>
      <c r="F321" s="199"/>
      <c r="G321" s="244"/>
      <c r="H321" s="199"/>
      <c r="I321" s="199"/>
      <c r="J321" s="199"/>
      <c r="K321" s="199"/>
      <c r="L321" s="199"/>
      <c r="M321" s="199"/>
      <c r="N321" s="199"/>
      <c r="O321" s="199"/>
      <c r="P321" s="199"/>
      <c r="Q321" s="199"/>
      <c r="R321" s="199"/>
      <c r="S321" s="199"/>
      <c r="T321" s="199"/>
      <c r="U321" s="199"/>
      <c r="V321" s="199"/>
      <c r="W321" s="199"/>
      <c r="X321" s="199"/>
      <c r="Y321" s="199"/>
      <c r="Z321" s="199"/>
      <c r="AA321" s="199"/>
      <c r="AB321" s="199"/>
    </row>
    <row r="322" spans="1:28" ht="12.75">
      <c r="A322" s="199"/>
      <c r="B322" s="199"/>
      <c r="C322" s="199"/>
      <c r="D322" s="199"/>
      <c r="E322" s="199"/>
      <c r="F322" s="199"/>
      <c r="G322" s="244"/>
      <c r="H322" s="199"/>
      <c r="I322" s="199"/>
      <c r="J322" s="199"/>
      <c r="K322" s="199"/>
      <c r="L322" s="199"/>
      <c r="M322" s="199"/>
      <c r="N322" s="199"/>
      <c r="O322" s="199"/>
      <c r="P322" s="199"/>
      <c r="Q322" s="199"/>
      <c r="R322" s="199"/>
      <c r="S322" s="199"/>
      <c r="T322" s="199"/>
      <c r="U322" s="199"/>
      <c r="V322" s="199"/>
      <c r="W322" s="199"/>
      <c r="X322" s="199"/>
      <c r="Y322" s="199"/>
      <c r="Z322" s="199"/>
      <c r="AA322" s="199"/>
      <c r="AB322" s="199"/>
    </row>
    <row r="323" spans="1:28" ht="12.75">
      <c r="A323" s="199"/>
      <c r="B323" s="199"/>
      <c r="C323" s="199"/>
      <c r="D323" s="199"/>
      <c r="E323" s="199"/>
      <c r="F323" s="199"/>
      <c r="G323" s="244"/>
      <c r="H323" s="199"/>
      <c r="I323" s="199"/>
      <c r="J323" s="199"/>
      <c r="K323" s="199"/>
      <c r="L323" s="199"/>
      <c r="M323" s="199"/>
      <c r="N323" s="199"/>
      <c r="O323" s="199"/>
      <c r="P323" s="199"/>
      <c r="Q323" s="199"/>
      <c r="R323" s="199"/>
      <c r="S323" s="199"/>
      <c r="T323" s="199"/>
      <c r="U323" s="199"/>
      <c r="V323" s="199"/>
      <c r="W323" s="199"/>
      <c r="X323" s="199"/>
      <c r="Y323" s="199"/>
      <c r="Z323" s="199"/>
      <c r="AA323" s="199"/>
      <c r="AB323" s="199"/>
    </row>
    <row r="324" spans="1:28" ht="12.75">
      <c r="A324" s="199"/>
      <c r="B324" s="199"/>
      <c r="C324" s="199"/>
      <c r="D324" s="199"/>
      <c r="E324" s="199"/>
      <c r="F324" s="199"/>
      <c r="G324" s="244"/>
      <c r="H324" s="199"/>
      <c r="I324" s="199"/>
      <c r="J324" s="199"/>
      <c r="K324" s="199"/>
      <c r="L324" s="199"/>
      <c r="M324" s="199"/>
      <c r="N324" s="199"/>
      <c r="O324" s="199"/>
      <c r="P324" s="199"/>
      <c r="Q324" s="199"/>
      <c r="R324" s="199"/>
      <c r="S324" s="199"/>
      <c r="T324" s="199"/>
      <c r="U324" s="199"/>
      <c r="V324" s="199"/>
      <c r="W324" s="199"/>
      <c r="X324" s="199"/>
      <c r="Y324" s="199"/>
      <c r="Z324" s="199"/>
      <c r="AA324" s="199"/>
      <c r="AB324" s="199"/>
    </row>
    <row r="325" spans="1:28" ht="12.75">
      <c r="A325" s="199"/>
      <c r="B325" s="199"/>
      <c r="C325" s="199"/>
      <c r="D325" s="199"/>
      <c r="E325" s="199"/>
      <c r="F325" s="199"/>
      <c r="G325" s="244"/>
      <c r="H325" s="199"/>
      <c r="I325" s="199"/>
      <c r="J325" s="199"/>
      <c r="K325" s="199"/>
      <c r="L325" s="199"/>
      <c r="M325" s="199"/>
      <c r="N325" s="199"/>
      <c r="O325" s="199"/>
      <c r="P325" s="199"/>
      <c r="Q325" s="199"/>
      <c r="R325" s="199"/>
      <c r="S325" s="199"/>
      <c r="T325" s="199"/>
      <c r="U325" s="199"/>
      <c r="V325" s="199"/>
      <c r="W325" s="199"/>
      <c r="X325" s="199"/>
      <c r="Y325" s="199"/>
      <c r="Z325" s="199"/>
      <c r="AA325" s="199"/>
      <c r="AB325" s="199"/>
    </row>
    <row r="326" spans="1:28" ht="12.75">
      <c r="A326" s="199"/>
      <c r="B326" s="199"/>
      <c r="C326" s="199"/>
      <c r="D326" s="199"/>
      <c r="E326" s="199"/>
      <c r="F326" s="199"/>
      <c r="G326" s="244"/>
      <c r="H326" s="199"/>
      <c r="I326" s="199"/>
      <c r="J326" s="199"/>
      <c r="K326" s="199"/>
      <c r="L326" s="199"/>
      <c r="M326" s="199"/>
      <c r="N326" s="199"/>
      <c r="O326" s="199"/>
      <c r="P326" s="199"/>
      <c r="Q326" s="199"/>
      <c r="R326" s="199"/>
      <c r="S326" s="199"/>
      <c r="T326" s="199"/>
      <c r="U326" s="199"/>
      <c r="V326" s="199"/>
      <c r="W326" s="199"/>
      <c r="X326" s="199"/>
      <c r="Y326" s="199"/>
      <c r="Z326" s="199"/>
      <c r="AA326" s="199"/>
      <c r="AB326" s="199"/>
    </row>
    <row r="327" spans="1:28" ht="12.75">
      <c r="A327" s="199"/>
      <c r="B327" s="199"/>
      <c r="C327" s="199"/>
      <c r="D327" s="199"/>
      <c r="E327" s="199"/>
      <c r="F327" s="199"/>
      <c r="G327" s="244"/>
      <c r="H327" s="199"/>
      <c r="I327" s="199"/>
      <c r="J327" s="199"/>
      <c r="K327" s="199"/>
      <c r="L327" s="199"/>
      <c r="M327" s="199"/>
      <c r="N327" s="199"/>
      <c r="O327" s="199"/>
      <c r="P327" s="199"/>
      <c r="Q327" s="199"/>
      <c r="R327" s="199"/>
      <c r="S327" s="199"/>
      <c r="T327" s="199"/>
      <c r="U327" s="199"/>
      <c r="V327" s="199"/>
      <c r="W327" s="199"/>
      <c r="X327" s="199"/>
      <c r="Y327" s="199"/>
      <c r="Z327" s="199"/>
      <c r="AA327" s="199"/>
      <c r="AB327" s="199"/>
    </row>
    <row r="328" spans="1:28" ht="12.75">
      <c r="A328" s="199"/>
      <c r="B328" s="199"/>
      <c r="C328" s="199"/>
      <c r="D328" s="199"/>
      <c r="E328" s="199"/>
      <c r="F328" s="199"/>
      <c r="G328" s="244"/>
      <c r="H328" s="199"/>
      <c r="I328" s="199"/>
      <c r="J328" s="199"/>
      <c r="K328" s="199"/>
      <c r="L328" s="199"/>
      <c r="M328" s="199"/>
      <c r="N328" s="199"/>
      <c r="O328" s="199"/>
      <c r="P328" s="199"/>
      <c r="Q328" s="199"/>
      <c r="R328" s="199"/>
      <c r="S328" s="199"/>
      <c r="T328" s="199"/>
      <c r="U328" s="199"/>
      <c r="V328" s="199"/>
      <c r="W328" s="199"/>
      <c r="X328" s="199"/>
      <c r="Y328" s="199"/>
      <c r="Z328" s="199"/>
      <c r="AA328" s="199"/>
      <c r="AB328" s="199"/>
    </row>
    <row r="329" spans="1:28" ht="12.75">
      <c r="A329" s="199"/>
      <c r="B329" s="199"/>
      <c r="C329" s="199"/>
      <c r="D329" s="199"/>
      <c r="E329" s="199"/>
      <c r="F329" s="199"/>
      <c r="G329" s="244"/>
      <c r="H329" s="199"/>
      <c r="I329" s="199"/>
      <c r="J329" s="199"/>
      <c r="K329" s="199"/>
      <c r="L329" s="199"/>
      <c r="M329" s="199"/>
      <c r="N329" s="199"/>
      <c r="O329" s="199"/>
      <c r="P329" s="199"/>
      <c r="Q329" s="199"/>
      <c r="R329" s="199"/>
      <c r="S329" s="199"/>
      <c r="T329" s="199"/>
      <c r="U329" s="199"/>
      <c r="V329" s="199"/>
      <c r="W329" s="199"/>
      <c r="X329" s="199"/>
      <c r="Y329" s="199"/>
      <c r="Z329" s="199"/>
      <c r="AA329" s="199"/>
      <c r="AB329" s="199"/>
    </row>
    <row r="330" spans="1:28" ht="12.75">
      <c r="A330" s="199"/>
      <c r="B330" s="199"/>
      <c r="C330" s="199"/>
      <c r="D330" s="199"/>
      <c r="E330" s="199"/>
      <c r="F330" s="199"/>
      <c r="G330" s="244"/>
      <c r="H330" s="199"/>
      <c r="I330" s="199"/>
      <c r="J330" s="199"/>
      <c r="K330" s="199"/>
      <c r="L330" s="199"/>
      <c r="M330" s="199"/>
      <c r="N330" s="199"/>
      <c r="O330" s="199"/>
      <c r="P330" s="199"/>
      <c r="Q330" s="199"/>
      <c r="R330" s="199"/>
      <c r="S330" s="199"/>
      <c r="T330" s="199"/>
      <c r="U330" s="199"/>
      <c r="V330" s="199"/>
      <c r="W330" s="199"/>
      <c r="X330" s="199"/>
      <c r="Y330" s="199"/>
      <c r="Z330" s="199"/>
      <c r="AA330" s="199"/>
      <c r="AB330" s="199"/>
    </row>
    <row r="331" spans="1:28" ht="12.75">
      <c r="A331" s="199"/>
      <c r="B331" s="199"/>
      <c r="C331" s="199"/>
      <c r="D331" s="199"/>
      <c r="E331" s="199"/>
      <c r="F331" s="199"/>
      <c r="G331" s="244"/>
      <c r="H331" s="199"/>
      <c r="I331" s="199"/>
      <c r="J331" s="199"/>
      <c r="K331" s="199"/>
      <c r="L331" s="199"/>
      <c r="M331" s="199"/>
      <c r="N331" s="199"/>
      <c r="O331" s="199"/>
      <c r="P331" s="199"/>
      <c r="Q331" s="199"/>
      <c r="R331" s="199"/>
      <c r="S331" s="199"/>
      <c r="T331" s="199"/>
      <c r="U331" s="199"/>
      <c r="V331" s="199"/>
      <c r="W331" s="199"/>
      <c r="X331" s="199"/>
      <c r="Y331" s="199"/>
      <c r="Z331" s="199"/>
      <c r="AA331" s="199"/>
      <c r="AB331" s="199"/>
    </row>
    <row r="332" spans="1:28" ht="12.75">
      <c r="A332" s="199"/>
      <c r="B332" s="199"/>
      <c r="C332" s="199"/>
      <c r="D332" s="199"/>
      <c r="E332" s="199"/>
      <c r="F332" s="199"/>
      <c r="G332" s="244"/>
      <c r="H332" s="199"/>
      <c r="I332" s="199"/>
      <c r="J332" s="199"/>
      <c r="K332" s="199"/>
      <c r="L332" s="199"/>
      <c r="M332" s="199"/>
      <c r="N332" s="199"/>
      <c r="O332" s="199"/>
      <c r="P332" s="199"/>
      <c r="Q332" s="199"/>
      <c r="R332" s="199"/>
      <c r="S332" s="199"/>
      <c r="T332" s="199"/>
      <c r="U332" s="199"/>
      <c r="V332" s="199"/>
      <c r="W332" s="199"/>
      <c r="X332" s="199"/>
      <c r="Y332" s="199"/>
      <c r="Z332" s="199"/>
      <c r="AA332" s="199"/>
      <c r="AB332" s="199"/>
    </row>
    <row r="333" spans="1:28" ht="12.75">
      <c r="A333" s="199"/>
      <c r="B333" s="199"/>
      <c r="C333" s="199"/>
      <c r="D333" s="199"/>
      <c r="E333" s="199"/>
      <c r="F333" s="199"/>
      <c r="G333" s="244"/>
      <c r="H333" s="199"/>
      <c r="I333" s="199"/>
      <c r="J333" s="199"/>
      <c r="K333" s="199"/>
      <c r="L333" s="199"/>
      <c r="M333" s="199"/>
      <c r="N333" s="199"/>
      <c r="O333" s="199"/>
      <c r="P333" s="199"/>
      <c r="Q333" s="199"/>
      <c r="R333" s="199"/>
      <c r="S333" s="199"/>
      <c r="T333" s="199"/>
      <c r="U333" s="199"/>
      <c r="V333" s="199"/>
      <c r="W333" s="199"/>
      <c r="X333" s="199"/>
      <c r="Y333" s="199"/>
      <c r="Z333" s="199"/>
      <c r="AA333" s="199"/>
      <c r="AB333" s="199"/>
    </row>
    <row r="334" spans="1:28" ht="12.75">
      <c r="A334" s="199"/>
      <c r="B334" s="199"/>
      <c r="C334" s="199"/>
      <c r="D334" s="199"/>
      <c r="E334" s="199"/>
      <c r="F334" s="199"/>
      <c r="G334" s="244"/>
      <c r="H334" s="199"/>
      <c r="I334" s="199"/>
      <c r="J334" s="199"/>
      <c r="K334" s="199"/>
      <c r="L334" s="199"/>
      <c r="M334" s="199"/>
      <c r="N334" s="199"/>
      <c r="O334" s="199"/>
      <c r="P334" s="199"/>
      <c r="Q334" s="199"/>
      <c r="R334" s="199"/>
      <c r="S334" s="199"/>
      <c r="T334" s="199"/>
      <c r="U334" s="199"/>
      <c r="V334" s="199"/>
      <c r="W334" s="199"/>
      <c r="X334" s="199"/>
      <c r="Y334" s="199"/>
      <c r="Z334" s="199"/>
      <c r="AA334" s="199"/>
      <c r="AB334" s="199"/>
    </row>
    <row r="335" spans="1:28" ht="12.75">
      <c r="A335" s="199"/>
      <c r="B335" s="199"/>
      <c r="C335" s="199"/>
      <c r="D335" s="199"/>
      <c r="E335" s="199"/>
      <c r="F335" s="199"/>
      <c r="G335" s="244"/>
      <c r="H335" s="199"/>
      <c r="I335" s="199"/>
      <c r="J335" s="199"/>
      <c r="K335" s="199"/>
      <c r="L335" s="199"/>
      <c r="M335" s="199"/>
      <c r="N335" s="199"/>
      <c r="O335" s="199"/>
      <c r="P335" s="199"/>
      <c r="Q335" s="199"/>
      <c r="R335" s="199"/>
      <c r="S335" s="199"/>
      <c r="T335" s="199"/>
      <c r="U335" s="199"/>
      <c r="V335" s="199"/>
      <c r="W335" s="199"/>
      <c r="X335" s="199"/>
      <c r="Y335" s="199"/>
      <c r="Z335" s="199"/>
      <c r="AA335" s="199"/>
      <c r="AB335" s="199"/>
    </row>
    <row r="336" spans="1:28" ht="12.75">
      <c r="A336" s="199"/>
      <c r="B336" s="199"/>
      <c r="C336" s="199"/>
      <c r="D336" s="199"/>
      <c r="E336" s="199"/>
      <c r="F336" s="199"/>
      <c r="G336" s="244"/>
      <c r="H336" s="199"/>
      <c r="I336" s="199"/>
      <c r="J336" s="199"/>
      <c r="K336" s="199"/>
      <c r="L336" s="199"/>
      <c r="M336" s="199"/>
      <c r="N336" s="199"/>
      <c r="O336" s="199"/>
      <c r="P336" s="199"/>
      <c r="Q336" s="199"/>
      <c r="R336" s="199"/>
      <c r="S336" s="199"/>
      <c r="T336" s="199"/>
      <c r="U336" s="199"/>
      <c r="V336" s="199"/>
      <c r="W336" s="199"/>
      <c r="X336" s="199"/>
      <c r="Y336" s="199"/>
      <c r="Z336" s="199"/>
      <c r="AA336" s="199"/>
      <c r="AB336" s="199"/>
    </row>
    <row r="337" spans="1:28" ht="12.75">
      <c r="A337" s="199"/>
      <c r="B337" s="199"/>
      <c r="C337" s="199"/>
      <c r="D337" s="199"/>
      <c r="E337" s="199"/>
      <c r="F337" s="199"/>
      <c r="G337" s="244"/>
      <c r="H337" s="199"/>
      <c r="I337" s="199"/>
      <c r="J337" s="199"/>
      <c r="K337" s="199"/>
      <c r="L337" s="199"/>
      <c r="M337" s="199"/>
      <c r="N337" s="199"/>
      <c r="O337" s="199"/>
      <c r="P337" s="199"/>
      <c r="Q337" s="199"/>
      <c r="R337" s="199"/>
      <c r="S337" s="199"/>
      <c r="T337" s="199"/>
      <c r="U337" s="199"/>
      <c r="V337" s="199"/>
      <c r="W337" s="199"/>
      <c r="X337" s="199"/>
      <c r="Y337" s="199"/>
      <c r="Z337" s="199"/>
      <c r="AA337" s="199"/>
      <c r="AB337" s="199"/>
    </row>
    <row r="338" spans="1:28" ht="12.75">
      <c r="A338" s="199"/>
      <c r="B338" s="199"/>
      <c r="C338" s="199"/>
      <c r="D338" s="199"/>
      <c r="E338" s="199"/>
      <c r="F338" s="199"/>
      <c r="G338" s="244"/>
      <c r="H338" s="199"/>
      <c r="I338" s="199"/>
      <c r="J338" s="199"/>
      <c r="K338" s="199"/>
      <c r="L338" s="199"/>
      <c r="M338" s="199"/>
      <c r="N338" s="199"/>
      <c r="O338" s="199"/>
      <c r="P338" s="199"/>
      <c r="Q338" s="199"/>
      <c r="R338" s="199"/>
      <c r="S338" s="199"/>
      <c r="T338" s="199"/>
      <c r="U338" s="199"/>
      <c r="V338" s="199"/>
      <c r="W338" s="199"/>
      <c r="X338" s="199"/>
      <c r="Y338" s="199"/>
      <c r="Z338" s="199"/>
      <c r="AA338" s="199"/>
      <c r="AB338" s="199"/>
    </row>
    <row r="339" spans="1:28" ht="12.75">
      <c r="A339" s="199"/>
      <c r="B339" s="199"/>
      <c r="C339" s="199"/>
      <c r="D339" s="199"/>
      <c r="E339" s="199"/>
      <c r="F339" s="199"/>
      <c r="G339" s="244"/>
      <c r="H339" s="199"/>
      <c r="I339" s="199"/>
      <c r="J339" s="199"/>
      <c r="K339" s="199"/>
      <c r="L339" s="199"/>
      <c r="M339" s="199"/>
      <c r="N339" s="199"/>
      <c r="O339" s="199"/>
      <c r="P339" s="199"/>
      <c r="Q339" s="199"/>
      <c r="R339" s="199"/>
      <c r="S339" s="199"/>
      <c r="T339" s="199"/>
      <c r="U339" s="199"/>
      <c r="V339" s="199"/>
      <c r="W339" s="199"/>
      <c r="X339" s="199"/>
      <c r="Y339" s="199"/>
      <c r="Z339" s="199"/>
      <c r="AA339" s="199"/>
      <c r="AB339" s="199"/>
    </row>
    <row r="340" spans="1:28" ht="12.75">
      <c r="A340" s="199"/>
      <c r="B340" s="199"/>
      <c r="C340" s="199"/>
      <c r="D340" s="199"/>
      <c r="E340" s="199"/>
      <c r="F340" s="199"/>
      <c r="G340" s="244"/>
      <c r="H340" s="199"/>
      <c r="I340" s="199"/>
      <c r="J340" s="199"/>
      <c r="K340" s="199"/>
      <c r="L340" s="199"/>
      <c r="M340" s="199"/>
      <c r="N340" s="199"/>
      <c r="O340" s="199"/>
      <c r="P340" s="199"/>
      <c r="Q340" s="199"/>
      <c r="R340" s="199"/>
      <c r="S340" s="199"/>
      <c r="T340" s="199"/>
      <c r="U340" s="199"/>
      <c r="V340" s="199"/>
      <c r="W340" s="199"/>
      <c r="X340" s="199"/>
      <c r="Y340" s="199"/>
      <c r="Z340" s="199"/>
      <c r="AA340" s="199"/>
      <c r="AB340" s="199"/>
    </row>
    <row r="341" spans="1:28" ht="12.75">
      <c r="A341" s="199"/>
      <c r="B341" s="199"/>
      <c r="C341" s="199"/>
      <c r="D341" s="199"/>
      <c r="E341" s="199"/>
      <c r="F341" s="199"/>
      <c r="G341" s="244"/>
      <c r="H341" s="199"/>
      <c r="I341" s="199"/>
      <c r="J341" s="199"/>
      <c r="K341" s="199"/>
      <c r="L341" s="199"/>
      <c r="M341" s="199"/>
      <c r="N341" s="199"/>
      <c r="O341" s="199"/>
      <c r="P341" s="199"/>
      <c r="Q341" s="199"/>
      <c r="R341" s="199"/>
      <c r="S341" s="199"/>
      <c r="T341" s="199"/>
      <c r="U341" s="199"/>
      <c r="V341" s="199"/>
      <c r="W341" s="199"/>
      <c r="X341" s="199"/>
      <c r="Y341" s="199"/>
      <c r="Z341" s="199"/>
      <c r="AA341" s="199"/>
      <c r="AB341" s="199"/>
    </row>
    <row r="342" spans="1:28" ht="12.75">
      <c r="A342" s="199"/>
      <c r="B342" s="199"/>
      <c r="C342" s="199"/>
      <c r="D342" s="199"/>
      <c r="E342" s="199"/>
      <c r="F342" s="199"/>
      <c r="G342" s="244"/>
      <c r="H342" s="199"/>
      <c r="I342" s="199"/>
      <c r="J342" s="199"/>
      <c r="K342" s="199"/>
      <c r="L342" s="199"/>
      <c r="M342" s="199"/>
      <c r="N342" s="199"/>
      <c r="O342" s="199"/>
      <c r="P342" s="199"/>
      <c r="Q342" s="199"/>
      <c r="R342" s="199"/>
      <c r="S342" s="199"/>
      <c r="T342" s="199"/>
      <c r="U342" s="199"/>
      <c r="V342" s="199"/>
      <c r="W342" s="199"/>
      <c r="X342" s="199"/>
      <c r="Y342" s="199"/>
      <c r="Z342" s="199"/>
      <c r="AA342" s="199"/>
      <c r="AB342" s="199"/>
    </row>
    <row r="343" spans="1:28" ht="12.75">
      <c r="A343" s="199"/>
      <c r="B343" s="199"/>
      <c r="C343" s="199"/>
      <c r="D343" s="199"/>
      <c r="E343" s="199"/>
      <c r="F343" s="199"/>
      <c r="G343" s="244"/>
      <c r="H343" s="199"/>
      <c r="I343" s="199"/>
      <c r="J343" s="199"/>
      <c r="K343" s="199"/>
      <c r="L343" s="199"/>
      <c r="M343" s="199"/>
      <c r="N343" s="199"/>
      <c r="O343" s="199"/>
      <c r="P343" s="199"/>
      <c r="Q343" s="199"/>
      <c r="R343" s="199"/>
      <c r="S343" s="199"/>
      <c r="T343" s="199"/>
      <c r="U343" s="199"/>
      <c r="V343" s="199"/>
      <c r="W343" s="199"/>
      <c r="X343" s="199"/>
      <c r="Y343" s="199"/>
      <c r="Z343" s="199"/>
      <c r="AA343" s="199"/>
      <c r="AB343" s="199"/>
    </row>
    <row r="344" spans="1:28" ht="12.75">
      <c r="A344" s="199"/>
      <c r="B344" s="199"/>
      <c r="C344" s="199"/>
      <c r="D344" s="199"/>
      <c r="E344" s="199"/>
      <c r="F344" s="199"/>
      <c r="G344" s="244"/>
      <c r="H344" s="199"/>
      <c r="I344" s="199"/>
      <c r="J344" s="199"/>
      <c r="K344" s="199"/>
      <c r="L344" s="199"/>
      <c r="M344" s="199"/>
      <c r="N344" s="199"/>
      <c r="O344" s="199"/>
      <c r="P344" s="199"/>
      <c r="Q344" s="199"/>
      <c r="R344" s="199"/>
      <c r="S344" s="199"/>
      <c r="T344" s="199"/>
      <c r="U344" s="199"/>
      <c r="V344" s="199"/>
      <c r="W344" s="199"/>
      <c r="X344" s="199"/>
      <c r="Y344" s="199"/>
      <c r="Z344" s="199"/>
      <c r="AA344" s="199"/>
      <c r="AB344" s="199"/>
    </row>
    <row r="345" spans="1:28" ht="12.75">
      <c r="A345" s="199"/>
      <c r="B345" s="199"/>
      <c r="C345" s="199"/>
      <c r="D345" s="199"/>
      <c r="E345" s="199"/>
      <c r="F345" s="199"/>
      <c r="G345" s="244"/>
      <c r="H345" s="199"/>
      <c r="I345" s="199"/>
      <c r="J345" s="199"/>
      <c r="K345" s="199"/>
      <c r="L345" s="199"/>
      <c r="M345" s="199"/>
      <c r="N345" s="199"/>
      <c r="O345" s="199"/>
      <c r="P345" s="199"/>
      <c r="Q345" s="199"/>
      <c r="R345" s="199"/>
      <c r="S345" s="199"/>
      <c r="T345" s="199"/>
      <c r="U345" s="199"/>
      <c r="V345" s="199"/>
      <c r="W345" s="199"/>
      <c r="X345" s="199"/>
      <c r="Y345" s="199"/>
      <c r="Z345" s="199"/>
      <c r="AA345" s="199"/>
      <c r="AB345" s="199"/>
    </row>
    <row r="346" spans="1:28" ht="12.75">
      <c r="A346" s="199"/>
      <c r="B346" s="199"/>
      <c r="C346" s="199"/>
      <c r="D346" s="199"/>
      <c r="E346" s="199"/>
      <c r="F346" s="199"/>
      <c r="G346" s="244"/>
      <c r="H346" s="199"/>
      <c r="I346" s="199"/>
      <c r="J346" s="199"/>
      <c r="K346" s="199"/>
      <c r="L346" s="199"/>
      <c r="M346" s="199"/>
      <c r="N346" s="199"/>
      <c r="O346" s="199"/>
      <c r="P346" s="199"/>
      <c r="Q346" s="199"/>
      <c r="R346" s="199"/>
      <c r="S346" s="199"/>
      <c r="T346" s="199"/>
      <c r="U346" s="199"/>
      <c r="V346" s="199"/>
      <c r="W346" s="199"/>
      <c r="X346" s="199"/>
      <c r="Y346" s="199"/>
      <c r="Z346" s="199"/>
      <c r="AA346" s="199"/>
      <c r="AB346" s="199"/>
    </row>
    <row r="347" spans="1:28" ht="12.75">
      <c r="A347" s="199"/>
      <c r="B347" s="199"/>
      <c r="C347" s="199"/>
      <c r="D347" s="199"/>
      <c r="E347" s="199"/>
      <c r="F347" s="199"/>
      <c r="G347" s="244"/>
      <c r="H347" s="199"/>
      <c r="I347" s="199"/>
      <c r="J347" s="199"/>
      <c r="K347" s="199"/>
      <c r="L347" s="199"/>
      <c r="M347" s="199"/>
      <c r="N347" s="199"/>
      <c r="O347" s="199"/>
      <c r="P347" s="199"/>
      <c r="Q347" s="199"/>
      <c r="R347" s="199"/>
      <c r="S347" s="199"/>
      <c r="T347" s="199"/>
      <c r="U347" s="199"/>
      <c r="V347" s="199"/>
      <c r="W347" s="199"/>
      <c r="X347" s="199"/>
      <c r="Y347" s="199"/>
      <c r="Z347" s="199"/>
      <c r="AA347" s="199"/>
      <c r="AB347" s="199"/>
    </row>
    <row r="348" spans="1:28" ht="12.75">
      <c r="A348" s="199"/>
      <c r="B348" s="199"/>
      <c r="C348" s="199"/>
      <c r="D348" s="199"/>
      <c r="E348" s="199"/>
      <c r="F348" s="199"/>
      <c r="G348" s="244"/>
      <c r="H348" s="199"/>
      <c r="I348" s="199"/>
      <c r="J348" s="199"/>
      <c r="K348" s="199"/>
      <c r="L348" s="199"/>
      <c r="M348" s="199"/>
      <c r="N348" s="199"/>
      <c r="O348" s="199"/>
      <c r="P348" s="199"/>
      <c r="Q348" s="199"/>
      <c r="R348" s="199"/>
      <c r="S348" s="199"/>
      <c r="T348" s="199"/>
      <c r="U348" s="199"/>
      <c r="V348" s="199"/>
      <c r="W348" s="199"/>
      <c r="X348" s="199"/>
      <c r="Y348" s="199"/>
      <c r="Z348" s="199"/>
      <c r="AA348" s="199"/>
      <c r="AB348" s="199"/>
    </row>
    <row r="349" spans="1:28" ht="12.75">
      <c r="A349" s="199"/>
      <c r="B349" s="199"/>
      <c r="C349" s="199"/>
      <c r="D349" s="199"/>
      <c r="E349" s="199"/>
      <c r="F349" s="199"/>
      <c r="G349" s="244"/>
      <c r="H349" s="199"/>
      <c r="I349" s="199"/>
      <c r="J349" s="199"/>
      <c r="K349" s="199"/>
      <c r="L349" s="199"/>
      <c r="M349" s="199"/>
      <c r="N349" s="199"/>
      <c r="O349" s="199"/>
      <c r="P349" s="199"/>
      <c r="Q349" s="199"/>
      <c r="R349" s="199"/>
      <c r="S349" s="199"/>
      <c r="T349" s="199"/>
      <c r="U349" s="199"/>
      <c r="V349" s="199"/>
      <c r="W349" s="199"/>
      <c r="X349" s="199"/>
      <c r="Y349" s="199"/>
      <c r="Z349" s="199"/>
      <c r="AA349" s="199"/>
      <c r="AB349" s="199"/>
    </row>
    <row r="350" spans="1:28" ht="12.75">
      <c r="A350" s="199"/>
      <c r="B350" s="199"/>
      <c r="C350" s="199"/>
      <c r="D350" s="199"/>
      <c r="E350" s="199"/>
      <c r="F350" s="199"/>
      <c r="G350" s="244"/>
      <c r="H350" s="199"/>
      <c r="I350" s="199"/>
      <c r="J350" s="199"/>
      <c r="K350" s="199"/>
      <c r="L350" s="199"/>
      <c r="M350" s="199"/>
      <c r="N350" s="199"/>
      <c r="O350" s="199"/>
      <c r="P350" s="199"/>
      <c r="Q350" s="199"/>
      <c r="R350" s="199"/>
      <c r="S350" s="199"/>
      <c r="T350" s="199"/>
      <c r="U350" s="199"/>
      <c r="V350" s="199"/>
      <c r="W350" s="199"/>
      <c r="X350" s="199"/>
      <c r="Y350" s="199"/>
      <c r="Z350" s="199"/>
      <c r="AA350" s="199"/>
      <c r="AB350" s="199"/>
    </row>
    <row r="351" spans="1:28" ht="12.75">
      <c r="A351" s="199"/>
      <c r="B351" s="199"/>
      <c r="C351" s="199"/>
      <c r="D351" s="199"/>
      <c r="E351" s="199"/>
      <c r="F351" s="199"/>
      <c r="G351" s="244"/>
      <c r="H351" s="199"/>
      <c r="I351" s="199"/>
      <c r="J351" s="199"/>
      <c r="K351" s="199"/>
      <c r="L351" s="199"/>
      <c r="M351" s="199"/>
      <c r="N351" s="199"/>
      <c r="O351" s="199"/>
      <c r="P351" s="199"/>
      <c r="Q351" s="199"/>
      <c r="R351" s="199"/>
      <c r="S351" s="199"/>
      <c r="T351" s="199"/>
      <c r="U351" s="199"/>
      <c r="V351" s="199"/>
      <c r="W351" s="199"/>
      <c r="X351" s="199"/>
      <c r="Y351" s="199"/>
      <c r="Z351" s="199"/>
      <c r="AA351" s="199"/>
      <c r="AB351" s="199"/>
    </row>
    <row r="352" spans="1:28" ht="12.75">
      <c r="A352" s="199"/>
      <c r="B352" s="199"/>
      <c r="C352" s="199"/>
      <c r="D352" s="199"/>
      <c r="E352" s="199"/>
      <c r="F352" s="199"/>
      <c r="G352" s="244"/>
      <c r="H352" s="199"/>
      <c r="I352" s="199"/>
      <c r="J352" s="199"/>
      <c r="K352" s="199"/>
      <c r="L352" s="199"/>
      <c r="M352" s="199"/>
      <c r="N352" s="199"/>
      <c r="O352" s="199"/>
      <c r="P352" s="199"/>
      <c r="Q352" s="199"/>
      <c r="R352" s="199"/>
      <c r="S352" s="199"/>
      <c r="T352" s="199"/>
      <c r="U352" s="199"/>
      <c r="V352" s="199"/>
      <c r="W352" s="199"/>
      <c r="X352" s="199"/>
      <c r="Y352" s="199"/>
      <c r="Z352" s="199"/>
      <c r="AA352" s="199"/>
      <c r="AB352" s="199"/>
    </row>
    <row r="353" spans="1:28" ht="12.75">
      <c r="A353" s="199"/>
      <c r="B353" s="199"/>
      <c r="C353" s="199"/>
      <c r="D353" s="199"/>
      <c r="E353" s="199"/>
      <c r="F353" s="199"/>
      <c r="G353" s="244"/>
      <c r="H353" s="199"/>
      <c r="I353" s="199"/>
      <c r="J353" s="199"/>
      <c r="K353" s="199"/>
      <c r="L353" s="199"/>
      <c r="M353" s="199"/>
      <c r="N353" s="199"/>
      <c r="O353" s="199"/>
      <c r="P353" s="199"/>
      <c r="Q353" s="199"/>
      <c r="R353" s="199"/>
      <c r="S353" s="199"/>
      <c r="T353" s="199"/>
      <c r="U353" s="199"/>
      <c r="V353" s="199"/>
      <c r="W353" s="199"/>
      <c r="X353" s="199"/>
      <c r="Y353" s="199"/>
      <c r="Z353" s="199"/>
      <c r="AA353" s="199"/>
      <c r="AB353" s="199"/>
    </row>
    <row r="354" spans="1:28" ht="12.75">
      <c r="A354" s="199"/>
      <c r="B354" s="199"/>
      <c r="C354" s="199"/>
      <c r="D354" s="199"/>
      <c r="E354" s="199"/>
      <c r="F354" s="199"/>
      <c r="G354" s="244"/>
      <c r="H354" s="199"/>
      <c r="I354" s="199"/>
      <c r="J354" s="199"/>
      <c r="K354" s="199"/>
      <c r="L354" s="199"/>
      <c r="M354" s="199"/>
      <c r="N354" s="199"/>
      <c r="O354" s="199"/>
      <c r="P354" s="199"/>
      <c r="Q354" s="199"/>
      <c r="R354" s="199"/>
      <c r="S354" s="199"/>
      <c r="T354" s="199"/>
      <c r="U354" s="199"/>
      <c r="V354" s="199"/>
      <c r="W354" s="199"/>
      <c r="X354" s="199"/>
      <c r="Y354" s="199"/>
      <c r="Z354" s="199"/>
      <c r="AA354" s="199"/>
      <c r="AB354" s="199"/>
    </row>
    <row r="355" spans="1:28" ht="12.75">
      <c r="A355" s="199"/>
      <c r="B355" s="199"/>
      <c r="C355" s="199"/>
      <c r="D355" s="199"/>
      <c r="E355" s="199"/>
      <c r="F355" s="199"/>
      <c r="G355" s="244"/>
      <c r="H355" s="199"/>
      <c r="I355" s="199"/>
      <c r="J355" s="199"/>
      <c r="K355" s="199"/>
      <c r="L355" s="199"/>
      <c r="M355" s="199"/>
      <c r="N355" s="199"/>
      <c r="O355" s="199"/>
      <c r="P355" s="199"/>
      <c r="Q355" s="199"/>
      <c r="R355" s="199"/>
      <c r="S355" s="199"/>
      <c r="T355" s="199"/>
      <c r="U355" s="199"/>
      <c r="V355" s="199"/>
      <c r="W355" s="199"/>
      <c r="X355" s="199"/>
      <c r="Y355" s="199"/>
      <c r="Z355" s="199"/>
      <c r="AA355" s="199"/>
      <c r="AB355" s="199"/>
    </row>
    <row r="356" spans="1:28" ht="12.75">
      <c r="A356" s="199"/>
      <c r="B356" s="199"/>
      <c r="C356" s="199"/>
      <c r="D356" s="199"/>
      <c r="E356" s="199"/>
      <c r="F356" s="199"/>
      <c r="G356" s="244"/>
      <c r="H356" s="199"/>
      <c r="I356" s="199"/>
      <c r="J356" s="199"/>
      <c r="K356" s="199"/>
      <c r="L356" s="199"/>
      <c r="M356" s="199"/>
      <c r="N356" s="199"/>
      <c r="O356" s="199"/>
      <c r="P356" s="199"/>
      <c r="Q356" s="199"/>
      <c r="R356" s="199"/>
      <c r="S356" s="199"/>
      <c r="T356" s="199"/>
      <c r="U356" s="199"/>
      <c r="V356" s="199"/>
      <c r="W356" s="199"/>
      <c r="X356" s="199"/>
      <c r="Y356" s="199"/>
      <c r="Z356" s="199"/>
      <c r="AA356" s="199"/>
      <c r="AB356" s="199"/>
    </row>
    <row r="357" spans="1:28" ht="12.75">
      <c r="A357" s="199"/>
      <c r="B357" s="199"/>
      <c r="C357" s="199"/>
      <c r="D357" s="199"/>
      <c r="E357" s="199"/>
      <c r="F357" s="199"/>
      <c r="G357" s="244"/>
      <c r="H357" s="199"/>
      <c r="I357" s="199"/>
      <c r="J357" s="199"/>
      <c r="K357" s="199"/>
      <c r="L357" s="199"/>
      <c r="M357" s="199"/>
      <c r="N357" s="199"/>
      <c r="O357" s="199"/>
      <c r="P357" s="199"/>
      <c r="Q357" s="199"/>
      <c r="R357" s="199"/>
      <c r="S357" s="199"/>
      <c r="T357" s="199"/>
      <c r="U357" s="199"/>
      <c r="V357" s="199"/>
      <c r="W357" s="199"/>
      <c r="X357" s="199"/>
      <c r="Y357" s="199"/>
      <c r="Z357" s="199"/>
      <c r="AA357" s="199"/>
      <c r="AB357" s="199"/>
    </row>
    <row r="358" spans="1:28" ht="12.75">
      <c r="A358" s="199"/>
      <c r="B358" s="199"/>
      <c r="C358" s="199"/>
      <c r="D358" s="199"/>
      <c r="E358" s="199"/>
      <c r="F358" s="199"/>
      <c r="G358" s="244"/>
      <c r="H358" s="199"/>
      <c r="I358" s="199"/>
      <c r="J358" s="199"/>
      <c r="K358" s="199"/>
      <c r="L358" s="199"/>
      <c r="M358" s="199"/>
      <c r="N358" s="199"/>
      <c r="O358" s="199"/>
      <c r="P358" s="199"/>
      <c r="Q358" s="199"/>
      <c r="R358" s="199"/>
      <c r="S358" s="199"/>
      <c r="T358" s="199"/>
      <c r="U358" s="199"/>
      <c r="V358" s="199"/>
      <c r="W358" s="199"/>
      <c r="X358" s="199"/>
      <c r="Y358" s="199"/>
      <c r="Z358" s="199"/>
      <c r="AA358" s="199"/>
      <c r="AB358" s="199"/>
    </row>
    <row r="359" spans="1:28" ht="12.75">
      <c r="A359" s="199"/>
      <c r="B359" s="199"/>
      <c r="C359" s="199"/>
      <c r="D359" s="199"/>
      <c r="E359" s="199"/>
      <c r="F359" s="199"/>
      <c r="G359" s="244"/>
      <c r="H359" s="199"/>
      <c r="I359" s="199"/>
      <c r="J359" s="199"/>
      <c r="K359" s="199"/>
      <c r="L359" s="199"/>
      <c r="M359" s="199"/>
      <c r="N359" s="199"/>
      <c r="O359" s="199"/>
      <c r="P359" s="199"/>
      <c r="Q359" s="199"/>
      <c r="R359" s="199"/>
      <c r="S359" s="199"/>
      <c r="T359" s="199"/>
      <c r="U359" s="199"/>
      <c r="V359" s="199"/>
      <c r="W359" s="199"/>
      <c r="X359" s="199"/>
      <c r="Y359" s="199"/>
      <c r="Z359" s="199"/>
      <c r="AA359" s="199"/>
      <c r="AB359" s="199"/>
    </row>
    <row r="360" spans="1:28" ht="12.75">
      <c r="A360" s="199"/>
      <c r="B360" s="199"/>
      <c r="C360" s="199"/>
      <c r="D360" s="199"/>
      <c r="E360" s="199"/>
      <c r="F360" s="199"/>
      <c r="G360" s="244"/>
      <c r="H360" s="199"/>
      <c r="I360" s="199"/>
      <c r="J360" s="199"/>
      <c r="K360" s="199"/>
      <c r="L360" s="199"/>
      <c r="M360" s="199"/>
      <c r="N360" s="199"/>
      <c r="O360" s="199"/>
      <c r="P360" s="199"/>
      <c r="Q360" s="199"/>
      <c r="R360" s="199"/>
      <c r="S360" s="199"/>
      <c r="T360" s="199"/>
      <c r="U360" s="199"/>
      <c r="V360" s="199"/>
      <c r="W360" s="199"/>
      <c r="X360" s="199"/>
      <c r="Y360" s="199"/>
      <c r="Z360" s="199"/>
      <c r="AA360" s="199"/>
      <c r="AB360" s="199"/>
    </row>
    <row r="361" spans="1:28" ht="12.75">
      <c r="A361" s="199"/>
      <c r="B361" s="199"/>
      <c r="C361" s="199"/>
      <c r="D361" s="199"/>
      <c r="E361" s="199"/>
      <c r="F361" s="199"/>
      <c r="G361" s="244"/>
      <c r="H361" s="199"/>
      <c r="I361" s="199"/>
      <c r="J361" s="199"/>
      <c r="K361" s="199"/>
      <c r="L361" s="199"/>
      <c r="M361" s="199"/>
      <c r="N361" s="199"/>
      <c r="O361" s="199"/>
      <c r="P361" s="199"/>
      <c r="Q361" s="199"/>
      <c r="R361" s="199"/>
      <c r="S361" s="199"/>
      <c r="T361" s="199"/>
      <c r="U361" s="199"/>
      <c r="V361" s="199"/>
      <c r="W361" s="199"/>
      <c r="X361" s="199"/>
      <c r="Y361" s="199"/>
      <c r="Z361" s="199"/>
      <c r="AA361" s="199"/>
      <c r="AB361" s="199"/>
    </row>
    <row r="362" spans="1:28" ht="12.75">
      <c r="A362" s="199"/>
      <c r="B362" s="199"/>
      <c r="C362" s="199"/>
      <c r="D362" s="199"/>
      <c r="E362" s="199"/>
      <c r="F362" s="199"/>
      <c r="G362" s="244"/>
      <c r="H362" s="199"/>
      <c r="I362" s="199"/>
      <c r="J362" s="199"/>
      <c r="K362" s="199"/>
      <c r="L362" s="199"/>
      <c r="M362" s="199"/>
      <c r="N362" s="199"/>
      <c r="O362" s="199"/>
      <c r="P362" s="199"/>
      <c r="Q362" s="199"/>
      <c r="R362" s="199"/>
      <c r="S362" s="199"/>
      <c r="T362" s="199"/>
      <c r="U362" s="199"/>
      <c r="V362" s="199"/>
      <c r="W362" s="199"/>
      <c r="X362" s="199"/>
      <c r="Y362" s="199"/>
      <c r="Z362" s="199"/>
      <c r="AA362" s="199"/>
      <c r="AB362" s="199"/>
    </row>
    <row r="363" spans="1:28" ht="12.75">
      <c r="A363" s="199"/>
      <c r="B363" s="199"/>
      <c r="C363" s="199"/>
      <c r="D363" s="199"/>
      <c r="E363" s="199"/>
      <c r="F363" s="199"/>
      <c r="G363" s="244"/>
      <c r="H363" s="199"/>
      <c r="I363" s="199"/>
      <c r="J363" s="199"/>
      <c r="K363" s="199"/>
      <c r="L363" s="199"/>
      <c r="M363" s="199"/>
      <c r="N363" s="199"/>
      <c r="O363" s="199"/>
      <c r="P363" s="199"/>
      <c r="Q363" s="199"/>
      <c r="R363" s="199"/>
      <c r="S363" s="199"/>
      <c r="T363" s="199"/>
      <c r="U363" s="199"/>
      <c r="V363" s="199"/>
      <c r="W363" s="199"/>
      <c r="X363" s="199"/>
      <c r="Y363" s="199"/>
      <c r="Z363" s="199"/>
      <c r="AA363" s="199"/>
      <c r="AB363" s="199"/>
    </row>
    <row r="364" spans="1:28" ht="12.75">
      <c r="A364" s="199"/>
      <c r="B364" s="199"/>
      <c r="C364" s="199"/>
      <c r="D364" s="199"/>
      <c r="E364" s="199"/>
      <c r="F364" s="199"/>
      <c r="G364" s="244"/>
      <c r="H364" s="199"/>
      <c r="I364" s="199"/>
      <c r="J364" s="199"/>
      <c r="K364" s="199"/>
      <c r="L364" s="199"/>
      <c r="M364" s="199"/>
      <c r="N364" s="199"/>
      <c r="O364" s="199"/>
      <c r="P364" s="199"/>
      <c r="Q364" s="199"/>
      <c r="R364" s="199"/>
      <c r="S364" s="199"/>
      <c r="T364" s="199"/>
      <c r="U364" s="199"/>
      <c r="V364" s="199"/>
      <c r="W364" s="199"/>
      <c r="X364" s="199"/>
      <c r="Y364" s="199"/>
      <c r="Z364" s="199"/>
      <c r="AA364" s="199"/>
      <c r="AB364" s="199"/>
    </row>
    <row r="365" spans="1:28" ht="12.75">
      <c r="A365" s="199"/>
      <c r="B365" s="199"/>
      <c r="C365" s="199"/>
      <c r="D365" s="199"/>
      <c r="E365" s="199"/>
      <c r="F365" s="199"/>
      <c r="G365" s="244"/>
      <c r="H365" s="199"/>
      <c r="I365" s="199"/>
      <c r="J365" s="199"/>
      <c r="K365" s="199"/>
      <c r="L365" s="199"/>
      <c r="M365" s="199"/>
      <c r="N365" s="199"/>
      <c r="O365" s="199"/>
      <c r="P365" s="199"/>
      <c r="Q365" s="199"/>
      <c r="R365" s="199"/>
      <c r="S365" s="199"/>
      <c r="T365" s="199"/>
      <c r="U365" s="199"/>
      <c r="V365" s="199"/>
      <c r="W365" s="199"/>
      <c r="X365" s="199"/>
      <c r="Y365" s="199"/>
      <c r="Z365" s="199"/>
      <c r="AA365" s="199"/>
      <c r="AB365" s="199"/>
    </row>
    <row r="366" spans="1:28" ht="12.75">
      <c r="A366" s="199"/>
      <c r="B366" s="199"/>
      <c r="C366" s="199"/>
      <c r="D366" s="199"/>
      <c r="E366" s="199"/>
      <c r="F366" s="199"/>
      <c r="G366" s="244"/>
      <c r="H366" s="199"/>
      <c r="I366" s="199"/>
      <c r="J366" s="199"/>
      <c r="K366" s="199"/>
      <c r="L366" s="199"/>
      <c r="M366" s="199"/>
      <c r="N366" s="199"/>
      <c r="O366" s="199"/>
      <c r="P366" s="199"/>
      <c r="Q366" s="199"/>
      <c r="R366" s="199"/>
      <c r="S366" s="199"/>
      <c r="T366" s="199"/>
      <c r="U366" s="199"/>
      <c r="V366" s="199"/>
      <c r="W366" s="199"/>
      <c r="X366" s="199"/>
      <c r="Y366" s="199"/>
      <c r="Z366" s="199"/>
      <c r="AA366" s="199"/>
      <c r="AB366" s="199"/>
    </row>
    <row r="367" spans="1:28" ht="12.75">
      <c r="A367" s="199"/>
      <c r="B367" s="199"/>
      <c r="C367" s="199"/>
      <c r="D367" s="199"/>
      <c r="E367" s="199"/>
      <c r="F367" s="199"/>
      <c r="G367" s="244"/>
      <c r="H367" s="199"/>
      <c r="I367" s="199"/>
      <c r="J367" s="199"/>
      <c r="K367" s="199"/>
      <c r="L367" s="199"/>
      <c r="M367" s="199"/>
      <c r="N367" s="199"/>
      <c r="O367" s="199"/>
      <c r="P367" s="199"/>
      <c r="Q367" s="199"/>
      <c r="R367" s="199"/>
      <c r="S367" s="199"/>
      <c r="T367" s="199"/>
      <c r="U367" s="199"/>
      <c r="V367" s="199"/>
      <c r="W367" s="199"/>
      <c r="X367" s="199"/>
      <c r="Y367" s="199"/>
      <c r="Z367" s="199"/>
      <c r="AA367" s="199"/>
      <c r="AB367" s="199"/>
    </row>
    <row r="368" spans="1:28" ht="12.75">
      <c r="A368" s="199"/>
      <c r="B368" s="199"/>
      <c r="C368" s="199"/>
      <c r="D368" s="199"/>
      <c r="E368" s="199"/>
      <c r="F368" s="199"/>
      <c r="G368" s="244"/>
      <c r="H368" s="199"/>
      <c r="I368" s="199"/>
      <c r="J368" s="199"/>
      <c r="K368" s="199"/>
      <c r="L368" s="199"/>
      <c r="M368" s="199"/>
      <c r="N368" s="199"/>
      <c r="O368" s="199"/>
      <c r="P368" s="199"/>
      <c r="Q368" s="199"/>
      <c r="R368" s="199"/>
      <c r="S368" s="199"/>
      <c r="T368" s="199"/>
      <c r="U368" s="199"/>
      <c r="V368" s="199"/>
      <c r="W368" s="199"/>
      <c r="X368" s="199"/>
      <c r="Y368" s="199"/>
      <c r="Z368" s="199"/>
      <c r="AA368" s="199"/>
      <c r="AB368" s="199"/>
    </row>
    <row r="369" spans="1:28" ht="12.75">
      <c r="A369" s="199"/>
      <c r="B369" s="199"/>
      <c r="C369" s="199"/>
      <c r="D369" s="199"/>
      <c r="E369" s="199"/>
      <c r="F369" s="199"/>
      <c r="G369" s="244"/>
      <c r="H369" s="199"/>
      <c r="I369" s="199"/>
      <c r="J369" s="199"/>
      <c r="K369" s="199"/>
      <c r="L369" s="199"/>
      <c r="M369" s="199"/>
      <c r="N369" s="199"/>
      <c r="O369" s="199"/>
      <c r="P369" s="199"/>
      <c r="Q369" s="199"/>
      <c r="R369" s="199"/>
      <c r="S369" s="199"/>
      <c r="T369" s="199"/>
      <c r="U369" s="199"/>
      <c r="V369" s="199"/>
      <c r="W369" s="199"/>
      <c r="X369" s="199"/>
      <c r="Y369" s="199"/>
      <c r="Z369" s="199"/>
      <c r="AA369" s="199"/>
      <c r="AB369" s="199"/>
    </row>
    <row r="370" spans="1:28" ht="12.75">
      <c r="A370" s="199"/>
      <c r="B370" s="199"/>
      <c r="C370" s="199"/>
      <c r="D370" s="199"/>
      <c r="E370" s="199"/>
      <c r="F370" s="199"/>
      <c r="G370" s="244"/>
      <c r="H370" s="199"/>
      <c r="I370" s="199"/>
      <c r="J370" s="199"/>
      <c r="K370" s="199"/>
      <c r="L370" s="199"/>
      <c r="M370" s="199"/>
      <c r="N370" s="199"/>
      <c r="O370" s="199"/>
      <c r="P370" s="199"/>
      <c r="Q370" s="199"/>
      <c r="R370" s="199"/>
      <c r="S370" s="199"/>
      <c r="T370" s="199"/>
      <c r="U370" s="199"/>
      <c r="V370" s="199"/>
      <c r="W370" s="199"/>
      <c r="X370" s="199"/>
      <c r="Y370" s="199"/>
      <c r="Z370" s="199"/>
      <c r="AA370" s="199"/>
      <c r="AB370" s="199"/>
    </row>
    <row r="371" spans="1:28" ht="12.75">
      <c r="A371" s="199"/>
      <c r="B371" s="199"/>
      <c r="C371" s="199"/>
      <c r="D371" s="199"/>
      <c r="E371" s="199"/>
      <c r="F371" s="199"/>
      <c r="G371" s="244"/>
      <c r="H371" s="199"/>
      <c r="I371" s="199"/>
      <c r="J371" s="199"/>
      <c r="K371" s="199"/>
      <c r="L371" s="199"/>
      <c r="M371" s="199"/>
      <c r="N371" s="199"/>
      <c r="O371" s="199"/>
      <c r="P371" s="199"/>
      <c r="Q371" s="199"/>
      <c r="R371" s="199"/>
      <c r="S371" s="199"/>
      <c r="T371" s="199"/>
      <c r="U371" s="199"/>
      <c r="V371" s="199"/>
      <c r="W371" s="199"/>
      <c r="X371" s="199"/>
      <c r="Y371" s="199"/>
      <c r="Z371" s="199"/>
      <c r="AA371" s="199"/>
      <c r="AB371" s="199"/>
    </row>
    <row r="372" spans="1:28" ht="12.75">
      <c r="A372" s="199"/>
      <c r="B372" s="199"/>
      <c r="C372" s="199"/>
      <c r="D372" s="199"/>
      <c r="E372" s="199"/>
      <c r="F372" s="199"/>
      <c r="G372" s="244"/>
      <c r="H372" s="199"/>
      <c r="I372" s="199"/>
      <c r="J372" s="199"/>
      <c r="K372" s="199"/>
      <c r="L372" s="199"/>
      <c r="M372" s="199"/>
      <c r="N372" s="199"/>
      <c r="O372" s="199"/>
      <c r="P372" s="199"/>
      <c r="Q372" s="199"/>
      <c r="R372" s="199"/>
      <c r="S372" s="199"/>
      <c r="T372" s="199"/>
      <c r="U372" s="199"/>
      <c r="V372" s="199"/>
      <c r="W372" s="199"/>
      <c r="X372" s="199"/>
      <c r="Y372" s="199"/>
      <c r="Z372" s="199"/>
      <c r="AA372" s="199"/>
      <c r="AB372" s="199"/>
    </row>
    <row r="373" spans="1:28" ht="12.75">
      <c r="A373" s="199"/>
      <c r="B373" s="199"/>
      <c r="C373" s="199"/>
      <c r="D373" s="199"/>
      <c r="E373" s="199"/>
      <c r="F373" s="199"/>
      <c r="G373" s="244"/>
      <c r="H373" s="199"/>
      <c r="I373" s="199"/>
      <c r="J373" s="199"/>
      <c r="K373" s="199"/>
      <c r="L373" s="199"/>
      <c r="M373" s="199"/>
      <c r="N373" s="199"/>
      <c r="O373" s="199"/>
      <c r="P373" s="199"/>
      <c r="Q373" s="199"/>
      <c r="R373" s="199"/>
      <c r="S373" s="199"/>
      <c r="T373" s="199"/>
      <c r="U373" s="199"/>
      <c r="V373" s="199"/>
      <c r="W373" s="199"/>
      <c r="X373" s="199"/>
      <c r="Y373" s="199"/>
      <c r="Z373" s="199"/>
      <c r="AA373" s="199"/>
      <c r="AB373" s="199"/>
    </row>
    <row r="374" spans="1:28" ht="12.75">
      <c r="A374" s="199"/>
      <c r="B374" s="199"/>
      <c r="C374" s="199"/>
      <c r="D374" s="199"/>
      <c r="E374" s="199"/>
      <c r="F374" s="199"/>
      <c r="G374" s="244"/>
      <c r="H374" s="199"/>
      <c r="I374" s="199"/>
      <c r="J374" s="199"/>
      <c r="K374" s="199"/>
      <c r="L374" s="199"/>
      <c r="M374" s="199"/>
      <c r="N374" s="199"/>
      <c r="O374" s="199"/>
      <c r="P374" s="199"/>
      <c r="Q374" s="199"/>
      <c r="R374" s="199"/>
      <c r="S374" s="199"/>
      <c r="T374" s="199"/>
      <c r="U374" s="199"/>
      <c r="V374" s="199"/>
      <c r="W374" s="199"/>
      <c r="X374" s="199"/>
      <c r="Y374" s="199"/>
      <c r="Z374" s="199"/>
      <c r="AA374" s="199"/>
      <c r="AB374" s="199"/>
    </row>
    <row r="375" spans="1:28" ht="12.75">
      <c r="A375" s="199"/>
      <c r="B375" s="199"/>
      <c r="C375" s="199"/>
      <c r="D375" s="199"/>
      <c r="E375" s="199"/>
      <c r="F375" s="199"/>
      <c r="G375" s="244"/>
      <c r="H375" s="199"/>
      <c r="I375" s="199"/>
      <c r="J375" s="199"/>
      <c r="K375" s="199"/>
      <c r="L375" s="199"/>
      <c r="M375" s="199"/>
      <c r="N375" s="199"/>
      <c r="O375" s="199"/>
      <c r="P375" s="199"/>
      <c r="Q375" s="199"/>
      <c r="R375" s="199"/>
      <c r="S375" s="199"/>
      <c r="T375" s="199"/>
      <c r="U375" s="199"/>
      <c r="V375" s="199"/>
      <c r="W375" s="199"/>
      <c r="X375" s="199"/>
      <c r="Y375" s="199"/>
      <c r="Z375" s="199"/>
      <c r="AA375" s="199"/>
      <c r="AB375" s="199"/>
    </row>
    <row r="376" spans="1:28" ht="12.75">
      <c r="A376" s="199"/>
      <c r="B376" s="199"/>
      <c r="C376" s="199"/>
      <c r="D376" s="199"/>
      <c r="E376" s="199"/>
      <c r="F376" s="199"/>
      <c r="G376" s="244"/>
      <c r="H376" s="199"/>
      <c r="I376" s="199"/>
      <c r="J376" s="199"/>
      <c r="K376" s="199"/>
      <c r="L376" s="199"/>
      <c r="M376" s="199"/>
      <c r="N376" s="199"/>
      <c r="O376" s="199"/>
      <c r="P376" s="199"/>
      <c r="Q376" s="199"/>
      <c r="R376" s="199"/>
      <c r="S376" s="199"/>
      <c r="T376" s="199"/>
      <c r="U376" s="199"/>
      <c r="V376" s="199"/>
      <c r="W376" s="199"/>
      <c r="X376" s="199"/>
      <c r="Y376" s="199"/>
      <c r="Z376" s="199"/>
      <c r="AA376" s="199"/>
      <c r="AB376" s="199"/>
    </row>
    <row r="377" spans="1:28" ht="12.75">
      <c r="A377" s="199"/>
      <c r="B377" s="199"/>
      <c r="C377" s="199"/>
      <c r="D377" s="199"/>
      <c r="E377" s="199"/>
      <c r="F377" s="199"/>
      <c r="G377" s="244"/>
      <c r="H377" s="199"/>
      <c r="I377" s="199"/>
      <c r="J377" s="199"/>
      <c r="K377" s="199"/>
      <c r="L377" s="199"/>
      <c r="M377" s="199"/>
      <c r="N377" s="199"/>
      <c r="O377" s="199"/>
      <c r="P377" s="199"/>
      <c r="Q377" s="199"/>
      <c r="R377" s="199"/>
      <c r="S377" s="199"/>
      <c r="T377" s="199"/>
      <c r="U377" s="199"/>
      <c r="V377" s="199"/>
      <c r="W377" s="199"/>
      <c r="X377" s="199"/>
      <c r="Y377" s="199"/>
      <c r="Z377" s="199"/>
      <c r="AA377" s="199"/>
      <c r="AB377" s="199"/>
    </row>
    <row r="378" spans="1:28" ht="12.75">
      <c r="A378" s="199"/>
      <c r="B378" s="199"/>
      <c r="C378" s="199"/>
      <c r="D378" s="199"/>
      <c r="E378" s="199"/>
      <c r="F378" s="199"/>
      <c r="G378" s="244"/>
      <c r="H378" s="199"/>
      <c r="I378" s="199"/>
      <c r="J378" s="199"/>
      <c r="K378" s="199"/>
      <c r="L378" s="199"/>
      <c r="M378" s="199"/>
      <c r="N378" s="199"/>
      <c r="O378" s="199"/>
      <c r="P378" s="199"/>
      <c r="Q378" s="199"/>
      <c r="R378" s="199"/>
      <c r="S378" s="199"/>
      <c r="T378" s="199"/>
      <c r="U378" s="199"/>
      <c r="V378" s="199"/>
      <c r="W378" s="199"/>
      <c r="X378" s="199"/>
      <c r="Y378" s="199"/>
      <c r="Z378" s="199"/>
      <c r="AA378" s="199"/>
      <c r="AB378" s="199"/>
    </row>
    <row r="379" spans="1:28" ht="12.75">
      <c r="A379" s="199"/>
      <c r="B379" s="199"/>
      <c r="C379" s="199"/>
      <c r="D379" s="199"/>
      <c r="E379" s="199"/>
      <c r="F379" s="199"/>
      <c r="G379" s="244"/>
      <c r="H379" s="199"/>
      <c r="I379" s="199"/>
      <c r="J379" s="199"/>
      <c r="K379" s="199"/>
      <c r="L379" s="199"/>
      <c r="M379" s="199"/>
      <c r="N379" s="199"/>
      <c r="O379" s="199"/>
      <c r="P379" s="199"/>
      <c r="Q379" s="199"/>
      <c r="R379" s="199"/>
      <c r="S379" s="199"/>
      <c r="T379" s="199"/>
      <c r="U379" s="199"/>
      <c r="V379" s="199"/>
      <c r="W379" s="199"/>
      <c r="X379" s="199"/>
      <c r="Y379" s="199"/>
      <c r="Z379" s="199"/>
      <c r="AA379" s="199"/>
      <c r="AB379" s="199"/>
    </row>
    <row r="380" spans="1:28" ht="12.75">
      <c r="A380" s="199"/>
      <c r="B380" s="199"/>
      <c r="C380" s="199"/>
      <c r="D380" s="199"/>
      <c r="E380" s="199"/>
      <c r="F380" s="199"/>
      <c r="G380" s="244"/>
      <c r="H380" s="199"/>
      <c r="I380" s="199"/>
      <c r="J380" s="199"/>
      <c r="K380" s="199"/>
      <c r="L380" s="199"/>
      <c r="M380" s="199"/>
      <c r="N380" s="199"/>
      <c r="O380" s="199"/>
      <c r="P380" s="199"/>
      <c r="Q380" s="199"/>
      <c r="R380" s="199"/>
      <c r="S380" s="199"/>
      <c r="T380" s="199"/>
      <c r="U380" s="199"/>
      <c r="V380" s="199"/>
      <c r="W380" s="199"/>
      <c r="X380" s="199"/>
      <c r="Y380" s="199"/>
      <c r="Z380" s="199"/>
      <c r="AA380" s="199"/>
      <c r="AB380" s="199"/>
    </row>
    <row r="381" spans="1:28" ht="12.75">
      <c r="A381" s="199"/>
      <c r="B381" s="199"/>
      <c r="C381" s="199"/>
      <c r="D381" s="199"/>
      <c r="E381" s="199"/>
      <c r="F381" s="199"/>
      <c r="G381" s="244"/>
      <c r="H381" s="199"/>
      <c r="I381" s="199"/>
      <c r="J381" s="199"/>
      <c r="K381" s="199"/>
      <c r="L381" s="199"/>
      <c r="M381" s="199"/>
      <c r="N381" s="199"/>
      <c r="O381" s="199"/>
      <c r="P381" s="199"/>
      <c r="Q381" s="199"/>
      <c r="R381" s="199"/>
      <c r="S381" s="199"/>
      <c r="T381" s="199"/>
      <c r="U381" s="199"/>
      <c r="V381" s="199"/>
      <c r="W381" s="199"/>
      <c r="X381" s="199"/>
      <c r="Y381" s="199"/>
      <c r="Z381" s="199"/>
      <c r="AA381" s="199"/>
      <c r="AB381" s="199"/>
    </row>
    <row r="382" spans="1:28" ht="12.75">
      <c r="A382" s="199"/>
      <c r="B382" s="199"/>
      <c r="C382" s="199"/>
      <c r="D382" s="199"/>
      <c r="E382" s="199"/>
      <c r="F382" s="199"/>
      <c r="G382" s="244"/>
      <c r="H382" s="199"/>
      <c r="I382" s="199"/>
      <c r="J382" s="199"/>
      <c r="K382" s="199"/>
      <c r="L382" s="199"/>
      <c r="M382" s="199"/>
      <c r="N382" s="199"/>
      <c r="O382" s="199"/>
      <c r="P382" s="199"/>
      <c r="Q382" s="199"/>
      <c r="R382" s="199"/>
      <c r="S382" s="199"/>
      <c r="T382" s="199"/>
      <c r="U382" s="199"/>
      <c r="V382" s="199"/>
      <c r="W382" s="199"/>
      <c r="X382" s="199"/>
      <c r="Y382" s="199"/>
      <c r="Z382" s="199"/>
      <c r="AA382" s="199"/>
      <c r="AB382" s="199"/>
    </row>
    <row r="383" spans="1:28" ht="12.75">
      <c r="A383" s="199"/>
      <c r="B383" s="199"/>
      <c r="C383" s="199"/>
      <c r="D383" s="199"/>
      <c r="E383" s="199"/>
      <c r="F383" s="199"/>
      <c r="G383" s="244"/>
      <c r="H383" s="199"/>
      <c r="I383" s="199"/>
      <c r="J383" s="199"/>
      <c r="K383" s="199"/>
      <c r="L383" s="199"/>
      <c r="M383" s="199"/>
      <c r="N383" s="199"/>
      <c r="O383" s="199"/>
      <c r="P383" s="199"/>
      <c r="Q383" s="199"/>
      <c r="R383" s="199"/>
      <c r="S383" s="199"/>
      <c r="T383" s="199"/>
      <c r="U383" s="199"/>
      <c r="V383" s="199"/>
      <c r="W383" s="199"/>
      <c r="X383" s="199"/>
      <c r="Y383" s="199"/>
      <c r="Z383" s="199"/>
      <c r="AA383" s="199"/>
      <c r="AB383" s="199"/>
    </row>
    <row r="384" spans="1:28" ht="12.75">
      <c r="A384" s="199"/>
      <c r="B384" s="199"/>
      <c r="C384" s="199"/>
      <c r="D384" s="199"/>
      <c r="E384" s="199"/>
      <c r="F384" s="199"/>
      <c r="G384" s="244"/>
      <c r="H384" s="199"/>
      <c r="I384" s="199"/>
      <c r="J384" s="199"/>
      <c r="K384" s="199"/>
      <c r="L384" s="199"/>
      <c r="M384" s="199"/>
      <c r="N384" s="199"/>
      <c r="O384" s="199"/>
      <c r="P384" s="199"/>
      <c r="Q384" s="199"/>
      <c r="R384" s="199"/>
      <c r="S384" s="199"/>
      <c r="T384" s="199"/>
      <c r="U384" s="199"/>
      <c r="V384" s="199"/>
      <c r="W384" s="199"/>
      <c r="X384" s="199"/>
      <c r="Y384" s="199"/>
      <c r="Z384" s="199"/>
      <c r="AA384" s="199"/>
      <c r="AB384" s="199"/>
    </row>
    <row r="385" spans="1:28" ht="12.75">
      <c r="A385" s="199"/>
      <c r="B385" s="199"/>
      <c r="C385" s="199"/>
      <c r="D385" s="199"/>
      <c r="E385" s="199"/>
      <c r="F385" s="199"/>
      <c r="G385" s="244"/>
      <c r="H385" s="199"/>
      <c r="I385" s="199"/>
      <c r="J385" s="199"/>
      <c r="K385" s="199"/>
      <c r="L385" s="199"/>
      <c r="M385" s="199"/>
      <c r="N385" s="199"/>
      <c r="O385" s="199"/>
      <c r="P385" s="199"/>
      <c r="Q385" s="199"/>
      <c r="R385" s="199"/>
      <c r="S385" s="199"/>
      <c r="T385" s="199"/>
      <c r="U385" s="199"/>
      <c r="V385" s="199"/>
      <c r="W385" s="199"/>
      <c r="X385" s="199"/>
      <c r="Y385" s="199"/>
      <c r="Z385" s="199"/>
      <c r="AA385" s="199"/>
      <c r="AB385" s="199"/>
    </row>
    <row r="386" spans="1:28" ht="12.75">
      <c r="A386" s="199"/>
      <c r="B386" s="199"/>
      <c r="C386" s="199"/>
      <c r="D386" s="199"/>
      <c r="E386" s="199"/>
      <c r="F386" s="199"/>
      <c r="G386" s="244"/>
      <c r="H386" s="199"/>
      <c r="I386" s="199"/>
      <c r="J386" s="199"/>
      <c r="K386" s="199"/>
      <c r="L386" s="199"/>
      <c r="M386" s="199"/>
      <c r="N386" s="199"/>
      <c r="O386" s="199"/>
      <c r="P386" s="199"/>
      <c r="Q386" s="199"/>
      <c r="R386" s="199"/>
      <c r="S386" s="199"/>
      <c r="T386" s="199"/>
      <c r="U386" s="199"/>
      <c r="V386" s="199"/>
      <c r="W386" s="199"/>
      <c r="X386" s="199"/>
      <c r="Y386" s="199"/>
      <c r="Z386" s="199"/>
      <c r="AA386" s="199"/>
      <c r="AB386" s="199"/>
    </row>
    <row r="387" spans="1:28" ht="12.75">
      <c r="A387" s="199"/>
      <c r="B387" s="199"/>
      <c r="C387" s="199"/>
      <c r="D387" s="199"/>
      <c r="E387" s="199"/>
      <c r="F387" s="199"/>
      <c r="G387" s="244"/>
      <c r="H387" s="199"/>
      <c r="I387" s="199"/>
      <c r="J387" s="199"/>
      <c r="K387" s="199"/>
      <c r="L387" s="199"/>
      <c r="M387" s="199"/>
      <c r="N387" s="199"/>
      <c r="O387" s="199"/>
      <c r="P387" s="199"/>
      <c r="Q387" s="199"/>
      <c r="R387" s="199"/>
      <c r="S387" s="199"/>
      <c r="T387" s="199"/>
      <c r="U387" s="199"/>
      <c r="V387" s="199"/>
      <c r="W387" s="199"/>
      <c r="X387" s="199"/>
      <c r="Y387" s="199"/>
      <c r="Z387" s="199"/>
      <c r="AA387" s="199"/>
      <c r="AB387" s="199"/>
    </row>
    <row r="388" spans="1:28" ht="12.75">
      <c r="A388" s="199"/>
      <c r="B388" s="199"/>
      <c r="C388" s="199"/>
      <c r="D388" s="199"/>
      <c r="E388" s="199"/>
      <c r="F388" s="199"/>
      <c r="G388" s="244"/>
      <c r="H388" s="199"/>
      <c r="I388" s="199"/>
      <c r="J388" s="199"/>
      <c r="K388" s="199"/>
      <c r="L388" s="199"/>
      <c r="M388" s="199"/>
      <c r="N388" s="199"/>
      <c r="O388" s="199"/>
      <c r="P388" s="199"/>
      <c r="Q388" s="199"/>
      <c r="R388" s="199"/>
      <c r="S388" s="199"/>
      <c r="T388" s="199"/>
      <c r="U388" s="199"/>
      <c r="V388" s="199"/>
      <c r="W388" s="199"/>
      <c r="X388" s="199"/>
      <c r="Y388" s="199"/>
      <c r="Z388" s="199"/>
      <c r="AA388" s="199"/>
      <c r="AB388" s="199"/>
    </row>
    <row r="389" spans="1:28" ht="12.75">
      <c r="A389" s="199"/>
      <c r="B389" s="199"/>
      <c r="C389" s="199"/>
      <c r="D389" s="199"/>
      <c r="E389" s="199"/>
      <c r="F389" s="199"/>
      <c r="G389" s="244"/>
      <c r="H389" s="199"/>
      <c r="I389" s="199"/>
      <c r="J389" s="199"/>
      <c r="K389" s="199"/>
      <c r="L389" s="199"/>
      <c r="M389" s="199"/>
      <c r="N389" s="199"/>
      <c r="O389" s="199"/>
      <c r="P389" s="199"/>
      <c r="Q389" s="199"/>
      <c r="R389" s="199"/>
      <c r="S389" s="199"/>
      <c r="T389" s="199"/>
      <c r="U389" s="199"/>
      <c r="V389" s="199"/>
      <c r="W389" s="199"/>
      <c r="X389" s="199"/>
      <c r="Y389" s="199"/>
      <c r="Z389" s="199"/>
      <c r="AA389" s="199"/>
      <c r="AB389" s="199"/>
    </row>
    <row r="390" spans="1:28" ht="12.75">
      <c r="A390" s="199"/>
      <c r="B390" s="199"/>
      <c r="C390" s="199"/>
      <c r="D390" s="199"/>
      <c r="E390" s="199"/>
      <c r="F390" s="199"/>
      <c r="G390" s="244"/>
      <c r="H390" s="199"/>
      <c r="I390" s="199"/>
      <c r="J390" s="199"/>
      <c r="K390" s="199"/>
      <c r="L390" s="199"/>
      <c r="M390" s="199"/>
      <c r="N390" s="199"/>
      <c r="O390" s="199"/>
      <c r="P390" s="199"/>
      <c r="Q390" s="199"/>
      <c r="R390" s="199"/>
      <c r="S390" s="199"/>
      <c r="T390" s="199"/>
      <c r="U390" s="199"/>
      <c r="V390" s="199"/>
      <c r="W390" s="199"/>
      <c r="X390" s="199"/>
      <c r="Y390" s="199"/>
      <c r="Z390" s="199"/>
      <c r="AA390" s="199"/>
      <c r="AB390" s="199"/>
    </row>
    <row r="391" spans="1:28" ht="12.75">
      <c r="A391" s="199"/>
      <c r="B391" s="199"/>
      <c r="C391" s="199"/>
      <c r="D391" s="199"/>
      <c r="E391" s="199"/>
      <c r="F391" s="199"/>
      <c r="G391" s="244"/>
      <c r="H391" s="199"/>
      <c r="I391" s="199"/>
      <c r="J391" s="199"/>
      <c r="K391" s="199"/>
      <c r="L391" s="199"/>
      <c r="M391" s="199"/>
      <c r="N391" s="199"/>
      <c r="O391" s="199"/>
      <c r="P391" s="199"/>
      <c r="Q391" s="199"/>
      <c r="R391" s="199"/>
      <c r="S391" s="199"/>
      <c r="T391" s="199"/>
      <c r="U391" s="199"/>
      <c r="V391" s="199"/>
      <c r="W391" s="199"/>
      <c r="X391" s="199"/>
      <c r="Y391" s="199"/>
      <c r="Z391" s="199"/>
      <c r="AA391" s="199"/>
      <c r="AB391" s="199"/>
    </row>
    <row r="392" spans="1:28" ht="12.75">
      <c r="A392" s="199"/>
      <c r="B392" s="199"/>
      <c r="C392" s="199"/>
      <c r="D392" s="199"/>
      <c r="E392" s="199"/>
      <c r="F392" s="199"/>
      <c r="G392" s="244"/>
      <c r="H392" s="199"/>
      <c r="I392" s="199"/>
      <c r="J392" s="199"/>
      <c r="K392" s="199"/>
      <c r="L392" s="199"/>
      <c r="M392" s="199"/>
      <c r="N392" s="199"/>
      <c r="O392" s="199"/>
      <c r="P392" s="199"/>
      <c r="Q392" s="199"/>
      <c r="R392" s="199"/>
      <c r="S392" s="199"/>
      <c r="T392" s="199"/>
      <c r="U392" s="199"/>
      <c r="V392" s="199"/>
      <c r="W392" s="199"/>
      <c r="X392" s="199"/>
      <c r="Y392" s="199"/>
      <c r="Z392" s="199"/>
      <c r="AA392" s="199"/>
      <c r="AB392" s="199"/>
    </row>
    <row r="393" spans="1:28" ht="12.75">
      <c r="A393" s="199"/>
      <c r="B393" s="199"/>
      <c r="C393" s="199"/>
      <c r="D393" s="199"/>
      <c r="E393" s="199"/>
      <c r="F393" s="199"/>
      <c r="G393" s="244"/>
      <c r="H393" s="199"/>
      <c r="I393" s="199"/>
      <c r="J393" s="199"/>
      <c r="K393" s="199"/>
      <c r="L393" s="199"/>
      <c r="M393" s="199"/>
      <c r="N393" s="199"/>
      <c r="O393" s="199"/>
      <c r="P393" s="199"/>
      <c r="Q393" s="199"/>
      <c r="R393" s="199"/>
      <c r="S393" s="199"/>
      <c r="T393" s="199"/>
      <c r="U393" s="199"/>
      <c r="V393" s="199"/>
      <c r="W393" s="199"/>
      <c r="X393" s="199"/>
      <c r="Y393" s="199"/>
      <c r="Z393" s="199"/>
      <c r="AA393" s="199"/>
      <c r="AB393" s="199"/>
    </row>
    <row r="394" spans="1:28" ht="12.75">
      <c r="A394" s="199"/>
      <c r="B394" s="199"/>
      <c r="C394" s="199"/>
      <c r="D394" s="199"/>
      <c r="E394" s="199"/>
      <c r="F394" s="199"/>
      <c r="G394" s="244"/>
      <c r="H394" s="199"/>
      <c r="I394" s="199"/>
      <c r="J394" s="199"/>
      <c r="K394" s="199"/>
      <c r="L394" s="199"/>
      <c r="M394" s="199"/>
      <c r="N394" s="199"/>
      <c r="O394" s="199"/>
      <c r="P394" s="199"/>
      <c r="Q394" s="199"/>
      <c r="R394" s="199"/>
      <c r="S394" s="199"/>
      <c r="T394" s="199"/>
      <c r="U394" s="199"/>
      <c r="V394" s="199"/>
      <c r="W394" s="199"/>
      <c r="X394" s="199"/>
      <c r="Y394" s="199"/>
      <c r="Z394" s="199"/>
      <c r="AA394" s="199"/>
      <c r="AB394" s="199"/>
    </row>
    <row r="395" spans="1:28" ht="12.75">
      <c r="A395" s="199"/>
      <c r="B395" s="199"/>
      <c r="C395" s="199"/>
      <c r="D395" s="199"/>
      <c r="E395" s="199"/>
      <c r="F395" s="199"/>
      <c r="G395" s="244"/>
      <c r="H395" s="199"/>
      <c r="I395" s="199"/>
      <c r="J395" s="199"/>
      <c r="K395" s="199"/>
      <c r="L395" s="199"/>
      <c r="M395" s="199"/>
      <c r="N395" s="199"/>
      <c r="O395" s="199"/>
      <c r="P395" s="199"/>
      <c r="Q395" s="199"/>
      <c r="R395" s="199"/>
      <c r="S395" s="199"/>
      <c r="T395" s="199"/>
      <c r="U395" s="199"/>
      <c r="V395" s="199"/>
      <c r="W395" s="199"/>
      <c r="X395" s="199"/>
      <c r="Y395" s="199"/>
      <c r="Z395" s="199"/>
      <c r="AA395" s="199"/>
      <c r="AB395" s="199"/>
    </row>
    <row r="396" spans="1:28" ht="12.75">
      <c r="A396" s="199"/>
      <c r="B396" s="199"/>
      <c r="C396" s="199"/>
      <c r="D396" s="199"/>
      <c r="E396" s="199"/>
      <c r="F396" s="199"/>
      <c r="G396" s="244"/>
      <c r="H396" s="199"/>
      <c r="I396" s="199"/>
      <c r="J396" s="199"/>
      <c r="K396" s="199"/>
      <c r="L396" s="199"/>
      <c r="M396" s="199"/>
      <c r="N396" s="199"/>
      <c r="O396" s="199"/>
      <c r="P396" s="199"/>
      <c r="Q396" s="199"/>
      <c r="R396" s="199"/>
      <c r="S396" s="199"/>
      <c r="T396" s="199"/>
      <c r="U396" s="199"/>
      <c r="V396" s="199"/>
      <c r="W396" s="199"/>
      <c r="X396" s="199"/>
      <c r="Y396" s="199"/>
      <c r="Z396" s="199"/>
      <c r="AA396" s="199"/>
      <c r="AB396" s="199"/>
    </row>
    <row r="397" spans="1:28" ht="12.75">
      <c r="A397" s="199"/>
      <c r="B397" s="199"/>
      <c r="C397" s="199"/>
      <c r="D397" s="199"/>
      <c r="E397" s="199"/>
      <c r="F397" s="199"/>
      <c r="G397" s="244"/>
      <c r="H397" s="199"/>
      <c r="I397" s="199"/>
      <c r="J397" s="199"/>
      <c r="K397" s="199"/>
      <c r="L397" s="199"/>
      <c r="M397" s="199"/>
      <c r="N397" s="199"/>
      <c r="O397" s="199"/>
      <c r="P397" s="199"/>
      <c r="Q397" s="199"/>
      <c r="R397" s="199"/>
      <c r="S397" s="199"/>
      <c r="T397" s="199"/>
      <c r="U397" s="199"/>
      <c r="V397" s="199"/>
      <c r="W397" s="199"/>
      <c r="X397" s="199"/>
      <c r="Y397" s="199"/>
      <c r="Z397" s="199"/>
      <c r="AA397" s="199"/>
      <c r="AB397" s="199"/>
    </row>
    <row r="398" spans="1:28" ht="12.75">
      <c r="A398" s="199"/>
      <c r="B398" s="199"/>
      <c r="C398" s="199"/>
      <c r="D398" s="199"/>
      <c r="E398" s="199"/>
      <c r="F398" s="199"/>
      <c r="G398" s="244"/>
      <c r="H398" s="199"/>
      <c r="I398" s="199"/>
      <c r="J398" s="199"/>
      <c r="K398" s="199"/>
      <c r="L398" s="199"/>
      <c r="M398" s="199"/>
      <c r="N398" s="199"/>
      <c r="O398" s="199"/>
      <c r="P398" s="199"/>
      <c r="Q398" s="199"/>
      <c r="R398" s="199"/>
      <c r="S398" s="199"/>
      <c r="T398" s="199"/>
      <c r="U398" s="199"/>
      <c r="V398" s="199"/>
      <c r="W398" s="199"/>
      <c r="X398" s="199"/>
      <c r="Y398" s="199"/>
      <c r="Z398" s="199"/>
      <c r="AA398" s="199"/>
      <c r="AB398" s="199"/>
    </row>
    <row r="399" spans="1:28" ht="12.75">
      <c r="A399" s="199"/>
      <c r="B399" s="199"/>
      <c r="C399" s="199"/>
      <c r="D399" s="199"/>
      <c r="E399" s="199"/>
      <c r="F399" s="199"/>
      <c r="G399" s="244"/>
      <c r="H399" s="199"/>
      <c r="I399" s="199"/>
      <c r="J399" s="199"/>
      <c r="K399" s="199"/>
      <c r="L399" s="199"/>
      <c r="M399" s="199"/>
      <c r="N399" s="199"/>
      <c r="O399" s="199"/>
      <c r="P399" s="199"/>
      <c r="Q399" s="199"/>
      <c r="R399" s="199"/>
      <c r="S399" s="199"/>
      <c r="T399" s="199"/>
      <c r="U399" s="199"/>
      <c r="V399" s="199"/>
      <c r="W399" s="199"/>
      <c r="X399" s="199"/>
      <c r="Y399" s="199"/>
      <c r="Z399" s="199"/>
      <c r="AA399" s="199"/>
      <c r="AB399" s="199"/>
    </row>
    <row r="400" spans="1:28" ht="12.75">
      <c r="A400" s="199"/>
      <c r="B400" s="199"/>
      <c r="C400" s="199"/>
      <c r="D400" s="199"/>
      <c r="E400" s="199"/>
      <c r="F400" s="199"/>
      <c r="G400" s="244"/>
      <c r="H400" s="199"/>
      <c r="I400" s="199"/>
      <c r="J400" s="199"/>
      <c r="K400" s="199"/>
      <c r="L400" s="199"/>
      <c r="M400" s="199"/>
      <c r="N400" s="199"/>
      <c r="O400" s="199"/>
      <c r="P400" s="199"/>
      <c r="Q400" s="199"/>
      <c r="R400" s="199"/>
      <c r="S400" s="199"/>
      <c r="T400" s="199"/>
      <c r="U400" s="199"/>
      <c r="V400" s="199"/>
      <c r="W400" s="199"/>
      <c r="X400" s="199"/>
      <c r="Y400" s="199"/>
      <c r="Z400" s="199"/>
      <c r="AA400" s="199"/>
      <c r="AB400" s="199"/>
    </row>
    <row r="401" spans="1:28" ht="12.75">
      <c r="A401" s="199"/>
      <c r="B401" s="199"/>
      <c r="C401" s="199"/>
      <c r="D401" s="199"/>
      <c r="E401" s="199"/>
      <c r="F401" s="199"/>
      <c r="G401" s="244"/>
      <c r="H401" s="199"/>
      <c r="I401" s="199"/>
      <c r="J401" s="199"/>
      <c r="K401" s="199"/>
      <c r="L401" s="199"/>
      <c r="M401" s="199"/>
      <c r="N401" s="199"/>
      <c r="O401" s="199"/>
      <c r="P401" s="199"/>
      <c r="Q401" s="199"/>
      <c r="R401" s="199"/>
      <c r="S401" s="199"/>
      <c r="T401" s="199"/>
      <c r="U401" s="199"/>
      <c r="V401" s="199"/>
      <c r="W401" s="199"/>
      <c r="X401" s="199"/>
      <c r="Y401" s="199"/>
      <c r="Z401" s="199"/>
      <c r="AA401" s="199"/>
      <c r="AB401" s="199"/>
    </row>
    <row r="402" spans="1:28" ht="12.75">
      <c r="A402" s="199"/>
      <c r="B402" s="199"/>
      <c r="C402" s="199"/>
      <c r="D402" s="199"/>
      <c r="E402" s="199"/>
      <c r="F402" s="199"/>
      <c r="G402" s="244"/>
      <c r="H402" s="199"/>
      <c r="I402" s="199"/>
      <c r="J402" s="199"/>
      <c r="K402" s="199"/>
      <c r="L402" s="199"/>
      <c r="M402" s="199"/>
      <c r="N402" s="199"/>
      <c r="O402" s="199"/>
      <c r="P402" s="199"/>
      <c r="Q402" s="199"/>
      <c r="R402" s="199"/>
      <c r="S402" s="199"/>
      <c r="T402" s="199"/>
      <c r="U402" s="199"/>
      <c r="V402" s="199"/>
      <c r="W402" s="199"/>
      <c r="X402" s="199"/>
      <c r="Y402" s="199"/>
      <c r="Z402" s="199"/>
      <c r="AA402" s="199"/>
      <c r="AB402" s="199"/>
    </row>
    <row r="403" spans="1:28" ht="12.75">
      <c r="A403" s="199"/>
      <c r="B403" s="199"/>
      <c r="C403" s="199"/>
      <c r="D403" s="199"/>
      <c r="E403" s="199"/>
      <c r="F403" s="199"/>
      <c r="G403" s="244"/>
      <c r="H403" s="199"/>
      <c r="I403" s="199"/>
      <c r="J403" s="199"/>
      <c r="K403" s="199"/>
      <c r="L403" s="199"/>
      <c r="M403" s="199"/>
      <c r="N403" s="199"/>
      <c r="O403" s="199"/>
      <c r="P403" s="199"/>
      <c r="Q403" s="199"/>
      <c r="R403" s="199"/>
      <c r="S403" s="199"/>
      <c r="T403" s="199"/>
      <c r="U403" s="199"/>
      <c r="V403" s="199"/>
      <c r="W403" s="199"/>
      <c r="X403" s="199"/>
      <c r="Y403" s="199"/>
      <c r="Z403" s="199"/>
      <c r="AA403" s="199"/>
      <c r="AB403" s="199"/>
    </row>
    <row r="404" spans="1:28" ht="12.75">
      <c r="A404" s="199"/>
      <c r="B404" s="199"/>
      <c r="C404" s="199"/>
      <c r="D404" s="199"/>
      <c r="E404" s="199"/>
      <c r="F404" s="199"/>
      <c r="G404" s="244"/>
      <c r="H404" s="199"/>
      <c r="I404" s="199"/>
      <c r="J404" s="199"/>
      <c r="K404" s="199"/>
      <c r="L404" s="199"/>
      <c r="M404" s="199"/>
      <c r="N404" s="199"/>
      <c r="O404" s="199"/>
      <c r="P404" s="199"/>
      <c r="Q404" s="199"/>
      <c r="R404" s="199"/>
      <c r="S404" s="199"/>
      <c r="T404" s="199"/>
      <c r="U404" s="199"/>
      <c r="V404" s="199"/>
      <c r="W404" s="199"/>
      <c r="X404" s="199"/>
      <c r="Y404" s="199"/>
      <c r="Z404" s="199"/>
      <c r="AA404" s="199"/>
      <c r="AB404" s="199"/>
    </row>
    <row r="405" spans="1:28" ht="12.75">
      <c r="A405" s="199"/>
      <c r="B405" s="199"/>
      <c r="C405" s="199"/>
      <c r="D405" s="199"/>
      <c r="E405" s="199"/>
      <c r="F405" s="199"/>
      <c r="G405" s="244"/>
      <c r="H405" s="199"/>
      <c r="I405" s="199"/>
      <c r="J405" s="199"/>
      <c r="K405" s="199"/>
      <c r="L405" s="199"/>
      <c r="M405" s="199"/>
      <c r="N405" s="199"/>
      <c r="O405" s="199"/>
      <c r="P405" s="199"/>
      <c r="Q405" s="199"/>
      <c r="R405" s="199"/>
      <c r="S405" s="199"/>
      <c r="T405" s="199"/>
      <c r="U405" s="199"/>
      <c r="V405" s="199"/>
      <c r="W405" s="199"/>
      <c r="X405" s="199"/>
      <c r="Y405" s="199"/>
      <c r="Z405" s="199"/>
      <c r="AA405" s="199"/>
      <c r="AB405" s="199"/>
    </row>
    <row r="406" spans="1:28" ht="12.75">
      <c r="A406" s="199"/>
      <c r="B406" s="199"/>
      <c r="C406" s="199"/>
      <c r="D406" s="199"/>
      <c r="E406" s="199"/>
      <c r="F406" s="199"/>
      <c r="G406" s="244"/>
      <c r="H406" s="199"/>
      <c r="I406" s="199"/>
      <c r="J406" s="199"/>
      <c r="K406" s="199"/>
      <c r="L406" s="199"/>
      <c r="M406" s="199"/>
      <c r="N406" s="199"/>
      <c r="O406" s="199"/>
      <c r="P406" s="199"/>
      <c r="Q406" s="199"/>
      <c r="R406" s="199"/>
      <c r="S406" s="199"/>
      <c r="T406" s="199"/>
      <c r="U406" s="199"/>
      <c r="V406" s="199"/>
      <c r="W406" s="199"/>
      <c r="X406" s="199"/>
      <c r="Y406" s="199"/>
      <c r="Z406" s="199"/>
      <c r="AA406" s="199"/>
      <c r="AB406" s="199"/>
    </row>
    <row r="407" spans="1:28" ht="12.75">
      <c r="A407" s="199"/>
      <c r="B407" s="199"/>
      <c r="C407" s="199"/>
      <c r="D407" s="199"/>
      <c r="E407" s="199"/>
      <c r="F407" s="199"/>
      <c r="G407" s="244"/>
      <c r="H407" s="199"/>
      <c r="I407" s="199"/>
      <c r="J407" s="199"/>
      <c r="K407" s="199"/>
      <c r="L407" s="199"/>
      <c r="M407" s="199"/>
      <c r="N407" s="199"/>
      <c r="O407" s="199"/>
      <c r="P407" s="199"/>
      <c r="Q407" s="199"/>
      <c r="R407" s="199"/>
      <c r="S407" s="199"/>
      <c r="T407" s="199"/>
      <c r="U407" s="199"/>
      <c r="V407" s="199"/>
      <c r="W407" s="199"/>
      <c r="X407" s="199"/>
      <c r="Y407" s="199"/>
      <c r="Z407" s="199"/>
      <c r="AA407" s="199"/>
      <c r="AB407" s="199"/>
    </row>
    <row r="408" spans="1:28" ht="12.75">
      <c r="A408" s="199"/>
      <c r="B408" s="199"/>
      <c r="C408" s="199"/>
      <c r="D408" s="199"/>
      <c r="E408" s="199"/>
      <c r="F408" s="199"/>
      <c r="G408" s="244"/>
      <c r="H408" s="199"/>
      <c r="I408" s="199"/>
      <c r="J408" s="199"/>
      <c r="K408" s="199"/>
      <c r="L408" s="199"/>
      <c r="M408" s="199"/>
      <c r="N408" s="199"/>
      <c r="O408" s="199"/>
      <c r="P408" s="199"/>
      <c r="Q408" s="199"/>
      <c r="R408" s="199"/>
      <c r="S408" s="199"/>
      <c r="T408" s="199"/>
      <c r="U408" s="199"/>
      <c r="V408" s="199"/>
      <c r="W408" s="199"/>
      <c r="X408" s="199"/>
      <c r="Y408" s="199"/>
      <c r="Z408" s="199"/>
      <c r="AA408" s="199"/>
      <c r="AB408" s="199"/>
    </row>
    <row r="409" spans="1:28" ht="12.75">
      <c r="A409" s="199"/>
      <c r="B409" s="199"/>
      <c r="C409" s="199"/>
      <c r="D409" s="199"/>
      <c r="E409" s="199"/>
      <c r="F409" s="199"/>
      <c r="G409" s="244"/>
      <c r="H409" s="199"/>
      <c r="I409" s="199"/>
      <c r="J409" s="199"/>
      <c r="K409" s="199"/>
      <c r="L409" s="199"/>
      <c r="M409" s="199"/>
      <c r="N409" s="199"/>
      <c r="O409" s="199"/>
      <c r="P409" s="199"/>
      <c r="Q409" s="199"/>
      <c r="R409" s="199"/>
      <c r="S409" s="199"/>
      <c r="T409" s="199"/>
      <c r="U409" s="199"/>
      <c r="V409" s="199"/>
      <c r="W409" s="199"/>
      <c r="X409" s="199"/>
      <c r="Y409" s="199"/>
      <c r="Z409" s="199"/>
      <c r="AA409" s="199"/>
      <c r="AB409" s="199"/>
    </row>
    <row r="410" spans="1:28" ht="12.75">
      <c r="A410" s="199"/>
      <c r="B410" s="199"/>
      <c r="C410" s="199"/>
      <c r="D410" s="199"/>
      <c r="E410" s="199"/>
      <c r="F410" s="199"/>
      <c r="G410" s="244"/>
      <c r="H410" s="199"/>
      <c r="I410" s="199"/>
      <c r="J410" s="199"/>
      <c r="K410" s="199"/>
      <c r="L410" s="199"/>
      <c r="M410" s="199"/>
      <c r="N410" s="199"/>
      <c r="O410" s="199"/>
      <c r="P410" s="199"/>
      <c r="Q410" s="199"/>
      <c r="R410" s="199"/>
      <c r="S410" s="199"/>
      <c r="T410" s="199"/>
      <c r="U410" s="199"/>
      <c r="V410" s="199"/>
      <c r="W410" s="199"/>
      <c r="X410" s="199"/>
      <c r="Y410" s="199"/>
      <c r="Z410" s="199"/>
      <c r="AA410" s="199"/>
      <c r="AB410" s="199"/>
    </row>
    <row r="411" spans="1:28" ht="12.75">
      <c r="A411" s="199"/>
      <c r="B411" s="199"/>
      <c r="C411" s="199"/>
      <c r="D411" s="199"/>
      <c r="E411" s="199"/>
      <c r="F411" s="199"/>
      <c r="G411" s="244"/>
      <c r="H411" s="199"/>
      <c r="I411" s="199"/>
      <c r="J411" s="199"/>
      <c r="K411" s="199"/>
      <c r="L411" s="199"/>
      <c r="M411" s="199"/>
      <c r="N411" s="199"/>
      <c r="O411" s="199"/>
      <c r="P411" s="199"/>
      <c r="Q411" s="199"/>
      <c r="R411" s="199"/>
      <c r="S411" s="199"/>
      <c r="T411" s="199"/>
      <c r="U411" s="199"/>
      <c r="V411" s="199"/>
      <c r="W411" s="199"/>
      <c r="X411" s="199"/>
      <c r="Y411" s="199"/>
      <c r="Z411" s="199"/>
      <c r="AA411" s="199"/>
      <c r="AB411" s="199"/>
    </row>
    <row r="412" spans="1:28" ht="12.75">
      <c r="A412" s="199"/>
      <c r="B412" s="199"/>
      <c r="C412" s="199"/>
      <c r="D412" s="199"/>
      <c r="E412" s="199"/>
      <c r="F412" s="199"/>
      <c r="G412" s="244"/>
      <c r="H412" s="199"/>
      <c r="I412" s="199"/>
      <c r="J412" s="199"/>
      <c r="K412" s="199"/>
      <c r="L412" s="199"/>
      <c r="M412" s="199"/>
      <c r="N412" s="199"/>
      <c r="O412" s="199"/>
      <c r="P412" s="199"/>
      <c r="Q412" s="199"/>
      <c r="R412" s="199"/>
      <c r="S412" s="199"/>
      <c r="T412" s="199"/>
      <c r="U412" s="199"/>
      <c r="V412" s="199"/>
      <c r="W412" s="199"/>
      <c r="X412" s="199"/>
      <c r="Y412" s="199"/>
      <c r="Z412" s="199"/>
      <c r="AA412" s="199"/>
      <c r="AB412" s="199"/>
    </row>
    <row r="413" spans="1:28" ht="12.75">
      <c r="A413" s="199"/>
      <c r="B413" s="199"/>
      <c r="C413" s="199"/>
      <c r="D413" s="199"/>
      <c r="E413" s="199"/>
      <c r="F413" s="199"/>
      <c r="G413" s="244"/>
      <c r="H413" s="199"/>
      <c r="I413" s="199"/>
      <c r="J413" s="199"/>
      <c r="K413" s="199"/>
      <c r="L413" s="199"/>
      <c r="M413" s="199"/>
      <c r="N413" s="199"/>
      <c r="O413" s="199"/>
      <c r="P413" s="199"/>
      <c r="Q413" s="199"/>
      <c r="R413" s="199"/>
      <c r="S413" s="199"/>
      <c r="T413" s="199"/>
      <c r="U413" s="199"/>
      <c r="V413" s="199"/>
      <c r="W413" s="199"/>
      <c r="X413" s="199"/>
      <c r="Y413" s="199"/>
      <c r="Z413" s="199"/>
      <c r="AA413" s="199"/>
      <c r="AB413" s="199"/>
    </row>
    <row r="414" spans="1:28" ht="12.75">
      <c r="A414" s="199"/>
      <c r="B414" s="199"/>
      <c r="C414" s="199"/>
      <c r="D414" s="199"/>
      <c r="E414" s="199"/>
      <c r="F414" s="199"/>
      <c r="G414" s="244"/>
      <c r="H414" s="199"/>
      <c r="I414" s="199"/>
      <c r="J414" s="199"/>
      <c r="K414" s="199"/>
      <c r="L414" s="199"/>
      <c r="M414" s="199"/>
      <c r="N414" s="199"/>
      <c r="O414" s="199"/>
      <c r="P414" s="199"/>
      <c r="Q414" s="199"/>
      <c r="R414" s="199"/>
      <c r="S414" s="199"/>
      <c r="T414" s="199"/>
      <c r="U414" s="199"/>
      <c r="V414" s="199"/>
      <c r="W414" s="199"/>
      <c r="X414" s="199"/>
      <c r="Y414" s="199"/>
      <c r="Z414" s="199"/>
      <c r="AA414" s="199"/>
      <c r="AB414" s="199"/>
    </row>
    <row r="415" spans="1:28" ht="12.75">
      <c r="A415" s="199"/>
      <c r="B415" s="199"/>
      <c r="C415" s="199"/>
      <c r="D415" s="199"/>
      <c r="E415" s="199"/>
      <c r="F415" s="199"/>
      <c r="G415" s="244"/>
      <c r="H415" s="199"/>
      <c r="I415" s="199"/>
      <c r="J415" s="199"/>
      <c r="K415" s="199"/>
      <c r="L415" s="199"/>
      <c r="M415" s="199"/>
      <c r="N415" s="199"/>
      <c r="O415" s="199"/>
      <c r="P415" s="199"/>
      <c r="Q415" s="199"/>
      <c r="R415" s="199"/>
      <c r="S415" s="199"/>
      <c r="T415" s="199"/>
      <c r="U415" s="199"/>
      <c r="V415" s="199"/>
      <c r="W415" s="199"/>
      <c r="X415" s="199"/>
      <c r="Y415" s="199"/>
      <c r="Z415" s="199"/>
      <c r="AA415" s="199"/>
      <c r="AB415" s="199"/>
    </row>
    <row r="416" spans="1:28" ht="12.75">
      <c r="A416" s="199"/>
      <c r="B416" s="199"/>
      <c r="C416" s="199"/>
      <c r="D416" s="199"/>
      <c r="E416" s="199"/>
      <c r="F416" s="199"/>
      <c r="G416" s="244"/>
      <c r="H416" s="199"/>
      <c r="I416" s="199"/>
      <c r="J416" s="199"/>
      <c r="K416" s="199"/>
      <c r="L416" s="199"/>
      <c r="M416" s="199"/>
      <c r="N416" s="199"/>
      <c r="O416" s="199"/>
      <c r="P416" s="199"/>
      <c r="Q416" s="199"/>
      <c r="R416" s="199"/>
      <c r="S416" s="199"/>
      <c r="T416" s="199"/>
      <c r="U416" s="199"/>
      <c r="V416" s="199"/>
      <c r="W416" s="199"/>
      <c r="X416" s="199"/>
      <c r="Y416" s="199"/>
      <c r="Z416" s="199"/>
      <c r="AA416" s="199"/>
      <c r="AB416" s="199"/>
    </row>
    <row r="417" spans="1:28" ht="12.75">
      <c r="A417" s="199"/>
      <c r="B417" s="199"/>
      <c r="C417" s="199"/>
      <c r="D417" s="199"/>
      <c r="E417" s="199"/>
      <c r="F417" s="199"/>
      <c r="G417" s="244"/>
      <c r="H417" s="199"/>
      <c r="I417" s="199"/>
      <c r="J417" s="199"/>
      <c r="K417" s="199"/>
      <c r="L417" s="199"/>
      <c r="M417" s="199"/>
      <c r="N417" s="199"/>
      <c r="O417" s="199"/>
      <c r="P417" s="199"/>
      <c r="Q417" s="199"/>
      <c r="R417" s="199"/>
      <c r="S417" s="199"/>
      <c r="T417" s="199"/>
      <c r="U417" s="199"/>
      <c r="V417" s="199"/>
      <c r="W417" s="199"/>
      <c r="X417" s="199"/>
      <c r="Y417" s="199"/>
      <c r="Z417" s="199"/>
      <c r="AA417" s="199"/>
      <c r="AB417" s="199"/>
    </row>
    <row r="418" spans="1:28" ht="12.75">
      <c r="A418" s="199"/>
      <c r="B418" s="199"/>
      <c r="C418" s="199"/>
      <c r="D418" s="199"/>
      <c r="E418" s="199"/>
      <c r="F418" s="199"/>
      <c r="G418" s="244"/>
      <c r="H418" s="199"/>
      <c r="I418" s="199"/>
      <c r="J418" s="199"/>
      <c r="K418" s="199"/>
      <c r="L418" s="199"/>
      <c r="M418" s="199"/>
      <c r="N418" s="199"/>
      <c r="O418" s="199"/>
      <c r="P418" s="199"/>
      <c r="Q418" s="199"/>
      <c r="R418" s="199"/>
      <c r="S418" s="199"/>
      <c r="T418" s="199"/>
      <c r="U418" s="199"/>
      <c r="V418" s="199"/>
      <c r="W418" s="199"/>
      <c r="X418" s="199"/>
      <c r="Y418" s="199"/>
      <c r="Z418" s="199"/>
      <c r="AA418" s="199"/>
      <c r="AB418" s="199"/>
    </row>
    <row r="419" spans="1:28" ht="12.75">
      <c r="A419" s="199"/>
      <c r="B419" s="199"/>
      <c r="C419" s="199"/>
      <c r="D419" s="199"/>
      <c r="E419" s="199"/>
      <c r="F419" s="199"/>
      <c r="G419" s="244"/>
      <c r="H419" s="199"/>
      <c r="I419" s="199"/>
      <c r="J419" s="199"/>
      <c r="K419" s="199"/>
      <c r="L419" s="199"/>
      <c r="M419" s="199"/>
      <c r="N419" s="199"/>
      <c r="O419" s="199"/>
      <c r="P419" s="199"/>
      <c r="Q419" s="199"/>
      <c r="R419" s="199"/>
      <c r="S419" s="199"/>
      <c r="T419" s="199"/>
      <c r="U419" s="199"/>
      <c r="V419" s="199"/>
      <c r="W419" s="199"/>
      <c r="X419" s="199"/>
      <c r="Y419" s="199"/>
      <c r="Z419" s="199"/>
      <c r="AA419" s="199"/>
      <c r="AB419" s="199"/>
    </row>
    <row r="420" spans="1:28" ht="12.75">
      <c r="A420" s="199"/>
      <c r="B420" s="199"/>
      <c r="C420" s="199"/>
      <c r="D420" s="199"/>
      <c r="E420" s="199"/>
      <c r="F420" s="199"/>
      <c r="G420" s="244"/>
      <c r="H420" s="199"/>
      <c r="I420" s="199"/>
      <c r="J420" s="199"/>
      <c r="K420" s="199"/>
      <c r="L420" s="199"/>
      <c r="M420" s="199"/>
      <c r="N420" s="199"/>
      <c r="O420" s="199"/>
      <c r="P420" s="199"/>
      <c r="Q420" s="199"/>
      <c r="R420" s="199"/>
      <c r="S420" s="199"/>
      <c r="T420" s="199"/>
      <c r="U420" s="199"/>
      <c r="V420" s="199"/>
      <c r="W420" s="199"/>
      <c r="X420" s="199"/>
      <c r="Y420" s="199"/>
      <c r="Z420" s="199"/>
      <c r="AA420" s="199"/>
      <c r="AB420" s="199"/>
    </row>
    <row r="421" spans="1:28" ht="12.75">
      <c r="A421" s="199"/>
      <c r="B421" s="199"/>
      <c r="C421" s="199"/>
      <c r="D421" s="199"/>
      <c r="E421" s="199"/>
      <c r="F421" s="199"/>
      <c r="G421" s="244"/>
      <c r="H421" s="199"/>
      <c r="I421" s="199"/>
      <c r="J421" s="199"/>
      <c r="K421" s="199"/>
      <c r="L421" s="199"/>
      <c r="M421" s="199"/>
      <c r="N421" s="199"/>
      <c r="O421" s="199"/>
      <c r="P421" s="199"/>
      <c r="Q421" s="199"/>
      <c r="R421" s="199"/>
      <c r="S421" s="199"/>
      <c r="T421" s="199"/>
      <c r="U421" s="199"/>
      <c r="V421" s="199"/>
      <c r="W421" s="199"/>
      <c r="X421" s="199"/>
      <c r="Y421" s="199"/>
      <c r="Z421" s="199"/>
      <c r="AA421" s="199"/>
      <c r="AB421" s="199"/>
    </row>
    <row r="422" spans="1:28" ht="12.75">
      <c r="A422" s="199"/>
      <c r="B422" s="199"/>
      <c r="C422" s="199"/>
      <c r="D422" s="199"/>
      <c r="E422" s="199"/>
      <c r="F422" s="199"/>
      <c r="G422" s="244"/>
      <c r="H422" s="199"/>
      <c r="I422" s="199"/>
      <c r="J422" s="199"/>
      <c r="K422" s="199"/>
      <c r="L422" s="199"/>
      <c r="M422" s="199"/>
      <c r="N422" s="199"/>
      <c r="O422" s="199"/>
      <c r="P422" s="199"/>
      <c r="Q422" s="199"/>
      <c r="R422" s="199"/>
      <c r="S422" s="199"/>
      <c r="T422" s="199"/>
      <c r="U422" s="199"/>
      <c r="V422" s="199"/>
      <c r="W422" s="199"/>
      <c r="X422" s="199"/>
      <c r="Y422" s="199"/>
      <c r="Z422" s="199"/>
      <c r="AA422" s="199"/>
      <c r="AB422" s="199"/>
    </row>
    <row r="423" spans="1:28" ht="12.75">
      <c r="A423" s="199"/>
      <c r="B423" s="199"/>
      <c r="C423" s="199"/>
      <c r="D423" s="199"/>
      <c r="E423" s="199"/>
      <c r="F423" s="199"/>
      <c r="G423" s="244"/>
      <c r="H423" s="199"/>
      <c r="I423" s="199"/>
      <c r="J423" s="199"/>
      <c r="K423" s="199"/>
      <c r="L423" s="199"/>
      <c r="M423" s="199"/>
      <c r="N423" s="199"/>
      <c r="O423" s="199"/>
      <c r="P423" s="199"/>
      <c r="Q423" s="199"/>
      <c r="R423" s="199"/>
      <c r="S423" s="199"/>
      <c r="T423" s="199"/>
      <c r="U423" s="199"/>
      <c r="V423" s="199"/>
      <c r="W423" s="199"/>
      <c r="X423" s="199"/>
      <c r="Y423" s="199"/>
      <c r="Z423" s="199"/>
      <c r="AA423" s="199"/>
      <c r="AB423" s="199"/>
    </row>
    <row r="424" spans="1:28" ht="12.75">
      <c r="A424" s="199"/>
      <c r="B424" s="199"/>
      <c r="C424" s="199"/>
      <c r="D424" s="199"/>
      <c r="E424" s="199"/>
      <c r="F424" s="199"/>
      <c r="G424" s="244"/>
      <c r="H424" s="199"/>
      <c r="I424" s="199"/>
      <c r="J424" s="199"/>
      <c r="K424" s="199"/>
      <c r="L424" s="199"/>
      <c r="M424" s="199"/>
      <c r="N424" s="199"/>
      <c r="O424" s="199"/>
      <c r="P424" s="199"/>
      <c r="Q424" s="199"/>
      <c r="R424" s="199"/>
      <c r="S424" s="199"/>
      <c r="T424" s="199"/>
      <c r="U424" s="199"/>
      <c r="V424" s="199"/>
      <c r="W424" s="199"/>
      <c r="X424" s="199"/>
      <c r="Y424" s="199"/>
      <c r="Z424" s="199"/>
      <c r="AA424" s="199"/>
      <c r="AB424" s="199"/>
    </row>
    <row r="425" spans="1:28" ht="12.75">
      <c r="A425" s="199"/>
      <c r="B425" s="199"/>
      <c r="C425" s="199"/>
      <c r="D425" s="199"/>
      <c r="E425" s="199"/>
      <c r="F425" s="199"/>
      <c r="G425" s="244"/>
      <c r="H425" s="199"/>
      <c r="I425" s="199"/>
      <c r="J425" s="199"/>
      <c r="K425" s="199"/>
      <c r="L425" s="199"/>
      <c r="M425" s="199"/>
      <c r="N425" s="199"/>
      <c r="O425" s="199"/>
      <c r="P425" s="199"/>
      <c r="Q425" s="199"/>
      <c r="R425" s="199"/>
      <c r="S425" s="199"/>
      <c r="T425" s="199"/>
      <c r="U425" s="199"/>
      <c r="V425" s="199"/>
      <c r="W425" s="199"/>
      <c r="X425" s="199"/>
      <c r="Y425" s="199"/>
      <c r="Z425" s="199"/>
      <c r="AA425" s="199"/>
      <c r="AB425" s="199"/>
    </row>
    <row r="426" spans="1:28" ht="12.75">
      <c r="A426" s="199"/>
      <c r="B426" s="199"/>
      <c r="C426" s="199"/>
      <c r="D426" s="199"/>
      <c r="E426" s="199"/>
      <c r="F426" s="199"/>
      <c r="G426" s="244"/>
      <c r="H426" s="199"/>
      <c r="I426" s="199"/>
      <c r="J426" s="199"/>
      <c r="K426" s="199"/>
      <c r="L426" s="199"/>
      <c r="M426" s="199"/>
      <c r="N426" s="199"/>
      <c r="O426" s="199"/>
      <c r="P426" s="199"/>
      <c r="Q426" s="199"/>
      <c r="R426" s="199"/>
      <c r="S426" s="199"/>
      <c r="T426" s="199"/>
      <c r="U426" s="199"/>
      <c r="V426" s="199"/>
      <c r="W426" s="199"/>
      <c r="X426" s="199"/>
      <c r="Y426" s="199"/>
      <c r="Z426" s="199"/>
      <c r="AA426" s="199"/>
      <c r="AB426" s="199"/>
    </row>
    <row r="427" spans="1:28" ht="12.75">
      <c r="A427" s="199"/>
      <c r="B427" s="199"/>
      <c r="C427" s="199"/>
      <c r="D427" s="199"/>
      <c r="E427" s="199"/>
      <c r="F427" s="199"/>
      <c r="G427" s="244"/>
      <c r="H427" s="199"/>
      <c r="I427" s="199"/>
      <c r="J427" s="199"/>
      <c r="K427" s="199"/>
      <c r="L427" s="199"/>
      <c r="M427" s="199"/>
      <c r="N427" s="199"/>
      <c r="O427" s="199"/>
      <c r="P427" s="199"/>
      <c r="Q427" s="199"/>
      <c r="R427" s="199"/>
      <c r="S427" s="199"/>
      <c r="T427" s="199"/>
      <c r="U427" s="199"/>
      <c r="V427" s="199"/>
      <c r="W427" s="199"/>
      <c r="X427" s="199"/>
      <c r="Y427" s="199"/>
      <c r="Z427" s="199"/>
      <c r="AA427" s="199"/>
      <c r="AB427" s="199"/>
    </row>
    <row r="428" spans="1:28" ht="12.75">
      <c r="A428" s="199"/>
      <c r="B428" s="199"/>
      <c r="C428" s="199"/>
      <c r="D428" s="199"/>
      <c r="E428" s="199"/>
      <c r="F428" s="199"/>
      <c r="G428" s="244"/>
      <c r="H428" s="199"/>
      <c r="I428" s="199"/>
      <c r="J428" s="199"/>
      <c r="K428" s="199"/>
      <c r="L428" s="199"/>
      <c r="M428" s="199"/>
      <c r="N428" s="199"/>
      <c r="O428" s="199"/>
      <c r="P428" s="199"/>
      <c r="Q428" s="199"/>
      <c r="R428" s="199"/>
      <c r="S428" s="199"/>
      <c r="T428" s="199"/>
      <c r="U428" s="199"/>
      <c r="V428" s="199"/>
      <c r="W428" s="199"/>
      <c r="X428" s="199"/>
      <c r="Y428" s="199"/>
      <c r="Z428" s="199"/>
      <c r="AA428" s="199"/>
      <c r="AB428" s="199"/>
    </row>
    <row r="429" spans="1:28" ht="12.75">
      <c r="A429" s="199"/>
      <c r="B429" s="199"/>
      <c r="C429" s="199"/>
      <c r="D429" s="199"/>
      <c r="E429" s="199"/>
      <c r="F429" s="199"/>
      <c r="G429" s="244"/>
      <c r="H429" s="199"/>
      <c r="I429" s="199"/>
      <c r="J429" s="199"/>
      <c r="K429" s="199"/>
      <c r="L429" s="199"/>
      <c r="M429" s="199"/>
      <c r="N429" s="199"/>
      <c r="O429" s="199"/>
      <c r="P429" s="199"/>
      <c r="Q429" s="199"/>
      <c r="R429" s="199"/>
      <c r="S429" s="199"/>
      <c r="T429" s="199"/>
      <c r="U429" s="199"/>
      <c r="V429" s="199"/>
      <c r="W429" s="199"/>
      <c r="X429" s="199"/>
      <c r="Y429" s="199"/>
      <c r="Z429" s="199"/>
      <c r="AA429" s="199"/>
      <c r="AB429" s="199"/>
    </row>
    <row r="430" spans="1:28" ht="12.75">
      <c r="A430" s="199"/>
      <c r="B430" s="199"/>
      <c r="C430" s="199"/>
      <c r="D430" s="199"/>
      <c r="E430" s="199"/>
      <c r="F430" s="199"/>
      <c r="G430" s="244"/>
      <c r="H430" s="199"/>
      <c r="I430" s="199"/>
      <c r="J430" s="199"/>
      <c r="K430" s="199"/>
      <c r="L430" s="199"/>
      <c r="M430" s="199"/>
      <c r="N430" s="199"/>
      <c r="O430" s="199"/>
      <c r="P430" s="199"/>
      <c r="Q430" s="199"/>
      <c r="R430" s="199"/>
      <c r="S430" s="199"/>
      <c r="T430" s="199"/>
      <c r="U430" s="199"/>
      <c r="V430" s="199"/>
      <c r="W430" s="199"/>
      <c r="X430" s="199"/>
      <c r="Y430" s="199"/>
      <c r="Z430" s="199"/>
      <c r="AA430" s="199"/>
      <c r="AB430" s="199"/>
    </row>
    <row r="431" spans="1:28" ht="12.75">
      <c r="A431" s="199"/>
      <c r="B431" s="199"/>
      <c r="C431" s="199"/>
      <c r="D431" s="199"/>
      <c r="E431" s="199"/>
      <c r="F431" s="199"/>
      <c r="G431" s="244"/>
      <c r="H431" s="199"/>
      <c r="I431" s="199"/>
      <c r="J431" s="199"/>
      <c r="K431" s="199"/>
      <c r="L431" s="199"/>
      <c r="M431" s="199"/>
      <c r="N431" s="199"/>
      <c r="O431" s="199"/>
      <c r="P431" s="199"/>
      <c r="Q431" s="199"/>
      <c r="R431" s="199"/>
      <c r="S431" s="199"/>
      <c r="T431" s="199"/>
      <c r="U431" s="199"/>
      <c r="V431" s="199"/>
      <c r="W431" s="199"/>
      <c r="X431" s="199"/>
      <c r="Y431" s="199"/>
      <c r="Z431" s="199"/>
      <c r="AA431" s="199"/>
      <c r="AB431" s="199"/>
    </row>
    <row r="432" spans="1:28" ht="12.75">
      <c r="A432" s="199"/>
      <c r="B432" s="199"/>
      <c r="C432" s="199"/>
      <c r="D432" s="199"/>
      <c r="E432" s="199"/>
      <c r="F432" s="199"/>
      <c r="G432" s="244"/>
      <c r="H432" s="199"/>
      <c r="I432" s="199"/>
      <c r="J432" s="199"/>
      <c r="K432" s="199"/>
      <c r="L432" s="199"/>
      <c r="M432" s="199"/>
      <c r="N432" s="199"/>
      <c r="O432" s="199"/>
      <c r="P432" s="199"/>
      <c r="Q432" s="199"/>
      <c r="R432" s="199"/>
      <c r="S432" s="199"/>
      <c r="T432" s="199"/>
      <c r="U432" s="199"/>
      <c r="V432" s="199"/>
      <c r="W432" s="199"/>
      <c r="X432" s="199"/>
      <c r="Y432" s="199"/>
      <c r="Z432" s="199"/>
      <c r="AA432" s="199"/>
      <c r="AB432" s="199"/>
    </row>
    <row r="433" spans="1:28" ht="12.75">
      <c r="A433" s="199"/>
      <c r="B433" s="199"/>
      <c r="C433" s="199"/>
      <c r="D433" s="199"/>
      <c r="E433" s="199"/>
      <c r="F433" s="199"/>
      <c r="G433" s="244"/>
      <c r="H433" s="199"/>
      <c r="I433" s="199"/>
      <c r="J433" s="199"/>
      <c r="K433" s="199"/>
      <c r="L433" s="199"/>
      <c r="M433" s="199"/>
      <c r="N433" s="199"/>
      <c r="O433" s="199"/>
      <c r="P433" s="199"/>
      <c r="Q433" s="199"/>
      <c r="R433" s="199"/>
      <c r="S433" s="199"/>
      <c r="T433" s="199"/>
      <c r="U433" s="199"/>
      <c r="V433" s="199"/>
      <c r="W433" s="199"/>
      <c r="X433" s="199"/>
      <c r="Y433" s="199"/>
      <c r="Z433" s="199"/>
      <c r="AA433" s="199"/>
      <c r="AB433" s="199"/>
    </row>
    <row r="434" spans="1:28" ht="12.75">
      <c r="A434" s="199"/>
      <c r="B434" s="199"/>
      <c r="C434" s="199"/>
      <c r="D434" s="199"/>
      <c r="E434" s="199"/>
      <c r="F434" s="199"/>
      <c r="G434" s="244"/>
      <c r="H434" s="199"/>
      <c r="I434" s="199"/>
      <c r="J434" s="199"/>
      <c r="K434" s="199"/>
      <c r="L434" s="199"/>
      <c r="M434" s="199"/>
      <c r="N434" s="199"/>
      <c r="O434" s="199"/>
      <c r="P434" s="199"/>
      <c r="Q434" s="199"/>
      <c r="R434" s="199"/>
      <c r="S434" s="199"/>
      <c r="T434" s="199"/>
      <c r="U434" s="199"/>
      <c r="V434" s="199"/>
      <c r="W434" s="199"/>
      <c r="X434" s="199"/>
      <c r="Y434" s="199"/>
      <c r="Z434" s="199"/>
      <c r="AA434" s="199"/>
      <c r="AB434" s="199"/>
    </row>
    <row r="435" spans="1:28" ht="12.75">
      <c r="A435" s="199"/>
      <c r="B435" s="199"/>
      <c r="C435" s="199"/>
      <c r="D435" s="199"/>
      <c r="E435" s="199"/>
      <c r="F435" s="199"/>
      <c r="G435" s="244"/>
      <c r="H435" s="199"/>
      <c r="I435" s="199"/>
      <c r="J435" s="199"/>
      <c r="K435" s="199"/>
      <c r="L435" s="199"/>
      <c r="M435" s="199"/>
      <c r="N435" s="199"/>
      <c r="O435" s="199"/>
      <c r="P435" s="199"/>
      <c r="Q435" s="199"/>
      <c r="R435" s="199"/>
      <c r="S435" s="199"/>
      <c r="T435" s="199"/>
      <c r="U435" s="199"/>
      <c r="V435" s="199"/>
      <c r="W435" s="199"/>
      <c r="X435" s="199"/>
      <c r="Y435" s="199"/>
      <c r="Z435" s="199"/>
      <c r="AA435" s="199"/>
      <c r="AB435" s="199"/>
    </row>
    <row r="436" spans="1:28" ht="12.75">
      <c r="A436" s="199"/>
      <c r="B436" s="199"/>
      <c r="C436" s="199"/>
      <c r="D436" s="199"/>
      <c r="E436" s="199"/>
      <c r="F436" s="199"/>
      <c r="G436" s="244"/>
      <c r="H436" s="199"/>
      <c r="I436" s="199"/>
      <c r="J436" s="199"/>
      <c r="K436" s="199"/>
      <c r="L436" s="199"/>
      <c r="M436" s="199"/>
      <c r="N436" s="199"/>
      <c r="O436" s="199"/>
      <c r="P436" s="199"/>
      <c r="Q436" s="199"/>
      <c r="R436" s="199"/>
      <c r="S436" s="199"/>
      <c r="T436" s="199"/>
      <c r="U436" s="199"/>
      <c r="V436" s="199"/>
      <c r="W436" s="199"/>
      <c r="X436" s="199"/>
      <c r="Y436" s="199"/>
      <c r="Z436" s="199"/>
      <c r="AA436" s="199"/>
      <c r="AB436" s="199"/>
    </row>
    <row r="437" spans="1:28" ht="12.75">
      <c r="A437" s="199"/>
      <c r="B437" s="199"/>
      <c r="C437" s="199"/>
      <c r="D437" s="199"/>
      <c r="E437" s="199"/>
      <c r="F437" s="199"/>
      <c r="G437" s="244"/>
      <c r="H437" s="199"/>
      <c r="I437" s="199"/>
      <c r="J437" s="199"/>
      <c r="K437" s="199"/>
      <c r="L437" s="199"/>
      <c r="M437" s="199"/>
      <c r="N437" s="199"/>
      <c r="O437" s="199"/>
      <c r="P437" s="199"/>
      <c r="Q437" s="199"/>
      <c r="R437" s="199"/>
      <c r="S437" s="199"/>
      <c r="T437" s="199"/>
      <c r="U437" s="199"/>
      <c r="V437" s="199"/>
      <c r="W437" s="199"/>
      <c r="X437" s="199"/>
      <c r="Y437" s="199"/>
      <c r="Z437" s="199"/>
      <c r="AA437" s="199"/>
      <c r="AB437" s="199"/>
    </row>
    <row r="438" spans="1:28" ht="12.75">
      <c r="A438" s="199"/>
      <c r="B438" s="199"/>
      <c r="C438" s="199"/>
      <c r="D438" s="199"/>
      <c r="E438" s="199"/>
      <c r="F438" s="199"/>
      <c r="G438" s="244"/>
      <c r="H438" s="199"/>
      <c r="I438" s="199"/>
      <c r="J438" s="199"/>
      <c r="K438" s="199"/>
      <c r="L438" s="199"/>
      <c r="M438" s="199"/>
      <c r="N438" s="199"/>
      <c r="O438" s="199"/>
      <c r="P438" s="199"/>
      <c r="Q438" s="199"/>
      <c r="R438" s="199"/>
      <c r="S438" s="199"/>
      <c r="T438" s="199"/>
      <c r="U438" s="199"/>
      <c r="V438" s="199"/>
      <c r="W438" s="199"/>
      <c r="X438" s="199"/>
      <c r="Y438" s="199"/>
      <c r="Z438" s="199"/>
      <c r="AA438" s="199"/>
      <c r="AB438" s="199"/>
    </row>
    <row r="439" spans="1:28" ht="12.75">
      <c r="A439" s="199"/>
      <c r="B439" s="199"/>
      <c r="C439" s="199"/>
      <c r="D439" s="199"/>
      <c r="E439" s="199"/>
      <c r="F439" s="199"/>
      <c r="G439" s="244"/>
      <c r="H439" s="199"/>
      <c r="I439" s="199"/>
      <c r="J439" s="199"/>
      <c r="K439" s="199"/>
      <c r="L439" s="199"/>
      <c r="M439" s="199"/>
      <c r="N439" s="199"/>
      <c r="O439" s="199"/>
      <c r="P439" s="199"/>
      <c r="Q439" s="199"/>
      <c r="R439" s="199"/>
      <c r="S439" s="199"/>
      <c r="T439" s="199"/>
      <c r="U439" s="199"/>
      <c r="V439" s="199"/>
      <c r="W439" s="199"/>
      <c r="X439" s="199"/>
      <c r="Y439" s="199"/>
      <c r="Z439" s="199"/>
      <c r="AA439" s="199"/>
      <c r="AB439" s="199"/>
    </row>
    <row r="440" spans="1:28" ht="12.75">
      <c r="A440" s="199"/>
      <c r="B440" s="199"/>
      <c r="C440" s="199"/>
      <c r="D440" s="199"/>
      <c r="E440" s="199"/>
      <c r="F440" s="199"/>
      <c r="G440" s="244"/>
      <c r="H440" s="199"/>
      <c r="I440" s="199"/>
      <c r="J440" s="199"/>
      <c r="K440" s="199"/>
      <c r="L440" s="199"/>
      <c r="M440" s="199"/>
      <c r="N440" s="199"/>
      <c r="O440" s="199"/>
      <c r="P440" s="199"/>
      <c r="Q440" s="199"/>
      <c r="R440" s="199"/>
      <c r="S440" s="199"/>
      <c r="T440" s="199"/>
      <c r="U440" s="199"/>
      <c r="V440" s="199"/>
      <c r="W440" s="199"/>
      <c r="X440" s="199"/>
      <c r="Y440" s="199"/>
      <c r="Z440" s="199"/>
      <c r="AA440" s="199"/>
      <c r="AB440" s="199"/>
    </row>
    <row r="441" spans="1:28" ht="12.75">
      <c r="A441" s="199"/>
      <c r="B441" s="199"/>
      <c r="C441" s="199"/>
      <c r="D441" s="199"/>
      <c r="E441" s="199"/>
      <c r="F441" s="199"/>
      <c r="G441" s="244"/>
      <c r="H441" s="199"/>
      <c r="I441" s="199"/>
      <c r="J441" s="199"/>
      <c r="K441" s="199"/>
      <c r="L441" s="199"/>
      <c r="M441" s="199"/>
      <c r="N441" s="199"/>
      <c r="O441" s="199"/>
      <c r="P441" s="199"/>
      <c r="Q441" s="199"/>
      <c r="R441" s="199"/>
      <c r="S441" s="199"/>
      <c r="T441" s="199"/>
      <c r="U441" s="199"/>
      <c r="V441" s="199"/>
      <c r="W441" s="199"/>
      <c r="X441" s="199"/>
      <c r="Y441" s="199"/>
      <c r="Z441" s="199"/>
      <c r="AA441" s="199"/>
      <c r="AB441" s="199"/>
    </row>
    <row r="442" spans="1:28" ht="12.75">
      <c r="A442" s="199"/>
      <c r="B442" s="199"/>
      <c r="C442" s="199"/>
      <c r="D442" s="199"/>
      <c r="E442" s="199"/>
      <c r="F442" s="199"/>
      <c r="G442" s="244"/>
      <c r="H442" s="199"/>
      <c r="I442" s="199"/>
      <c r="J442" s="199"/>
      <c r="K442" s="199"/>
      <c r="L442" s="199"/>
      <c r="M442" s="199"/>
      <c r="N442" s="199"/>
      <c r="O442" s="199"/>
      <c r="P442" s="199"/>
      <c r="Q442" s="199"/>
      <c r="R442" s="199"/>
      <c r="S442" s="199"/>
      <c r="T442" s="199"/>
      <c r="U442" s="199"/>
      <c r="V442" s="199"/>
      <c r="W442" s="199"/>
      <c r="X442" s="199"/>
      <c r="Y442" s="199"/>
      <c r="Z442" s="199"/>
      <c r="AA442" s="199"/>
      <c r="AB442" s="199"/>
    </row>
    <row r="443" spans="1:28" ht="12.75">
      <c r="A443" s="199"/>
      <c r="B443" s="199"/>
      <c r="C443" s="199"/>
      <c r="D443" s="199"/>
      <c r="E443" s="199"/>
      <c r="F443" s="199"/>
      <c r="G443" s="244"/>
      <c r="H443" s="199"/>
      <c r="I443" s="199"/>
      <c r="J443" s="199"/>
      <c r="K443" s="199"/>
      <c r="L443" s="199"/>
      <c r="M443" s="199"/>
      <c r="N443" s="199"/>
      <c r="O443" s="199"/>
      <c r="P443" s="199"/>
      <c r="Q443" s="199"/>
      <c r="R443" s="199"/>
      <c r="S443" s="199"/>
      <c r="T443" s="199"/>
      <c r="U443" s="199"/>
      <c r="V443" s="199"/>
      <c r="W443" s="199"/>
      <c r="X443" s="199"/>
      <c r="Y443" s="199"/>
      <c r="Z443" s="199"/>
      <c r="AA443" s="199"/>
      <c r="AB443" s="199"/>
    </row>
    <row r="444" spans="1:28" ht="12.75">
      <c r="A444" s="199"/>
      <c r="B444" s="199"/>
      <c r="C444" s="199"/>
      <c r="D444" s="199"/>
      <c r="E444" s="199"/>
      <c r="F444" s="199"/>
      <c r="G444" s="244"/>
      <c r="H444" s="199"/>
      <c r="I444" s="199"/>
      <c r="J444" s="199"/>
      <c r="K444" s="199"/>
      <c r="L444" s="199"/>
      <c r="M444" s="199"/>
      <c r="N444" s="199"/>
      <c r="O444" s="199"/>
      <c r="P444" s="199"/>
      <c r="Q444" s="199"/>
      <c r="R444" s="199"/>
      <c r="S444" s="199"/>
      <c r="T444" s="199"/>
      <c r="U444" s="199"/>
      <c r="V444" s="199"/>
      <c r="W444" s="199"/>
      <c r="X444" s="199"/>
      <c r="Y444" s="199"/>
      <c r="Z444" s="199"/>
      <c r="AA444" s="199"/>
      <c r="AB444" s="199"/>
    </row>
    <row r="445" spans="1:28" ht="12.75">
      <c r="A445" s="199"/>
      <c r="B445" s="199"/>
      <c r="C445" s="199"/>
      <c r="D445" s="199"/>
      <c r="E445" s="199"/>
      <c r="F445" s="199"/>
      <c r="G445" s="244"/>
      <c r="H445" s="199"/>
      <c r="I445" s="199"/>
      <c r="J445" s="199"/>
      <c r="K445" s="199"/>
      <c r="L445" s="199"/>
      <c r="M445" s="199"/>
      <c r="N445" s="199"/>
      <c r="O445" s="199"/>
      <c r="P445" s="199"/>
      <c r="Q445" s="199"/>
      <c r="R445" s="199"/>
      <c r="S445" s="199"/>
      <c r="T445" s="199"/>
      <c r="U445" s="199"/>
      <c r="V445" s="199"/>
      <c r="W445" s="199"/>
      <c r="X445" s="199"/>
      <c r="Y445" s="199"/>
      <c r="Z445" s="199"/>
      <c r="AA445" s="199"/>
      <c r="AB445" s="199"/>
    </row>
    <row r="446" spans="1:28" ht="12.75">
      <c r="A446" s="199"/>
      <c r="B446" s="199"/>
      <c r="C446" s="199"/>
      <c r="D446" s="199"/>
      <c r="E446" s="199"/>
      <c r="F446" s="199"/>
      <c r="G446" s="244"/>
      <c r="H446" s="199"/>
      <c r="I446" s="199"/>
      <c r="J446" s="199"/>
      <c r="K446" s="199"/>
      <c r="L446" s="199"/>
      <c r="M446" s="199"/>
      <c r="N446" s="199"/>
      <c r="O446" s="199"/>
      <c r="P446" s="199"/>
      <c r="Q446" s="199"/>
      <c r="R446" s="199"/>
      <c r="S446" s="199"/>
      <c r="T446" s="199"/>
      <c r="U446" s="199"/>
      <c r="V446" s="199"/>
      <c r="W446" s="199"/>
      <c r="X446" s="199"/>
      <c r="Y446" s="199"/>
      <c r="Z446" s="199"/>
      <c r="AA446" s="199"/>
      <c r="AB446" s="199"/>
    </row>
    <row r="447" spans="1:28" ht="12.75">
      <c r="A447" s="199"/>
      <c r="B447" s="199"/>
      <c r="C447" s="199"/>
      <c r="D447" s="199"/>
      <c r="E447" s="199"/>
      <c r="F447" s="199"/>
      <c r="G447" s="244"/>
      <c r="H447" s="199"/>
      <c r="I447" s="199"/>
      <c r="J447" s="199"/>
      <c r="K447" s="199"/>
      <c r="L447" s="199"/>
      <c r="M447" s="199"/>
      <c r="N447" s="199"/>
      <c r="O447" s="199"/>
      <c r="P447" s="199"/>
      <c r="Q447" s="199"/>
      <c r="R447" s="199"/>
      <c r="S447" s="199"/>
      <c r="T447" s="199"/>
      <c r="U447" s="199"/>
      <c r="V447" s="199"/>
      <c r="W447" s="199"/>
      <c r="X447" s="199"/>
      <c r="Y447" s="199"/>
      <c r="Z447" s="199"/>
      <c r="AA447" s="199"/>
      <c r="AB447" s="199"/>
    </row>
    <row r="448" spans="1:28" ht="12.75">
      <c r="A448" s="199"/>
      <c r="B448" s="199"/>
      <c r="C448" s="199"/>
      <c r="D448" s="199"/>
      <c r="E448" s="199"/>
      <c r="F448" s="199"/>
      <c r="G448" s="244"/>
      <c r="H448" s="199"/>
      <c r="I448" s="199"/>
      <c r="J448" s="199"/>
      <c r="K448" s="199"/>
      <c r="L448" s="199"/>
      <c r="M448" s="199"/>
      <c r="N448" s="199"/>
      <c r="O448" s="199"/>
      <c r="P448" s="199"/>
      <c r="Q448" s="199"/>
      <c r="R448" s="199"/>
      <c r="S448" s="199"/>
      <c r="T448" s="199"/>
      <c r="U448" s="199"/>
      <c r="V448" s="199"/>
      <c r="W448" s="199"/>
      <c r="X448" s="199"/>
      <c r="Y448" s="199"/>
      <c r="Z448" s="199"/>
      <c r="AA448" s="199"/>
      <c r="AB448" s="199"/>
    </row>
    <row r="449" spans="1:28" ht="12.75">
      <c r="A449" s="199"/>
      <c r="B449" s="199"/>
      <c r="C449" s="199"/>
      <c r="D449" s="199"/>
      <c r="E449" s="199"/>
      <c r="F449" s="199"/>
      <c r="G449" s="244"/>
      <c r="H449" s="199"/>
      <c r="I449" s="199"/>
      <c r="J449" s="199"/>
      <c r="K449" s="199"/>
      <c r="L449" s="199"/>
      <c r="M449" s="199"/>
      <c r="N449" s="199"/>
      <c r="O449" s="199"/>
      <c r="P449" s="199"/>
      <c r="Q449" s="199"/>
      <c r="R449" s="199"/>
      <c r="S449" s="199"/>
      <c r="T449" s="199"/>
      <c r="U449" s="199"/>
      <c r="V449" s="199"/>
      <c r="W449" s="199"/>
      <c r="X449" s="199"/>
      <c r="Y449" s="199"/>
      <c r="Z449" s="199"/>
      <c r="AA449" s="199"/>
      <c r="AB449" s="199"/>
    </row>
    <row r="450" spans="1:28" ht="12.75">
      <c r="A450" s="199"/>
      <c r="B450" s="199"/>
      <c r="C450" s="199"/>
      <c r="D450" s="199"/>
      <c r="E450" s="199"/>
      <c r="F450" s="199"/>
      <c r="G450" s="244"/>
      <c r="H450" s="199"/>
      <c r="I450" s="199"/>
      <c r="J450" s="199"/>
      <c r="K450" s="199"/>
      <c r="L450" s="199"/>
      <c r="M450" s="199"/>
      <c r="N450" s="199"/>
      <c r="O450" s="199"/>
      <c r="P450" s="199"/>
      <c r="Q450" s="199"/>
      <c r="R450" s="199"/>
      <c r="S450" s="199"/>
      <c r="T450" s="199"/>
      <c r="U450" s="199"/>
      <c r="V450" s="199"/>
      <c r="W450" s="199"/>
      <c r="X450" s="199"/>
      <c r="Y450" s="199"/>
      <c r="Z450" s="199"/>
      <c r="AA450" s="199"/>
      <c r="AB450" s="199"/>
    </row>
    <row r="451" spans="1:28" ht="12.75">
      <c r="A451" s="199"/>
      <c r="B451" s="199"/>
      <c r="C451" s="199"/>
      <c r="D451" s="199"/>
      <c r="E451" s="199"/>
      <c r="F451" s="199"/>
      <c r="G451" s="244"/>
      <c r="H451" s="199"/>
      <c r="I451" s="199"/>
      <c r="J451" s="199"/>
      <c r="K451" s="199"/>
      <c r="L451" s="199"/>
      <c r="M451" s="199"/>
      <c r="N451" s="199"/>
      <c r="O451" s="199"/>
      <c r="P451" s="199"/>
      <c r="Q451" s="199"/>
      <c r="R451" s="199"/>
      <c r="S451" s="199"/>
      <c r="T451" s="199"/>
      <c r="U451" s="199"/>
      <c r="V451" s="199"/>
      <c r="W451" s="199"/>
      <c r="X451" s="199"/>
      <c r="Y451" s="199"/>
      <c r="Z451" s="199"/>
      <c r="AA451" s="199"/>
      <c r="AB451" s="199"/>
    </row>
    <row r="452" spans="1:28" ht="12.75">
      <c r="A452" s="199"/>
      <c r="B452" s="199"/>
      <c r="C452" s="199"/>
      <c r="D452" s="199"/>
      <c r="E452" s="199"/>
      <c r="F452" s="199"/>
      <c r="G452" s="244"/>
      <c r="H452" s="199"/>
      <c r="I452" s="199"/>
      <c r="J452" s="199"/>
      <c r="K452" s="199"/>
      <c r="L452" s="199"/>
      <c r="M452" s="199"/>
      <c r="N452" s="199"/>
      <c r="O452" s="199"/>
      <c r="P452" s="199"/>
      <c r="Q452" s="199"/>
      <c r="R452" s="199"/>
      <c r="S452" s="199"/>
      <c r="T452" s="199"/>
      <c r="U452" s="199"/>
      <c r="V452" s="199"/>
      <c r="W452" s="199"/>
      <c r="X452" s="199"/>
      <c r="Y452" s="199"/>
      <c r="Z452" s="199"/>
      <c r="AA452" s="199"/>
      <c r="AB452" s="199"/>
    </row>
    <row r="453" spans="1:28" ht="12.75">
      <c r="A453" s="199"/>
      <c r="B453" s="199"/>
      <c r="C453" s="199"/>
      <c r="D453" s="199"/>
      <c r="E453" s="199"/>
      <c r="F453" s="199"/>
      <c r="G453" s="244"/>
      <c r="H453" s="199"/>
      <c r="I453" s="199"/>
      <c r="J453" s="199"/>
      <c r="K453" s="199"/>
      <c r="L453" s="199"/>
      <c r="M453" s="199"/>
      <c r="N453" s="199"/>
      <c r="O453" s="199"/>
      <c r="P453" s="199"/>
      <c r="Q453" s="199"/>
      <c r="R453" s="199"/>
      <c r="S453" s="199"/>
      <c r="T453" s="199"/>
      <c r="U453" s="199"/>
      <c r="V453" s="199"/>
      <c r="W453" s="199"/>
      <c r="X453" s="199"/>
      <c r="Y453" s="199"/>
      <c r="Z453" s="199"/>
      <c r="AA453" s="199"/>
      <c r="AB453" s="199"/>
    </row>
    <row r="454" spans="1:28" ht="12.75">
      <c r="A454" s="199"/>
      <c r="B454" s="199"/>
      <c r="C454" s="199"/>
      <c r="D454" s="199"/>
      <c r="E454" s="199"/>
      <c r="F454" s="199"/>
      <c r="G454" s="244"/>
      <c r="H454" s="199"/>
      <c r="I454" s="199"/>
      <c r="J454" s="199"/>
      <c r="K454" s="199"/>
      <c r="L454" s="199"/>
      <c r="M454" s="199"/>
      <c r="N454" s="199"/>
      <c r="O454" s="199"/>
      <c r="P454" s="199"/>
      <c r="Q454" s="199"/>
      <c r="R454" s="199"/>
      <c r="S454" s="199"/>
      <c r="T454" s="199"/>
      <c r="U454" s="199"/>
      <c r="V454" s="199"/>
      <c r="W454" s="199"/>
      <c r="X454" s="199"/>
      <c r="Y454" s="199"/>
      <c r="Z454" s="199"/>
      <c r="AA454" s="199"/>
      <c r="AB454" s="199"/>
    </row>
    <row r="455" spans="1:28" ht="12.75">
      <c r="A455" s="199"/>
      <c r="B455" s="199"/>
      <c r="C455" s="199"/>
      <c r="D455" s="199"/>
      <c r="E455" s="199"/>
      <c r="F455" s="199"/>
      <c r="G455" s="244"/>
      <c r="H455" s="199"/>
      <c r="I455" s="199"/>
      <c r="J455" s="199"/>
      <c r="K455" s="199"/>
      <c r="L455" s="199"/>
      <c r="M455" s="199"/>
      <c r="N455" s="199"/>
      <c r="O455" s="199"/>
      <c r="P455" s="199"/>
      <c r="Q455" s="199"/>
      <c r="R455" s="199"/>
      <c r="S455" s="199"/>
      <c r="T455" s="199"/>
      <c r="U455" s="199"/>
      <c r="V455" s="199"/>
      <c r="W455" s="199"/>
      <c r="X455" s="199"/>
      <c r="Y455" s="199"/>
      <c r="Z455" s="199"/>
      <c r="AA455" s="199"/>
      <c r="AB455" s="199"/>
    </row>
    <row r="456" spans="1:28" ht="12.75">
      <c r="A456" s="199"/>
      <c r="B456" s="199"/>
      <c r="C456" s="199"/>
      <c r="D456" s="199"/>
      <c r="E456" s="199"/>
      <c r="F456" s="199"/>
      <c r="G456" s="244"/>
      <c r="H456" s="199"/>
      <c r="I456" s="199"/>
      <c r="J456" s="199"/>
      <c r="K456" s="199"/>
      <c r="L456" s="199"/>
      <c r="M456" s="199"/>
      <c r="N456" s="199"/>
      <c r="O456" s="199"/>
      <c r="P456" s="199"/>
      <c r="Q456" s="199"/>
      <c r="R456" s="199"/>
      <c r="S456" s="199"/>
      <c r="T456" s="199"/>
      <c r="U456" s="199"/>
      <c r="V456" s="199"/>
      <c r="W456" s="199"/>
      <c r="X456" s="199"/>
      <c r="Y456" s="199"/>
      <c r="Z456" s="199"/>
      <c r="AA456" s="199"/>
      <c r="AB456" s="199"/>
    </row>
    <row r="457" spans="1:28" ht="12.75">
      <c r="A457" s="199"/>
      <c r="B457" s="199"/>
      <c r="C457" s="199"/>
      <c r="D457" s="199"/>
      <c r="E457" s="199"/>
      <c r="F457" s="199"/>
      <c r="G457" s="244"/>
      <c r="H457" s="199"/>
      <c r="I457" s="199"/>
      <c r="J457" s="199"/>
      <c r="K457" s="199"/>
      <c r="L457" s="199"/>
      <c r="M457" s="199"/>
      <c r="N457" s="199"/>
      <c r="O457" s="199"/>
      <c r="P457" s="199"/>
      <c r="Q457" s="199"/>
      <c r="R457" s="199"/>
      <c r="S457" s="199"/>
      <c r="T457" s="199"/>
      <c r="U457" s="199"/>
      <c r="V457" s="199"/>
      <c r="W457" s="199"/>
      <c r="X457" s="199"/>
      <c r="Y457" s="199"/>
      <c r="Z457" s="199"/>
      <c r="AA457" s="199"/>
      <c r="AB457" s="199"/>
    </row>
    <row r="458" spans="1:28" ht="12.75">
      <c r="A458" s="199"/>
      <c r="B458" s="199"/>
      <c r="C458" s="199"/>
      <c r="D458" s="199"/>
      <c r="E458" s="199"/>
      <c r="F458" s="199"/>
      <c r="G458" s="244"/>
      <c r="H458" s="199"/>
      <c r="I458" s="199"/>
      <c r="J458" s="199"/>
      <c r="K458" s="199"/>
      <c r="L458" s="199"/>
      <c r="M458" s="199"/>
      <c r="N458" s="199"/>
      <c r="O458" s="199"/>
      <c r="P458" s="199"/>
      <c r="Q458" s="199"/>
      <c r="R458" s="199"/>
      <c r="S458" s="199"/>
      <c r="T458" s="199"/>
      <c r="U458" s="199"/>
      <c r="V458" s="199"/>
      <c r="W458" s="199"/>
      <c r="X458" s="199"/>
      <c r="Y458" s="199"/>
      <c r="Z458" s="199"/>
      <c r="AA458" s="199"/>
      <c r="AB458" s="199"/>
    </row>
    <row r="459" spans="1:28" ht="12.75">
      <c r="A459" s="199"/>
      <c r="B459" s="199"/>
      <c r="C459" s="199"/>
      <c r="D459" s="199"/>
      <c r="E459" s="199"/>
      <c r="F459" s="199"/>
      <c r="G459" s="244"/>
      <c r="H459" s="199"/>
      <c r="I459" s="199"/>
      <c r="J459" s="199"/>
      <c r="K459" s="199"/>
      <c r="L459" s="199"/>
      <c r="M459" s="199"/>
      <c r="N459" s="199"/>
      <c r="O459" s="199"/>
      <c r="P459" s="199"/>
      <c r="Q459" s="199"/>
      <c r="R459" s="199"/>
      <c r="S459" s="199"/>
      <c r="T459" s="199"/>
      <c r="U459" s="199"/>
      <c r="V459" s="199"/>
      <c r="W459" s="199"/>
      <c r="X459" s="199"/>
      <c r="Y459" s="199"/>
      <c r="Z459" s="199"/>
      <c r="AA459" s="199"/>
      <c r="AB459" s="199"/>
    </row>
    <row r="460" spans="1:28" ht="12.75">
      <c r="A460" s="199"/>
      <c r="B460" s="199"/>
      <c r="C460" s="199"/>
      <c r="D460" s="199"/>
      <c r="E460" s="199"/>
      <c r="F460" s="199"/>
      <c r="G460" s="244"/>
      <c r="H460" s="199"/>
      <c r="I460" s="199"/>
      <c r="J460" s="199"/>
      <c r="K460" s="199"/>
      <c r="L460" s="199"/>
      <c r="M460" s="199"/>
      <c r="N460" s="199"/>
      <c r="O460" s="199"/>
      <c r="P460" s="199"/>
      <c r="Q460" s="199"/>
      <c r="R460" s="199"/>
      <c r="S460" s="199"/>
      <c r="T460" s="199"/>
      <c r="U460" s="199"/>
      <c r="V460" s="199"/>
      <c r="W460" s="199"/>
      <c r="X460" s="199"/>
      <c r="Y460" s="199"/>
      <c r="Z460" s="199"/>
      <c r="AA460" s="199"/>
      <c r="AB460" s="199"/>
    </row>
    <row r="461" spans="1:28" ht="12.75">
      <c r="A461" s="199"/>
      <c r="B461" s="199"/>
      <c r="C461" s="199"/>
      <c r="D461" s="199"/>
      <c r="E461" s="199"/>
      <c r="F461" s="199"/>
      <c r="G461" s="244"/>
      <c r="H461" s="199"/>
      <c r="I461" s="199"/>
      <c r="J461" s="199"/>
      <c r="K461" s="199"/>
      <c r="L461" s="199"/>
      <c r="M461" s="199"/>
      <c r="N461" s="199"/>
      <c r="O461" s="199"/>
      <c r="P461" s="199"/>
      <c r="Q461" s="199"/>
      <c r="R461" s="199"/>
      <c r="S461" s="199"/>
      <c r="T461" s="199"/>
      <c r="U461" s="199"/>
      <c r="V461" s="199"/>
      <c r="W461" s="199"/>
      <c r="X461" s="199"/>
      <c r="Y461" s="199"/>
      <c r="Z461" s="199"/>
      <c r="AA461" s="199"/>
      <c r="AB461" s="199"/>
    </row>
    <row r="462" spans="1:28" ht="12.75">
      <c r="A462" s="199"/>
      <c r="B462" s="199"/>
      <c r="C462" s="199"/>
      <c r="D462" s="199"/>
      <c r="E462" s="199"/>
      <c r="F462" s="199"/>
      <c r="G462" s="244"/>
      <c r="H462" s="199"/>
      <c r="I462" s="199"/>
      <c r="J462" s="199"/>
      <c r="K462" s="199"/>
      <c r="L462" s="199"/>
      <c r="M462" s="199"/>
      <c r="N462" s="199"/>
      <c r="O462" s="199"/>
      <c r="P462" s="199"/>
      <c r="Q462" s="199"/>
      <c r="R462" s="199"/>
      <c r="S462" s="199"/>
      <c r="T462" s="199"/>
      <c r="U462" s="199"/>
      <c r="V462" s="199"/>
      <c r="W462" s="199"/>
      <c r="X462" s="199"/>
      <c r="Y462" s="199"/>
      <c r="Z462" s="199"/>
      <c r="AA462" s="199"/>
      <c r="AB462" s="199"/>
    </row>
    <row r="463" spans="1:28" ht="12.75">
      <c r="A463" s="199"/>
      <c r="B463" s="199"/>
      <c r="C463" s="199"/>
      <c r="D463" s="199"/>
      <c r="E463" s="199"/>
      <c r="F463" s="199"/>
      <c r="G463" s="244"/>
      <c r="H463" s="199"/>
      <c r="I463" s="199"/>
      <c r="J463" s="199"/>
      <c r="K463" s="199"/>
      <c r="L463" s="199"/>
      <c r="M463" s="199"/>
      <c r="N463" s="199"/>
      <c r="O463" s="199"/>
      <c r="P463" s="199"/>
      <c r="Q463" s="199"/>
      <c r="R463" s="199"/>
      <c r="S463" s="199"/>
      <c r="T463" s="199"/>
      <c r="U463" s="199"/>
      <c r="V463" s="199"/>
      <c r="W463" s="199"/>
      <c r="X463" s="199"/>
      <c r="Y463" s="199"/>
      <c r="Z463" s="199"/>
      <c r="AA463" s="199"/>
      <c r="AB463" s="199"/>
    </row>
    <row r="464" spans="1:28" ht="12.75">
      <c r="A464" s="199"/>
      <c r="B464" s="199"/>
      <c r="C464" s="199"/>
      <c r="D464" s="199"/>
      <c r="E464" s="199"/>
      <c r="F464" s="199"/>
      <c r="G464" s="244"/>
      <c r="H464" s="199"/>
      <c r="I464" s="199"/>
      <c r="J464" s="199"/>
      <c r="K464" s="199"/>
      <c r="L464" s="199"/>
      <c r="M464" s="199"/>
      <c r="N464" s="199"/>
      <c r="O464" s="199"/>
      <c r="P464" s="199"/>
      <c r="Q464" s="199"/>
      <c r="R464" s="199"/>
      <c r="S464" s="199"/>
      <c r="T464" s="199"/>
      <c r="U464" s="199"/>
      <c r="V464" s="199"/>
      <c r="W464" s="199"/>
      <c r="X464" s="199"/>
      <c r="Y464" s="199"/>
      <c r="Z464" s="199"/>
      <c r="AA464" s="199"/>
      <c r="AB464" s="199"/>
    </row>
    <row r="465" spans="1:28" ht="12.75">
      <c r="A465" s="199"/>
      <c r="B465" s="199"/>
      <c r="C465" s="199"/>
      <c r="D465" s="199"/>
      <c r="E465" s="199"/>
      <c r="F465" s="199"/>
      <c r="G465" s="244"/>
      <c r="H465" s="199"/>
      <c r="I465" s="199"/>
      <c r="J465" s="199"/>
      <c r="K465" s="199"/>
      <c r="L465" s="199"/>
      <c r="M465" s="199"/>
      <c r="N465" s="199"/>
      <c r="O465" s="199"/>
      <c r="P465" s="199"/>
      <c r="Q465" s="199"/>
      <c r="R465" s="199"/>
      <c r="S465" s="199"/>
      <c r="T465" s="199"/>
      <c r="U465" s="199"/>
      <c r="V465" s="199"/>
      <c r="W465" s="199"/>
      <c r="X465" s="199"/>
      <c r="Y465" s="199"/>
      <c r="Z465" s="199"/>
      <c r="AA465" s="199"/>
      <c r="AB465" s="199"/>
    </row>
    <row r="466" spans="1:28" ht="12.75">
      <c r="A466" s="199"/>
      <c r="B466" s="199"/>
      <c r="C466" s="199"/>
      <c r="D466" s="199"/>
      <c r="E466" s="199"/>
      <c r="F466" s="199"/>
      <c r="G466" s="244"/>
      <c r="H466" s="199"/>
      <c r="I466" s="199"/>
      <c r="J466" s="199"/>
      <c r="K466" s="199"/>
      <c r="L466" s="199"/>
      <c r="M466" s="199"/>
      <c r="N466" s="199"/>
      <c r="O466" s="199"/>
      <c r="P466" s="199"/>
      <c r="Q466" s="199"/>
      <c r="R466" s="199"/>
      <c r="S466" s="199"/>
      <c r="T466" s="199"/>
      <c r="U466" s="199"/>
      <c r="V466" s="199"/>
      <c r="W466" s="199"/>
      <c r="X466" s="199"/>
      <c r="Y466" s="199"/>
      <c r="Z466" s="199"/>
      <c r="AA466" s="199"/>
      <c r="AB466" s="199"/>
    </row>
    <row r="467" spans="1:28" ht="12.75">
      <c r="A467" s="199"/>
      <c r="B467" s="199"/>
      <c r="C467" s="199"/>
      <c r="D467" s="199"/>
      <c r="E467" s="199"/>
      <c r="F467" s="199"/>
      <c r="G467" s="244"/>
      <c r="H467" s="199"/>
      <c r="I467" s="199"/>
      <c r="J467" s="199"/>
      <c r="K467" s="199"/>
      <c r="L467" s="199"/>
      <c r="M467" s="199"/>
      <c r="N467" s="199"/>
      <c r="O467" s="199"/>
      <c r="P467" s="199"/>
      <c r="Q467" s="199"/>
      <c r="R467" s="199"/>
      <c r="S467" s="199"/>
      <c r="T467" s="199"/>
      <c r="U467" s="199"/>
      <c r="V467" s="199"/>
      <c r="W467" s="199"/>
      <c r="X467" s="199"/>
      <c r="Y467" s="199"/>
      <c r="Z467" s="199"/>
      <c r="AA467" s="199"/>
      <c r="AB467" s="199"/>
    </row>
    <row r="468" spans="1:28" ht="12.75">
      <c r="A468" s="199"/>
      <c r="B468" s="199"/>
      <c r="C468" s="199"/>
      <c r="D468" s="199"/>
      <c r="E468" s="199"/>
      <c r="F468" s="199"/>
      <c r="G468" s="244"/>
      <c r="H468" s="199"/>
      <c r="I468" s="199"/>
      <c r="J468" s="199"/>
      <c r="K468" s="199"/>
      <c r="L468" s="199"/>
      <c r="M468" s="199"/>
      <c r="N468" s="199"/>
      <c r="O468" s="199"/>
      <c r="P468" s="199"/>
      <c r="Q468" s="199"/>
      <c r="R468" s="199"/>
      <c r="S468" s="199"/>
      <c r="T468" s="199"/>
      <c r="U468" s="199"/>
      <c r="V468" s="199"/>
      <c r="W468" s="199"/>
      <c r="X468" s="199"/>
      <c r="Y468" s="199"/>
      <c r="Z468" s="199"/>
      <c r="AA468" s="199"/>
      <c r="AB468" s="199"/>
    </row>
    <row r="469" spans="1:28" ht="12.75">
      <c r="A469" s="199"/>
      <c r="B469" s="199"/>
      <c r="C469" s="199"/>
      <c r="D469" s="199"/>
      <c r="E469" s="199"/>
      <c r="F469" s="199"/>
      <c r="G469" s="244"/>
      <c r="H469" s="199"/>
      <c r="I469" s="199"/>
      <c r="J469" s="199"/>
      <c r="K469" s="199"/>
      <c r="L469" s="199"/>
      <c r="M469" s="199"/>
      <c r="N469" s="199"/>
      <c r="O469" s="199"/>
      <c r="P469" s="199"/>
      <c r="Q469" s="199"/>
      <c r="R469" s="199"/>
      <c r="S469" s="199"/>
      <c r="T469" s="199"/>
      <c r="U469" s="199"/>
      <c r="V469" s="199"/>
      <c r="W469" s="199"/>
      <c r="X469" s="199"/>
      <c r="Y469" s="199"/>
      <c r="Z469" s="199"/>
      <c r="AA469" s="199"/>
      <c r="AB469" s="199"/>
    </row>
    <row r="470" spans="1:28" ht="12.75">
      <c r="A470" s="199"/>
      <c r="B470" s="199"/>
      <c r="C470" s="199"/>
      <c r="D470" s="199"/>
      <c r="E470" s="199"/>
      <c r="F470" s="199"/>
      <c r="G470" s="244"/>
      <c r="H470" s="199"/>
      <c r="I470" s="199"/>
      <c r="J470" s="199"/>
      <c r="K470" s="199"/>
      <c r="L470" s="199"/>
      <c r="M470" s="199"/>
      <c r="N470" s="199"/>
      <c r="O470" s="199"/>
      <c r="P470" s="199"/>
      <c r="Q470" s="199"/>
      <c r="R470" s="199"/>
      <c r="S470" s="199"/>
      <c r="T470" s="199"/>
      <c r="U470" s="199"/>
      <c r="V470" s="199"/>
      <c r="W470" s="199"/>
      <c r="X470" s="199"/>
      <c r="Y470" s="199"/>
      <c r="Z470" s="199"/>
      <c r="AA470" s="199"/>
      <c r="AB470" s="199"/>
    </row>
    <row r="471" spans="1:28" ht="12.75">
      <c r="A471" s="199"/>
      <c r="B471" s="199"/>
      <c r="C471" s="199"/>
      <c r="D471" s="199"/>
      <c r="E471" s="199"/>
      <c r="F471" s="199"/>
      <c r="G471" s="244"/>
      <c r="H471" s="199"/>
      <c r="I471" s="199"/>
      <c r="J471" s="199"/>
      <c r="K471" s="199"/>
      <c r="L471" s="199"/>
      <c r="M471" s="199"/>
      <c r="N471" s="199"/>
      <c r="O471" s="199"/>
      <c r="P471" s="199"/>
      <c r="Q471" s="199"/>
      <c r="R471" s="199"/>
      <c r="S471" s="199"/>
      <c r="T471" s="199"/>
      <c r="U471" s="199"/>
      <c r="V471" s="199"/>
      <c r="W471" s="199"/>
      <c r="X471" s="199"/>
      <c r="Y471" s="199"/>
      <c r="Z471" s="199"/>
      <c r="AA471" s="199"/>
      <c r="AB471" s="199"/>
    </row>
    <row r="472" spans="1:28" ht="12.75">
      <c r="A472" s="199"/>
      <c r="B472" s="199"/>
      <c r="C472" s="199"/>
      <c r="D472" s="199"/>
      <c r="E472" s="199"/>
      <c r="F472" s="199"/>
      <c r="G472" s="244"/>
      <c r="H472" s="199"/>
      <c r="I472" s="199"/>
      <c r="J472" s="199"/>
      <c r="K472" s="199"/>
      <c r="L472" s="199"/>
      <c r="M472" s="199"/>
      <c r="N472" s="199"/>
      <c r="O472" s="199"/>
      <c r="P472" s="199"/>
      <c r="Q472" s="199"/>
      <c r="R472" s="199"/>
      <c r="S472" s="199"/>
      <c r="T472" s="199"/>
      <c r="U472" s="199"/>
      <c r="V472" s="199"/>
      <c r="W472" s="199"/>
      <c r="X472" s="199"/>
      <c r="Y472" s="199"/>
      <c r="Z472" s="199"/>
      <c r="AA472" s="199"/>
      <c r="AB472" s="199"/>
    </row>
    <row r="473" spans="1:28" ht="12.75">
      <c r="A473" s="199"/>
      <c r="B473" s="199"/>
      <c r="C473" s="199"/>
      <c r="D473" s="199"/>
      <c r="E473" s="199"/>
      <c r="F473" s="199"/>
      <c r="G473" s="244"/>
      <c r="H473" s="199"/>
      <c r="I473" s="199"/>
      <c r="J473" s="199"/>
      <c r="K473" s="199"/>
      <c r="L473" s="199"/>
      <c r="M473" s="199"/>
      <c r="N473" s="199"/>
      <c r="O473" s="199"/>
      <c r="P473" s="199"/>
      <c r="Q473" s="199"/>
      <c r="R473" s="199"/>
      <c r="S473" s="199"/>
      <c r="T473" s="199"/>
      <c r="U473" s="199"/>
      <c r="V473" s="199"/>
      <c r="W473" s="199"/>
      <c r="X473" s="199"/>
      <c r="Y473" s="199"/>
      <c r="Z473" s="199"/>
      <c r="AA473" s="199"/>
      <c r="AB473" s="199"/>
    </row>
    <row r="474" spans="1:28" ht="12.75">
      <c r="A474" s="199"/>
      <c r="B474" s="199"/>
      <c r="C474" s="199"/>
      <c r="D474" s="199"/>
      <c r="E474" s="199"/>
      <c r="F474" s="199"/>
      <c r="G474" s="244"/>
      <c r="H474" s="199"/>
      <c r="I474" s="199"/>
      <c r="J474" s="199"/>
      <c r="K474" s="199"/>
      <c r="L474" s="199"/>
      <c r="M474" s="199"/>
      <c r="N474" s="199"/>
      <c r="O474" s="199"/>
      <c r="P474" s="199"/>
      <c r="Q474" s="199"/>
      <c r="R474" s="199"/>
      <c r="S474" s="199"/>
      <c r="T474" s="199"/>
      <c r="U474" s="199"/>
      <c r="V474" s="199"/>
      <c r="W474" s="199"/>
      <c r="X474" s="199"/>
      <c r="Y474" s="199"/>
      <c r="Z474" s="199"/>
      <c r="AA474" s="199"/>
      <c r="AB474" s="199"/>
    </row>
    <row r="475" spans="1:28" ht="12.75">
      <c r="A475" s="199"/>
      <c r="B475" s="199"/>
      <c r="C475" s="199"/>
      <c r="D475" s="199"/>
      <c r="E475" s="199"/>
      <c r="F475" s="199"/>
      <c r="G475" s="244"/>
      <c r="H475" s="199"/>
      <c r="I475" s="199"/>
      <c r="J475" s="199"/>
      <c r="K475" s="199"/>
      <c r="L475" s="199"/>
      <c r="M475" s="199"/>
      <c r="N475" s="199"/>
      <c r="O475" s="199"/>
      <c r="P475" s="199"/>
      <c r="Q475" s="199"/>
      <c r="R475" s="199"/>
      <c r="S475" s="199"/>
      <c r="T475" s="199"/>
      <c r="U475" s="199"/>
      <c r="V475" s="199"/>
      <c r="W475" s="199"/>
      <c r="X475" s="199"/>
      <c r="Y475" s="199"/>
      <c r="Z475" s="199"/>
      <c r="AA475" s="199"/>
      <c r="AB475" s="199"/>
    </row>
    <row r="476" spans="1:28" ht="12.75">
      <c r="A476" s="199"/>
      <c r="B476" s="199"/>
      <c r="C476" s="199"/>
      <c r="D476" s="199"/>
      <c r="E476" s="199"/>
      <c r="F476" s="199"/>
      <c r="G476" s="244"/>
      <c r="H476" s="199"/>
      <c r="I476" s="199"/>
      <c r="J476" s="199"/>
      <c r="K476" s="199"/>
      <c r="L476" s="199"/>
      <c r="M476" s="199"/>
      <c r="N476" s="199"/>
      <c r="O476" s="199"/>
      <c r="P476" s="199"/>
      <c r="Q476" s="199"/>
      <c r="R476" s="199"/>
      <c r="S476" s="199"/>
      <c r="T476" s="199"/>
      <c r="U476" s="199"/>
      <c r="V476" s="199"/>
      <c r="W476" s="199"/>
      <c r="X476" s="199"/>
      <c r="Y476" s="199"/>
      <c r="Z476" s="199"/>
      <c r="AA476" s="199"/>
      <c r="AB476" s="199"/>
    </row>
    <row r="477" spans="1:28" ht="12.75">
      <c r="A477" s="199"/>
      <c r="B477" s="199"/>
      <c r="C477" s="199"/>
      <c r="D477" s="199"/>
      <c r="E477" s="199"/>
      <c r="F477" s="199"/>
      <c r="G477" s="244"/>
      <c r="H477" s="199"/>
      <c r="I477" s="199"/>
      <c r="J477" s="199"/>
      <c r="K477" s="199"/>
      <c r="L477" s="199"/>
      <c r="M477" s="199"/>
      <c r="N477" s="199"/>
      <c r="O477" s="199"/>
      <c r="P477" s="199"/>
      <c r="Q477" s="199"/>
      <c r="R477" s="199"/>
      <c r="S477" s="199"/>
      <c r="T477" s="199"/>
      <c r="U477" s="199"/>
      <c r="V477" s="199"/>
      <c r="W477" s="199"/>
      <c r="X477" s="199"/>
      <c r="Y477" s="199"/>
      <c r="Z477" s="199"/>
      <c r="AA477" s="199"/>
      <c r="AB477" s="199"/>
    </row>
    <row r="478" spans="1:28" ht="12.75">
      <c r="A478" s="199"/>
      <c r="B478" s="199"/>
      <c r="C478" s="199"/>
      <c r="D478" s="199"/>
      <c r="E478" s="199"/>
      <c r="F478" s="199"/>
      <c r="G478" s="244"/>
      <c r="H478" s="199"/>
      <c r="I478" s="199"/>
      <c r="J478" s="199"/>
      <c r="K478" s="199"/>
      <c r="L478" s="199"/>
      <c r="M478" s="199"/>
      <c r="N478" s="199"/>
      <c r="O478" s="199"/>
      <c r="P478" s="199"/>
      <c r="Q478" s="199"/>
      <c r="R478" s="199"/>
      <c r="S478" s="199"/>
      <c r="T478" s="199"/>
      <c r="U478" s="199"/>
      <c r="V478" s="199"/>
      <c r="W478" s="199"/>
      <c r="X478" s="199"/>
      <c r="Y478" s="199"/>
      <c r="Z478" s="199"/>
      <c r="AA478" s="199"/>
      <c r="AB478" s="199"/>
    </row>
    <row r="479" spans="1:28" ht="12.75">
      <c r="A479" s="199"/>
      <c r="B479" s="199"/>
      <c r="C479" s="199"/>
      <c r="D479" s="199"/>
      <c r="E479" s="199"/>
      <c r="F479" s="199"/>
      <c r="G479" s="244"/>
      <c r="H479" s="199"/>
      <c r="I479" s="199"/>
      <c r="J479" s="199"/>
      <c r="K479" s="199"/>
      <c r="L479" s="199"/>
      <c r="M479" s="199"/>
      <c r="N479" s="199"/>
      <c r="O479" s="199"/>
      <c r="P479" s="199"/>
      <c r="Q479" s="199"/>
      <c r="R479" s="199"/>
      <c r="S479" s="199"/>
      <c r="T479" s="199"/>
      <c r="U479" s="199"/>
      <c r="V479" s="199"/>
      <c r="W479" s="199"/>
      <c r="X479" s="199"/>
      <c r="Y479" s="199"/>
      <c r="Z479" s="199"/>
      <c r="AA479" s="199"/>
      <c r="AB479" s="199"/>
    </row>
    <row r="480" spans="1:28" ht="12.75">
      <c r="A480" s="199"/>
      <c r="B480" s="199"/>
      <c r="C480" s="199"/>
      <c r="D480" s="199"/>
      <c r="E480" s="199"/>
      <c r="F480" s="199"/>
      <c r="G480" s="244"/>
      <c r="H480" s="199"/>
      <c r="I480" s="199"/>
      <c r="J480" s="199"/>
      <c r="K480" s="199"/>
      <c r="L480" s="199"/>
      <c r="M480" s="199"/>
      <c r="N480" s="199"/>
      <c r="O480" s="199"/>
      <c r="P480" s="199"/>
      <c r="Q480" s="199"/>
      <c r="R480" s="199"/>
      <c r="S480" s="199"/>
      <c r="T480" s="199"/>
      <c r="U480" s="199"/>
      <c r="V480" s="199"/>
      <c r="W480" s="199"/>
      <c r="X480" s="199"/>
      <c r="Y480" s="199"/>
      <c r="Z480" s="199"/>
      <c r="AA480" s="199"/>
      <c r="AB480" s="199"/>
    </row>
    <row r="481" spans="1:28" ht="12.75">
      <c r="A481" s="199"/>
      <c r="B481" s="199"/>
      <c r="C481" s="199"/>
      <c r="D481" s="199"/>
      <c r="E481" s="199"/>
      <c r="F481" s="199"/>
      <c r="G481" s="244"/>
      <c r="H481" s="199"/>
      <c r="I481" s="199"/>
      <c r="J481" s="199"/>
      <c r="K481" s="199"/>
      <c r="L481" s="199"/>
      <c r="M481" s="199"/>
      <c r="N481" s="199"/>
      <c r="O481" s="199"/>
      <c r="P481" s="199"/>
      <c r="Q481" s="199"/>
      <c r="R481" s="199"/>
      <c r="S481" s="199"/>
      <c r="T481" s="199"/>
      <c r="U481" s="199"/>
      <c r="V481" s="199"/>
      <c r="W481" s="199"/>
      <c r="X481" s="199"/>
      <c r="Y481" s="199"/>
      <c r="Z481" s="199"/>
      <c r="AA481" s="199"/>
      <c r="AB481" s="199"/>
    </row>
    <row r="482" spans="1:28" ht="12.75">
      <c r="A482" s="199"/>
      <c r="B482" s="199"/>
      <c r="C482" s="199"/>
      <c r="D482" s="199"/>
      <c r="E482" s="199"/>
      <c r="F482" s="199"/>
      <c r="G482" s="244"/>
      <c r="H482" s="199"/>
      <c r="I482" s="199"/>
      <c r="J482" s="199"/>
      <c r="K482" s="199"/>
      <c r="L482" s="199"/>
      <c r="M482" s="199"/>
      <c r="N482" s="199"/>
      <c r="O482" s="199"/>
      <c r="P482" s="199"/>
      <c r="Q482" s="199"/>
      <c r="R482" s="199"/>
      <c r="S482" s="199"/>
      <c r="T482" s="199"/>
      <c r="U482" s="199"/>
      <c r="V482" s="199"/>
      <c r="W482" s="199"/>
      <c r="X482" s="199"/>
      <c r="Y482" s="199"/>
      <c r="Z482" s="199"/>
      <c r="AA482" s="199"/>
      <c r="AB482" s="199"/>
    </row>
    <row r="483" spans="1:28" ht="12.75">
      <c r="A483" s="199"/>
      <c r="B483" s="199"/>
      <c r="C483" s="199"/>
      <c r="D483" s="199"/>
      <c r="E483" s="199"/>
      <c r="F483" s="199"/>
      <c r="G483" s="244"/>
      <c r="H483" s="199"/>
      <c r="I483" s="199"/>
      <c r="J483" s="199"/>
      <c r="K483" s="199"/>
      <c r="L483" s="199"/>
      <c r="M483" s="199"/>
      <c r="N483" s="199"/>
      <c r="O483" s="199"/>
      <c r="P483" s="199"/>
      <c r="Q483" s="199"/>
      <c r="R483" s="199"/>
      <c r="S483" s="199"/>
      <c r="T483" s="199"/>
      <c r="U483" s="199"/>
      <c r="V483" s="199"/>
      <c r="W483" s="199"/>
      <c r="X483" s="199"/>
      <c r="Y483" s="199"/>
      <c r="Z483" s="199"/>
      <c r="AA483" s="199"/>
      <c r="AB483" s="199"/>
    </row>
    <row r="484" spans="1:28" ht="12.75">
      <c r="A484" s="199"/>
      <c r="B484" s="199"/>
      <c r="C484" s="199"/>
      <c r="D484" s="199"/>
      <c r="E484" s="199"/>
      <c r="F484" s="199"/>
      <c r="G484" s="244"/>
      <c r="H484" s="199"/>
      <c r="I484" s="199"/>
      <c r="J484" s="199"/>
      <c r="K484" s="199"/>
      <c r="L484" s="199"/>
      <c r="M484" s="199"/>
      <c r="N484" s="199"/>
      <c r="O484" s="199"/>
      <c r="P484" s="199"/>
      <c r="Q484" s="199"/>
      <c r="R484" s="199"/>
      <c r="S484" s="199"/>
      <c r="T484" s="199"/>
      <c r="U484" s="199"/>
      <c r="V484" s="199"/>
      <c r="W484" s="199"/>
      <c r="X484" s="199"/>
      <c r="Y484" s="199"/>
      <c r="Z484" s="199"/>
      <c r="AA484" s="199"/>
      <c r="AB484" s="199"/>
    </row>
    <row r="485" spans="1:28" ht="12.75">
      <c r="A485" s="199"/>
      <c r="B485" s="199"/>
      <c r="C485" s="199"/>
      <c r="D485" s="199"/>
      <c r="E485" s="199"/>
      <c r="F485" s="199"/>
      <c r="G485" s="244"/>
      <c r="H485" s="199"/>
      <c r="I485" s="199"/>
      <c r="J485" s="199"/>
      <c r="K485" s="199"/>
      <c r="L485" s="199"/>
      <c r="M485" s="199"/>
      <c r="N485" s="199"/>
      <c r="O485" s="199"/>
      <c r="P485" s="199"/>
      <c r="Q485" s="199"/>
      <c r="R485" s="199"/>
      <c r="S485" s="199"/>
      <c r="T485" s="199"/>
      <c r="U485" s="199"/>
      <c r="V485" s="199"/>
      <c r="W485" s="199"/>
      <c r="X485" s="199"/>
      <c r="Y485" s="199"/>
      <c r="Z485" s="199"/>
      <c r="AA485" s="199"/>
      <c r="AB485" s="199"/>
    </row>
    <row r="486" spans="1:28" ht="12.75">
      <c r="A486" s="199"/>
      <c r="B486" s="199"/>
      <c r="C486" s="199"/>
      <c r="D486" s="199"/>
      <c r="E486" s="199"/>
      <c r="F486" s="199"/>
      <c r="G486" s="244"/>
      <c r="H486" s="199"/>
      <c r="I486" s="199"/>
      <c r="J486" s="199"/>
      <c r="K486" s="199"/>
      <c r="L486" s="199"/>
      <c r="M486" s="199"/>
      <c r="N486" s="199"/>
      <c r="O486" s="199"/>
      <c r="P486" s="199"/>
      <c r="Q486" s="199"/>
      <c r="R486" s="199"/>
      <c r="S486" s="199"/>
      <c r="T486" s="199"/>
      <c r="U486" s="199"/>
      <c r="V486" s="199"/>
      <c r="W486" s="199"/>
      <c r="X486" s="199"/>
      <c r="Y486" s="199"/>
      <c r="Z486" s="199"/>
      <c r="AA486" s="199"/>
      <c r="AB486" s="199"/>
    </row>
    <row r="487" spans="1:28" ht="12.75">
      <c r="A487" s="199"/>
      <c r="B487" s="199"/>
      <c r="C487" s="199"/>
      <c r="D487" s="199"/>
      <c r="E487" s="199"/>
      <c r="F487" s="199"/>
      <c r="G487" s="244"/>
      <c r="H487" s="199"/>
      <c r="I487" s="199"/>
      <c r="J487" s="199"/>
      <c r="K487" s="199"/>
      <c r="L487" s="199"/>
      <c r="M487" s="199"/>
      <c r="N487" s="199"/>
      <c r="O487" s="199"/>
      <c r="P487" s="199"/>
      <c r="Q487" s="199"/>
      <c r="R487" s="199"/>
      <c r="S487" s="199"/>
      <c r="T487" s="199"/>
      <c r="U487" s="199"/>
      <c r="V487" s="199"/>
      <c r="W487" s="199"/>
      <c r="X487" s="199"/>
      <c r="Y487" s="199"/>
      <c r="Z487" s="199"/>
      <c r="AA487" s="199"/>
      <c r="AB487" s="199"/>
    </row>
    <row r="488" spans="1:28" ht="12.75">
      <c r="A488" s="199"/>
      <c r="B488" s="199"/>
      <c r="C488" s="199"/>
      <c r="D488" s="199"/>
      <c r="E488" s="199"/>
      <c r="F488" s="199"/>
      <c r="G488" s="244"/>
      <c r="H488" s="199"/>
      <c r="I488" s="199"/>
      <c r="J488" s="199"/>
      <c r="K488" s="199"/>
      <c r="L488" s="199"/>
      <c r="M488" s="199"/>
      <c r="N488" s="199"/>
      <c r="O488" s="199"/>
      <c r="P488" s="199"/>
      <c r="Q488" s="199"/>
      <c r="R488" s="199"/>
      <c r="S488" s="199"/>
      <c r="T488" s="199"/>
      <c r="U488" s="199"/>
      <c r="V488" s="199"/>
      <c r="W488" s="199"/>
      <c r="X488" s="199"/>
      <c r="Y488" s="199"/>
      <c r="Z488" s="199"/>
      <c r="AA488" s="199"/>
      <c r="AB488" s="199"/>
    </row>
    <row r="489" spans="1:28" ht="12.75">
      <c r="A489" s="199"/>
      <c r="B489" s="199"/>
      <c r="C489" s="199"/>
      <c r="D489" s="199"/>
      <c r="E489" s="199"/>
      <c r="F489" s="199"/>
      <c r="G489" s="244"/>
      <c r="H489" s="199"/>
      <c r="I489" s="199"/>
      <c r="J489" s="199"/>
      <c r="K489" s="199"/>
      <c r="L489" s="199"/>
      <c r="M489" s="199"/>
      <c r="N489" s="199"/>
      <c r="O489" s="199"/>
      <c r="P489" s="199"/>
      <c r="Q489" s="199"/>
      <c r="R489" s="199"/>
      <c r="S489" s="199"/>
      <c r="T489" s="199"/>
      <c r="U489" s="199"/>
      <c r="V489" s="199"/>
      <c r="W489" s="199"/>
      <c r="X489" s="199"/>
      <c r="Y489" s="199"/>
      <c r="Z489" s="199"/>
      <c r="AA489" s="199"/>
      <c r="AB489" s="199"/>
    </row>
    <row r="490" spans="1:28" ht="12.75">
      <c r="A490" s="199"/>
      <c r="B490" s="199"/>
      <c r="C490" s="199"/>
      <c r="D490" s="199"/>
      <c r="E490" s="199"/>
      <c r="F490" s="199"/>
      <c r="G490" s="244"/>
      <c r="H490" s="199"/>
      <c r="I490" s="199"/>
      <c r="J490" s="199"/>
      <c r="K490" s="199"/>
      <c r="L490" s="199"/>
      <c r="M490" s="199"/>
      <c r="N490" s="199"/>
      <c r="O490" s="199"/>
      <c r="P490" s="199"/>
      <c r="Q490" s="199"/>
      <c r="R490" s="199"/>
      <c r="S490" s="199"/>
      <c r="T490" s="199"/>
      <c r="U490" s="199"/>
      <c r="V490" s="199"/>
      <c r="W490" s="199"/>
      <c r="X490" s="199"/>
      <c r="Y490" s="199"/>
      <c r="Z490" s="199"/>
      <c r="AA490" s="199"/>
      <c r="AB490" s="199"/>
    </row>
    <row r="491" spans="1:28" ht="12.75">
      <c r="A491" s="199"/>
      <c r="B491" s="199"/>
      <c r="C491" s="199"/>
      <c r="D491" s="199"/>
      <c r="E491" s="199"/>
      <c r="F491" s="199"/>
      <c r="G491" s="244"/>
      <c r="H491" s="199"/>
      <c r="I491" s="199"/>
      <c r="J491" s="199"/>
      <c r="K491" s="199"/>
      <c r="L491" s="199"/>
      <c r="M491" s="199"/>
      <c r="N491" s="199"/>
      <c r="O491" s="199"/>
      <c r="P491" s="199"/>
      <c r="Q491" s="199"/>
      <c r="R491" s="199"/>
      <c r="S491" s="199"/>
      <c r="T491" s="199"/>
      <c r="U491" s="199"/>
      <c r="V491" s="199"/>
      <c r="W491" s="199"/>
      <c r="X491" s="199"/>
      <c r="Y491" s="199"/>
      <c r="Z491" s="199"/>
      <c r="AA491" s="199"/>
      <c r="AB491" s="199"/>
    </row>
    <row r="492" spans="1:28" ht="12.75">
      <c r="A492" s="199"/>
      <c r="B492" s="199"/>
      <c r="C492" s="199"/>
      <c r="D492" s="199"/>
      <c r="E492" s="199"/>
      <c r="F492" s="199"/>
      <c r="G492" s="244"/>
      <c r="H492" s="199"/>
      <c r="I492" s="199"/>
      <c r="J492" s="199"/>
      <c r="K492" s="199"/>
      <c r="L492" s="199"/>
      <c r="M492" s="199"/>
      <c r="N492" s="199"/>
      <c r="O492" s="199"/>
      <c r="P492" s="199"/>
      <c r="Q492" s="199"/>
      <c r="R492" s="199"/>
      <c r="S492" s="199"/>
      <c r="T492" s="199"/>
      <c r="U492" s="199"/>
      <c r="V492" s="199"/>
      <c r="W492" s="199"/>
      <c r="X492" s="199"/>
      <c r="Y492" s="199"/>
      <c r="Z492" s="199"/>
      <c r="AA492" s="199"/>
      <c r="AB492" s="199"/>
    </row>
    <row r="493" spans="1:28" ht="12.75">
      <c r="A493" s="199"/>
      <c r="B493" s="199"/>
      <c r="C493" s="199"/>
      <c r="D493" s="199"/>
      <c r="E493" s="199"/>
      <c r="F493" s="199"/>
      <c r="G493" s="244"/>
      <c r="H493" s="199"/>
      <c r="I493" s="199"/>
      <c r="J493" s="199"/>
      <c r="K493" s="199"/>
      <c r="L493" s="199"/>
      <c r="M493" s="199"/>
      <c r="N493" s="199"/>
      <c r="O493" s="199"/>
      <c r="P493" s="199"/>
      <c r="Q493" s="199"/>
      <c r="R493" s="199"/>
      <c r="S493" s="199"/>
      <c r="T493" s="199"/>
      <c r="U493" s="199"/>
      <c r="V493" s="199"/>
      <c r="W493" s="199"/>
      <c r="X493" s="199"/>
      <c r="Y493" s="199"/>
      <c r="Z493" s="199"/>
      <c r="AA493" s="199"/>
      <c r="AB493" s="199"/>
    </row>
    <row r="494" spans="1:28" ht="12.75">
      <c r="A494" s="199"/>
      <c r="B494" s="199"/>
      <c r="C494" s="199"/>
      <c r="D494" s="199"/>
      <c r="E494" s="199"/>
      <c r="F494" s="199"/>
      <c r="G494" s="244"/>
      <c r="H494" s="199"/>
      <c r="I494" s="199"/>
      <c r="J494" s="199"/>
      <c r="K494" s="199"/>
      <c r="L494" s="199"/>
      <c r="M494" s="199"/>
      <c r="N494" s="199"/>
      <c r="O494" s="199"/>
      <c r="P494" s="199"/>
      <c r="Q494" s="199"/>
      <c r="R494" s="199"/>
      <c r="S494" s="199"/>
      <c r="T494" s="199"/>
      <c r="U494" s="199"/>
      <c r="V494" s="199"/>
      <c r="W494" s="199"/>
      <c r="X494" s="199"/>
      <c r="Y494" s="199"/>
      <c r="Z494" s="199"/>
      <c r="AA494" s="199"/>
      <c r="AB494" s="199"/>
    </row>
    <row r="495" spans="1:28" ht="12.75">
      <c r="A495" s="199"/>
      <c r="B495" s="199"/>
      <c r="C495" s="199"/>
      <c r="D495" s="199"/>
      <c r="E495" s="199"/>
      <c r="F495" s="199"/>
      <c r="G495" s="244"/>
      <c r="H495" s="199"/>
      <c r="I495" s="199"/>
      <c r="J495" s="199"/>
      <c r="K495" s="199"/>
      <c r="L495" s="199"/>
      <c r="M495" s="199"/>
      <c r="N495" s="199"/>
      <c r="O495" s="199"/>
      <c r="P495" s="199"/>
      <c r="Q495" s="199"/>
      <c r="R495" s="199"/>
      <c r="S495" s="199"/>
      <c r="T495" s="199"/>
      <c r="U495" s="199"/>
      <c r="V495" s="199"/>
      <c r="W495" s="199"/>
      <c r="X495" s="199"/>
      <c r="Y495" s="199"/>
      <c r="Z495" s="199"/>
      <c r="AA495" s="199"/>
      <c r="AB495" s="199"/>
    </row>
    <row r="496" spans="1:28" ht="12.75">
      <c r="A496" s="199"/>
      <c r="B496" s="199"/>
      <c r="C496" s="199"/>
      <c r="D496" s="199"/>
      <c r="E496" s="199"/>
      <c r="F496" s="199"/>
      <c r="G496" s="244"/>
      <c r="H496" s="199"/>
      <c r="I496" s="199"/>
      <c r="J496" s="199"/>
      <c r="K496" s="199"/>
      <c r="L496" s="199"/>
      <c r="M496" s="199"/>
      <c r="N496" s="199"/>
      <c r="O496" s="199"/>
      <c r="P496" s="199"/>
      <c r="Q496" s="199"/>
      <c r="R496" s="199"/>
      <c r="S496" s="199"/>
      <c r="T496" s="199"/>
      <c r="U496" s="199"/>
      <c r="V496" s="199"/>
      <c r="W496" s="199"/>
      <c r="X496" s="199"/>
      <c r="Y496" s="199"/>
      <c r="Z496" s="199"/>
      <c r="AA496" s="199"/>
      <c r="AB496" s="199"/>
    </row>
    <row r="497" spans="1:28" ht="12.75">
      <c r="A497" s="199"/>
      <c r="B497" s="199"/>
      <c r="C497" s="199"/>
      <c r="D497" s="199"/>
      <c r="E497" s="199"/>
      <c r="F497" s="199"/>
      <c r="G497" s="244"/>
      <c r="H497" s="199"/>
      <c r="I497" s="199"/>
      <c r="J497" s="199"/>
      <c r="K497" s="199"/>
      <c r="L497" s="199"/>
      <c r="M497" s="199"/>
      <c r="N497" s="199"/>
      <c r="O497" s="199"/>
      <c r="P497" s="199"/>
      <c r="Q497" s="199"/>
      <c r="R497" s="199"/>
      <c r="S497" s="199"/>
      <c r="T497" s="199"/>
      <c r="U497" s="199"/>
      <c r="V497" s="199"/>
      <c r="W497" s="199"/>
      <c r="X497" s="199"/>
      <c r="Y497" s="199"/>
      <c r="Z497" s="199"/>
      <c r="AA497" s="199"/>
      <c r="AB497" s="199"/>
    </row>
    <row r="498" spans="1:28" ht="12.75">
      <c r="A498" s="199"/>
      <c r="B498" s="199"/>
      <c r="C498" s="199"/>
      <c r="D498" s="199"/>
      <c r="E498" s="199"/>
      <c r="F498" s="199"/>
      <c r="G498" s="244"/>
      <c r="H498" s="199"/>
      <c r="I498" s="199"/>
      <c r="J498" s="199"/>
      <c r="K498" s="199"/>
      <c r="L498" s="199"/>
      <c r="M498" s="199"/>
      <c r="N498" s="199"/>
      <c r="O498" s="199"/>
      <c r="P498" s="199"/>
      <c r="Q498" s="199"/>
      <c r="R498" s="199"/>
      <c r="S498" s="199"/>
      <c r="T498" s="199"/>
      <c r="U498" s="199"/>
      <c r="V498" s="199"/>
      <c r="W498" s="199"/>
      <c r="X498" s="199"/>
      <c r="Y498" s="199"/>
      <c r="Z498" s="199"/>
      <c r="AA498" s="199"/>
      <c r="AB498" s="199"/>
    </row>
    <row r="499" spans="1:28" ht="12.75">
      <c r="A499" s="199"/>
      <c r="B499" s="199"/>
      <c r="C499" s="199"/>
      <c r="D499" s="199"/>
      <c r="E499" s="199"/>
      <c r="F499" s="199"/>
      <c r="G499" s="244"/>
      <c r="H499" s="199"/>
      <c r="I499" s="199"/>
      <c r="J499" s="199"/>
      <c r="K499" s="199"/>
      <c r="L499" s="199"/>
      <c r="M499" s="199"/>
      <c r="N499" s="199"/>
      <c r="O499" s="199"/>
      <c r="P499" s="199"/>
      <c r="Q499" s="199"/>
      <c r="R499" s="199"/>
      <c r="S499" s="199"/>
      <c r="T499" s="199"/>
      <c r="U499" s="199"/>
      <c r="V499" s="199"/>
      <c r="W499" s="199"/>
      <c r="X499" s="199"/>
      <c r="Y499" s="199"/>
      <c r="Z499" s="199"/>
      <c r="AA499" s="199"/>
      <c r="AB499" s="199"/>
    </row>
    <row r="500" spans="1:28" ht="12.75">
      <c r="A500" s="199"/>
      <c r="B500" s="199"/>
      <c r="C500" s="199"/>
      <c r="D500" s="199"/>
      <c r="E500" s="199"/>
      <c r="F500" s="199"/>
      <c r="G500" s="244"/>
      <c r="H500" s="199"/>
      <c r="I500" s="199"/>
      <c r="J500" s="199"/>
      <c r="K500" s="199"/>
      <c r="L500" s="199"/>
      <c r="M500" s="199"/>
      <c r="N500" s="199"/>
      <c r="O500" s="199"/>
      <c r="P500" s="199"/>
      <c r="Q500" s="199"/>
      <c r="R500" s="199"/>
      <c r="S500" s="199"/>
      <c r="T500" s="199"/>
      <c r="U500" s="199"/>
      <c r="V500" s="199"/>
      <c r="W500" s="199"/>
      <c r="X500" s="199"/>
      <c r="Y500" s="199"/>
      <c r="Z500" s="199"/>
      <c r="AA500" s="199"/>
      <c r="AB500" s="199"/>
    </row>
    <row r="501" spans="1:28" ht="12.75">
      <c r="A501" s="199"/>
      <c r="B501" s="199"/>
      <c r="C501" s="199"/>
      <c r="D501" s="199"/>
      <c r="E501" s="199"/>
      <c r="F501" s="199"/>
      <c r="G501" s="244"/>
      <c r="H501" s="199"/>
      <c r="I501" s="199"/>
      <c r="J501" s="199"/>
      <c r="K501" s="199"/>
      <c r="L501" s="199"/>
      <c r="M501" s="199"/>
      <c r="N501" s="199"/>
      <c r="O501" s="199"/>
      <c r="P501" s="199"/>
      <c r="Q501" s="199"/>
      <c r="R501" s="199"/>
      <c r="S501" s="199"/>
      <c r="T501" s="199"/>
      <c r="U501" s="199"/>
      <c r="V501" s="199"/>
      <c r="W501" s="199"/>
      <c r="X501" s="199"/>
      <c r="Y501" s="199"/>
      <c r="Z501" s="199"/>
      <c r="AA501" s="199"/>
      <c r="AB501" s="199"/>
    </row>
    <row r="502" spans="1:28" ht="12.75">
      <c r="A502" s="199"/>
      <c r="B502" s="199"/>
      <c r="C502" s="199"/>
      <c r="D502" s="199"/>
      <c r="E502" s="199"/>
      <c r="F502" s="199"/>
      <c r="G502" s="244"/>
      <c r="H502" s="199"/>
      <c r="I502" s="199"/>
      <c r="J502" s="199"/>
      <c r="K502" s="199"/>
      <c r="L502" s="199"/>
      <c r="M502" s="199"/>
      <c r="N502" s="199"/>
      <c r="O502" s="199"/>
      <c r="P502" s="199"/>
      <c r="Q502" s="199"/>
      <c r="R502" s="199"/>
      <c r="S502" s="199"/>
      <c r="T502" s="199"/>
      <c r="U502" s="199"/>
      <c r="V502" s="199"/>
      <c r="W502" s="199"/>
      <c r="X502" s="199"/>
      <c r="Y502" s="199"/>
      <c r="Z502" s="199"/>
      <c r="AA502" s="199"/>
      <c r="AB502" s="199"/>
    </row>
    <row r="503" spans="1:28" ht="12.75">
      <c r="A503" s="199"/>
      <c r="B503" s="199"/>
      <c r="C503" s="199"/>
      <c r="D503" s="199"/>
      <c r="E503" s="199"/>
      <c r="F503" s="199"/>
      <c r="G503" s="244"/>
      <c r="H503" s="199"/>
      <c r="I503" s="199"/>
      <c r="J503" s="199"/>
      <c r="K503" s="199"/>
      <c r="L503" s="199"/>
      <c r="M503" s="199"/>
      <c r="N503" s="199"/>
      <c r="O503" s="199"/>
      <c r="P503" s="199"/>
      <c r="Q503" s="199"/>
      <c r="R503" s="199"/>
      <c r="S503" s="199"/>
      <c r="T503" s="199"/>
      <c r="U503" s="199"/>
      <c r="V503" s="199"/>
      <c r="W503" s="199"/>
      <c r="X503" s="199"/>
      <c r="Y503" s="199"/>
      <c r="Z503" s="199"/>
      <c r="AA503" s="199"/>
      <c r="AB503" s="199"/>
    </row>
    <row r="504" spans="1:28" ht="12.75">
      <c r="A504" s="199"/>
      <c r="B504" s="199"/>
      <c r="C504" s="199"/>
      <c r="D504" s="199"/>
      <c r="E504" s="199"/>
      <c r="F504" s="199"/>
      <c r="G504" s="244"/>
      <c r="H504" s="199"/>
      <c r="I504" s="199"/>
      <c r="J504" s="199"/>
      <c r="K504" s="199"/>
      <c r="L504" s="199"/>
      <c r="M504" s="199"/>
      <c r="N504" s="199"/>
      <c r="O504" s="199"/>
      <c r="P504" s="199"/>
      <c r="Q504" s="199"/>
      <c r="R504" s="199"/>
      <c r="S504" s="199"/>
      <c r="T504" s="199"/>
      <c r="U504" s="199"/>
      <c r="V504" s="199"/>
      <c r="W504" s="199"/>
      <c r="X504" s="199"/>
      <c r="Y504" s="199"/>
      <c r="Z504" s="199"/>
      <c r="AA504" s="199"/>
      <c r="AB504" s="199"/>
    </row>
    <row r="505" spans="1:28" ht="12.75">
      <c r="A505" s="199"/>
      <c r="B505" s="199"/>
      <c r="C505" s="199"/>
      <c r="D505" s="199"/>
      <c r="E505" s="199"/>
      <c r="F505" s="199"/>
      <c r="G505" s="244"/>
      <c r="H505" s="199"/>
      <c r="I505" s="199"/>
      <c r="J505" s="199"/>
      <c r="K505" s="199"/>
      <c r="L505" s="199"/>
      <c r="M505" s="199"/>
      <c r="N505" s="199"/>
      <c r="O505" s="199"/>
      <c r="P505" s="199"/>
      <c r="Q505" s="199"/>
      <c r="R505" s="199"/>
      <c r="S505" s="199"/>
      <c r="T505" s="199"/>
      <c r="U505" s="199"/>
      <c r="V505" s="199"/>
      <c r="W505" s="199"/>
      <c r="X505" s="199"/>
      <c r="Y505" s="199"/>
      <c r="Z505" s="199"/>
      <c r="AA505" s="199"/>
      <c r="AB505" s="199"/>
    </row>
    <row r="506" spans="1:28" ht="12.75">
      <c r="A506" s="199"/>
      <c r="B506" s="199"/>
      <c r="C506" s="199"/>
      <c r="D506" s="199"/>
      <c r="E506" s="199"/>
      <c r="F506" s="199"/>
      <c r="G506" s="244"/>
      <c r="H506" s="199"/>
      <c r="I506" s="199"/>
      <c r="J506" s="199"/>
      <c r="K506" s="199"/>
      <c r="L506" s="199"/>
      <c r="M506" s="199"/>
      <c r="N506" s="199"/>
      <c r="O506" s="199"/>
      <c r="P506" s="199"/>
      <c r="Q506" s="199"/>
      <c r="R506" s="199"/>
      <c r="S506" s="199"/>
      <c r="T506" s="199"/>
      <c r="U506" s="199"/>
      <c r="V506" s="199"/>
      <c r="W506" s="199"/>
      <c r="X506" s="199"/>
      <c r="Y506" s="199"/>
      <c r="Z506" s="199"/>
      <c r="AA506" s="199"/>
      <c r="AB506" s="199"/>
    </row>
    <row r="507" spans="1:28" ht="12.75">
      <c r="A507" s="199"/>
      <c r="B507" s="199"/>
      <c r="C507" s="199"/>
      <c r="D507" s="199"/>
      <c r="E507" s="199"/>
      <c r="F507" s="199"/>
      <c r="G507" s="244"/>
      <c r="H507" s="199"/>
      <c r="I507" s="199"/>
      <c r="J507" s="199"/>
      <c r="K507" s="199"/>
      <c r="L507" s="199"/>
      <c r="M507" s="199"/>
      <c r="N507" s="199"/>
      <c r="O507" s="199"/>
      <c r="P507" s="199"/>
      <c r="Q507" s="199"/>
      <c r="R507" s="199"/>
      <c r="S507" s="199"/>
      <c r="T507" s="199"/>
      <c r="U507" s="199"/>
      <c r="V507" s="199"/>
      <c r="W507" s="199"/>
      <c r="X507" s="199"/>
      <c r="Y507" s="199"/>
      <c r="Z507" s="199"/>
      <c r="AA507" s="199"/>
      <c r="AB507" s="199"/>
    </row>
    <row r="508" spans="1:28" ht="12.75">
      <c r="A508" s="199"/>
      <c r="B508" s="199"/>
      <c r="C508" s="199"/>
      <c r="D508" s="199"/>
      <c r="E508" s="199"/>
      <c r="F508" s="199"/>
      <c r="G508" s="244"/>
      <c r="H508" s="199"/>
      <c r="I508" s="199"/>
      <c r="J508" s="199"/>
      <c r="K508" s="199"/>
      <c r="L508" s="199"/>
      <c r="M508" s="199"/>
      <c r="N508" s="199"/>
      <c r="O508" s="199"/>
      <c r="P508" s="199"/>
      <c r="Q508" s="199"/>
      <c r="R508" s="199"/>
      <c r="S508" s="199"/>
      <c r="T508" s="199"/>
      <c r="U508" s="199"/>
      <c r="V508" s="199"/>
      <c r="W508" s="199"/>
      <c r="X508" s="199"/>
      <c r="Y508" s="199"/>
      <c r="Z508" s="199"/>
      <c r="AA508" s="199"/>
      <c r="AB508" s="199"/>
    </row>
    <row r="509" spans="1:28" ht="12.75">
      <c r="A509" s="199"/>
      <c r="B509" s="199"/>
      <c r="C509" s="199"/>
      <c r="D509" s="199"/>
      <c r="E509" s="199"/>
      <c r="F509" s="199"/>
      <c r="G509" s="244"/>
      <c r="H509" s="199"/>
      <c r="I509" s="199"/>
      <c r="J509" s="199"/>
      <c r="K509" s="199"/>
      <c r="L509" s="199"/>
      <c r="M509" s="199"/>
      <c r="N509" s="199"/>
      <c r="O509" s="199"/>
      <c r="P509" s="199"/>
      <c r="Q509" s="199"/>
      <c r="R509" s="199"/>
      <c r="S509" s="199"/>
      <c r="T509" s="199"/>
      <c r="U509" s="199"/>
      <c r="V509" s="199"/>
      <c r="W509" s="199"/>
      <c r="X509" s="199"/>
      <c r="Y509" s="199"/>
      <c r="Z509" s="199"/>
      <c r="AA509" s="199"/>
      <c r="AB509" s="199"/>
    </row>
    <row r="510" spans="1:28" ht="12.75">
      <c r="A510" s="199"/>
      <c r="B510" s="199"/>
      <c r="C510" s="199"/>
      <c r="D510" s="199"/>
      <c r="E510" s="199"/>
      <c r="F510" s="199"/>
      <c r="G510" s="244"/>
      <c r="H510" s="199"/>
      <c r="I510" s="199"/>
      <c r="J510" s="199"/>
      <c r="K510" s="199"/>
      <c r="L510" s="199"/>
      <c r="M510" s="199"/>
      <c r="N510" s="199"/>
      <c r="O510" s="199"/>
      <c r="P510" s="199"/>
      <c r="Q510" s="199"/>
      <c r="R510" s="199"/>
      <c r="S510" s="199"/>
      <c r="T510" s="199"/>
      <c r="U510" s="199"/>
      <c r="V510" s="199"/>
      <c r="W510" s="199"/>
      <c r="X510" s="199"/>
      <c r="Y510" s="199"/>
      <c r="Z510" s="199"/>
      <c r="AA510" s="199"/>
      <c r="AB510" s="199"/>
    </row>
    <row r="511" spans="1:28" ht="12.75">
      <c r="A511" s="199"/>
      <c r="B511" s="199"/>
      <c r="C511" s="199"/>
      <c r="D511" s="199"/>
      <c r="E511" s="199"/>
      <c r="F511" s="199"/>
      <c r="G511" s="244"/>
      <c r="H511" s="199"/>
      <c r="I511" s="199"/>
      <c r="J511" s="199"/>
      <c r="K511" s="199"/>
      <c r="L511" s="199"/>
      <c r="M511" s="199"/>
      <c r="N511" s="199"/>
      <c r="O511" s="199"/>
      <c r="P511" s="199"/>
      <c r="Q511" s="199"/>
      <c r="R511" s="199"/>
      <c r="S511" s="199"/>
      <c r="T511" s="199"/>
      <c r="U511" s="199"/>
      <c r="V511" s="199"/>
      <c r="W511" s="199"/>
      <c r="X511" s="199"/>
      <c r="Y511" s="199"/>
      <c r="Z511" s="199"/>
      <c r="AA511" s="199"/>
      <c r="AB511" s="199"/>
    </row>
    <row r="512" spans="1:28" ht="12.75">
      <c r="A512" s="199"/>
      <c r="B512" s="199"/>
      <c r="C512" s="199"/>
      <c r="D512" s="199"/>
      <c r="E512" s="199"/>
      <c r="F512" s="199"/>
      <c r="G512" s="244"/>
      <c r="H512" s="199"/>
      <c r="I512" s="199"/>
      <c r="J512" s="199"/>
      <c r="K512" s="199"/>
      <c r="L512" s="199"/>
      <c r="M512" s="199"/>
      <c r="N512" s="199"/>
      <c r="O512" s="199"/>
      <c r="P512" s="199"/>
      <c r="Q512" s="199"/>
      <c r="R512" s="199"/>
      <c r="S512" s="199"/>
      <c r="T512" s="199"/>
      <c r="U512" s="199"/>
      <c r="V512" s="199"/>
      <c r="W512" s="199"/>
      <c r="X512" s="199"/>
      <c r="Y512" s="199"/>
      <c r="Z512" s="199"/>
      <c r="AA512" s="199"/>
      <c r="AB512" s="199"/>
    </row>
    <row r="513" spans="1:28" ht="12.75">
      <c r="A513" s="199"/>
      <c r="B513" s="199"/>
      <c r="C513" s="199"/>
      <c r="D513" s="199"/>
      <c r="E513" s="199"/>
      <c r="F513" s="199"/>
      <c r="G513" s="244"/>
      <c r="H513" s="199"/>
      <c r="I513" s="199"/>
      <c r="J513" s="199"/>
      <c r="K513" s="199"/>
      <c r="L513" s="199"/>
      <c r="M513" s="199"/>
      <c r="N513" s="199"/>
      <c r="O513" s="199"/>
      <c r="P513" s="199"/>
      <c r="Q513" s="199"/>
      <c r="R513" s="199"/>
      <c r="S513" s="199"/>
      <c r="T513" s="199"/>
      <c r="U513" s="199"/>
      <c r="V513" s="199"/>
      <c r="W513" s="199"/>
      <c r="X513" s="199"/>
      <c r="Y513" s="199"/>
      <c r="Z513" s="199"/>
      <c r="AA513" s="199"/>
      <c r="AB513" s="199"/>
    </row>
    <row r="514" spans="1:28" ht="12.75">
      <c r="A514" s="199"/>
      <c r="B514" s="199"/>
      <c r="C514" s="199"/>
      <c r="D514" s="199"/>
      <c r="E514" s="199"/>
      <c r="F514" s="199"/>
      <c r="G514" s="244"/>
      <c r="H514" s="199"/>
      <c r="I514" s="199"/>
      <c r="J514" s="199"/>
      <c r="K514" s="199"/>
      <c r="L514" s="199"/>
      <c r="M514" s="199"/>
      <c r="N514" s="199"/>
      <c r="O514" s="199"/>
      <c r="P514" s="199"/>
      <c r="Q514" s="199"/>
      <c r="R514" s="199"/>
      <c r="S514" s="199"/>
      <c r="T514" s="199"/>
      <c r="U514" s="199"/>
      <c r="V514" s="199"/>
      <c r="W514" s="199"/>
      <c r="X514" s="199"/>
      <c r="Y514" s="199"/>
      <c r="Z514" s="199"/>
      <c r="AA514" s="199"/>
      <c r="AB514" s="199"/>
    </row>
    <row r="515" spans="1:28" ht="12.75">
      <c r="A515" s="199"/>
      <c r="B515" s="199"/>
      <c r="C515" s="199"/>
      <c r="D515" s="199"/>
      <c r="E515" s="199"/>
      <c r="F515" s="199"/>
      <c r="G515" s="244"/>
      <c r="H515" s="199"/>
      <c r="I515" s="199"/>
      <c r="J515" s="199"/>
      <c r="K515" s="199"/>
      <c r="L515" s="199"/>
      <c r="M515" s="199"/>
      <c r="N515" s="199"/>
      <c r="O515" s="199"/>
      <c r="P515" s="199"/>
      <c r="Q515" s="199"/>
      <c r="R515" s="199"/>
      <c r="S515" s="199"/>
      <c r="T515" s="199"/>
      <c r="U515" s="199"/>
      <c r="V515" s="199"/>
      <c r="W515" s="199"/>
      <c r="X515" s="199"/>
      <c r="Y515" s="199"/>
      <c r="Z515" s="199"/>
      <c r="AA515" s="199"/>
      <c r="AB515" s="199"/>
    </row>
    <row r="516" spans="1:28" ht="12.75">
      <c r="A516" s="199"/>
      <c r="B516" s="199"/>
      <c r="C516" s="199"/>
      <c r="D516" s="199"/>
      <c r="E516" s="199"/>
      <c r="F516" s="199"/>
      <c r="G516" s="244"/>
      <c r="H516" s="199"/>
      <c r="I516" s="199"/>
      <c r="J516" s="199"/>
      <c r="K516" s="199"/>
      <c r="L516" s="199"/>
      <c r="M516" s="199"/>
      <c r="N516" s="199"/>
      <c r="O516" s="199"/>
      <c r="P516" s="199"/>
      <c r="Q516" s="199"/>
      <c r="R516" s="199"/>
      <c r="S516" s="199"/>
      <c r="T516" s="199"/>
      <c r="U516" s="199"/>
      <c r="V516" s="199"/>
      <c r="W516" s="199"/>
      <c r="X516" s="199"/>
      <c r="Y516" s="199"/>
      <c r="Z516" s="199"/>
      <c r="AA516" s="199"/>
      <c r="AB516" s="199"/>
    </row>
    <row r="517" spans="1:28" ht="12.75">
      <c r="A517" s="199"/>
      <c r="B517" s="199"/>
      <c r="C517" s="199"/>
      <c r="D517" s="199"/>
      <c r="E517" s="199"/>
      <c r="F517" s="199"/>
      <c r="G517" s="244"/>
      <c r="H517" s="199"/>
      <c r="I517" s="199"/>
      <c r="J517" s="199"/>
      <c r="K517" s="199"/>
      <c r="L517" s="199"/>
      <c r="M517" s="199"/>
      <c r="N517" s="199"/>
      <c r="O517" s="199"/>
      <c r="P517" s="199"/>
      <c r="Q517" s="199"/>
      <c r="R517" s="199"/>
      <c r="S517" s="199"/>
      <c r="T517" s="199"/>
      <c r="U517" s="199"/>
      <c r="V517" s="199"/>
      <c r="W517" s="199"/>
      <c r="X517" s="199"/>
      <c r="Y517" s="199"/>
      <c r="Z517" s="199"/>
      <c r="AA517" s="199"/>
      <c r="AB517" s="199"/>
    </row>
    <row r="518" spans="1:28" ht="12.75">
      <c r="A518" s="199"/>
      <c r="B518" s="199"/>
      <c r="C518" s="199"/>
      <c r="D518" s="199"/>
      <c r="E518" s="199"/>
      <c r="F518" s="199"/>
      <c r="G518" s="244"/>
      <c r="H518" s="199"/>
      <c r="I518" s="199"/>
      <c r="J518" s="199"/>
      <c r="K518" s="199"/>
      <c r="L518" s="199"/>
      <c r="M518" s="199"/>
      <c r="N518" s="199"/>
      <c r="O518" s="199"/>
      <c r="P518" s="199"/>
      <c r="Q518" s="199"/>
      <c r="R518" s="199"/>
      <c r="S518" s="199"/>
      <c r="T518" s="199"/>
      <c r="U518" s="199"/>
      <c r="V518" s="199"/>
      <c r="W518" s="199"/>
      <c r="X518" s="199"/>
      <c r="Y518" s="199"/>
      <c r="Z518" s="199"/>
      <c r="AA518" s="199"/>
      <c r="AB518" s="199"/>
    </row>
    <row r="519" spans="1:28" ht="12.75">
      <c r="A519" s="199"/>
      <c r="B519" s="199"/>
      <c r="C519" s="199"/>
      <c r="D519" s="199"/>
      <c r="E519" s="199"/>
      <c r="F519" s="199"/>
      <c r="G519" s="244"/>
      <c r="H519" s="199"/>
      <c r="I519" s="199"/>
      <c r="J519" s="199"/>
      <c r="K519" s="199"/>
      <c r="L519" s="199"/>
      <c r="M519" s="199"/>
      <c r="N519" s="199"/>
      <c r="O519" s="199"/>
      <c r="P519" s="199"/>
      <c r="Q519" s="199"/>
      <c r="R519" s="199"/>
      <c r="S519" s="199"/>
      <c r="T519" s="199"/>
      <c r="U519" s="199"/>
      <c r="V519" s="199"/>
      <c r="W519" s="199"/>
      <c r="X519" s="199"/>
      <c r="Y519" s="199"/>
      <c r="Z519" s="199"/>
      <c r="AA519" s="199"/>
      <c r="AB519" s="199"/>
    </row>
    <row r="520" spans="1:28" ht="12.75">
      <c r="A520" s="199"/>
      <c r="B520" s="199"/>
      <c r="C520" s="199"/>
      <c r="D520" s="199"/>
      <c r="E520" s="199"/>
      <c r="F520" s="199"/>
      <c r="G520" s="244"/>
      <c r="H520" s="199"/>
      <c r="I520" s="199"/>
      <c r="J520" s="199"/>
      <c r="K520" s="199"/>
      <c r="L520" s="199"/>
      <c r="M520" s="199"/>
      <c r="N520" s="199"/>
      <c r="O520" s="199"/>
      <c r="P520" s="199"/>
      <c r="Q520" s="199"/>
      <c r="R520" s="199"/>
      <c r="S520" s="199"/>
      <c r="T520" s="199"/>
      <c r="U520" s="199"/>
      <c r="V520" s="199"/>
      <c r="W520" s="199"/>
      <c r="X520" s="199"/>
      <c r="Y520" s="199"/>
      <c r="Z520" s="199"/>
      <c r="AA520" s="199"/>
      <c r="AB520" s="199"/>
    </row>
    <row r="521" spans="1:28" ht="12.75">
      <c r="A521" s="199"/>
      <c r="B521" s="199"/>
      <c r="C521" s="199"/>
      <c r="D521" s="199"/>
      <c r="E521" s="199"/>
      <c r="F521" s="199"/>
      <c r="G521" s="244"/>
      <c r="H521" s="199"/>
      <c r="I521" s="199"/>
      <c r="J521" s="199"/>
      <c r="K521" s="199"/>
      <c r="L521" s="199"/>
      <c r="M521" s="199"/>
      <c r="N521" s="199"/>
      <c r="O521" s="199"/>
      <c r="P521" s="199"/>
      <c r="Q521" s="199"/>
      <c r="R521" s="199"/>
      <c r="S521" s="199"/>
      <c r="T521" s="199"/>
      <c r="U521" s="199"/>
      <c r="V521" s="199"/>
      <c r="W521" s="199"/>
      <c r="X521" s="199"/>
      <c r="Y521" s="199"/>
      <c r="Z521" s="199"/>
      <c r="AA521" s="199"/>
      <c r="AB521" s="199"/>
    </row>
    <row r="522" spans="1:28" ht="12.75">
      <c r="A522" s="199"/>
      <c r="B522" s="199"/>
      <c r="C522" s="199"/>
      <c r="D522" s="199"/>
      <c r="E522" s="199"/>
      <c r="F522" s="199"/>
      <c r="G522" s="244"/>
      <c r="H522" s="199"/>
      <c r="I522" s="199"/>
      <c r="J522" s="199"/>
      <c r="K522" s="199"/>
      <c r="L522" s="199"/>
      <c r="M522" s="199"/>
      <c r="N522" s="199"/>
      <c r="O522" s="199"/>
      <c r="P522" s="199"/>
      <c r="Q522" s="199"/>
      <c r="R522" s="199"/>
      <c r="S522" s="199"/>
      <c r="T522" s="199"/>
      <c r="U522" s="199"/>
      <c r="V522" s="199"/>
      <c r="W522" s="199"/>
      <c r="X522" s="199"/>
      <c r="Y522" s="199"/>
      <c r="Z522" s="199"/>
      <c r="AA522" s="199"/>
      <c r="AB522" s="199"/>
    </row>
    <row r="523" spans="1:28" ht="12.75">
      <c r="A523" s="199"/>
      <c r="B523" s="199"/>
      <c r="C523" s="199"/>
      <c r="D523" s="199"/>
      <c r="E523" s="199"/>
      <c r="F523" s="199"/>
      <c r="G523" s="244"/>
      <c r="H523" s="199"/>
      <c r="I523" s="199"/>
      <c r="J523" s="199"/>
      <c r="K523" s="199"/>
      <c r="L523" s="199"/>
      <c r="M523" s="199"/>
      <c r="N523" s="199"/>
      <c r="O523" s="199"/>
      <c r="P523" s="199"/>
      <c r="Q523" s="199"/>
      <c r="R523" s="199"/>
      <c r="S523" s="199"/>
      <c r="T523" s="199"/>
      <c r="U523" s="199"/>
      <c r="V523" s="199"/>
      <c r="W523" s="199"/>
      <c r="X523" s="199"/>
      <c r="Y523" s="199"/>
      <c r="Z523" s="199"/>
      <c r="AA523" s="199"/>
      <c r="AB523" s="199"/>
    </row>
    <row r="524" spans="1:28" ht="12.75">
      <c r="A524" s="199"/>
      <c r="B524" s="199"/>
      <c r="C524" s="199"/>
      <c r="D524" s="199"/>
      <c r="E524" s="199"/>
      <c r="F524" s="199"/>
      <c r="G524" s="244"/>
      <c r="H524" s="199"/>
      <c r="I524" s="199"/>
      <c r="J524" s="199"/>
      <c r="K524" s="199"/>
      <c r="L524" s="199"/>
      <c r="M524" s="199"/>
      <c r="N524" s="199"/>
      <c r="O524" s="199"/>
      <c r="P524" s="199"/>
      <c r="Q524" s="199"/>
      <c r="R524" s="199"/>
      <c r="S524" s="199"/>
      <c r="T524" s="199"/>
      <c r="U524" s="199"/>
      <c r="V524" s="199"/>
      <c r="W524" s="199"/>
      <c r="X524" s="199"/>
      <c r="Y524" s="199"/>
      <c r="Z524" s="199"/>
      <c r="AA524" s="199"/>
      <c r="AB524" s="199"/>
    </row>
    <row r="525" spans="1:28" ht="12.75">
      <c r="A525" s="199"/>
      <c r="B525" s="199"/>
      <c r="C525" s="199"/>
      <c r="D525" s="199"/>
      <c r="E525" s="199"/>
      <c r="F525" s="199"/>
      <c r="G525" s="244"/>
      <c r="H525" s="199"/>
      <c r="I525" s="199"/>
      <c r="J525" s="199"/>
      <c r="K525" s="199"/>
      <c r="L525" s="199"/>
      <c r="M525" s="199"/>
      <c r="N525" s="199"/>
      <c r="O525" s="199"/>
      <c r="P525" s="199"/>
      <c r="Q525" s="199"/>
      <c r="R525" s="199"/>
      <c r="S525" s="199"/>
      <c r="T525" s="199"/>
      <c r="U525" s="199"/>
      <c r="V525" s="199"/>
      <c r="W525" s="199"/>
      <c r="X525" s="199"/>
      <c r="Y525" s="199"/>
      <c r="Z525" s="199"/>
      <c r="AA525" s="199"/>
      <c r="AB525" s="199"/>
    </row>
    <row r="526" spans="1:28" ht="12.75">
      <c r="A526" s="199"/>
      <c r="B526" s="199"/>
      <c r="C526" s="199"/>
      <c r="D526" s="199"/>
      <c r="E526" s="199"/>
      <c r="F526" s="199"/>
      <c r="G526" s="244"/>
      <c r="H526" s="199"/>
      <c r="I526" s="199"/>
      <c r="J526" s="199"/>
      <c r="K526" s="199"/>
      <c r="L526" s="199"/>
      <c r="M526" s="199"/>
      <c r="N526" s="199"/>
      <c r="O526" s="199"/>
      <c r="P526" s="199"/>
      <c r="Q526" s="199"/>
      <c r="R526" s="199"/>
      <c r="S526" s="199"/>
      <c r="T526" s="199"/>
      <c r="U526" s="199"/>
      <c r="V526" s="199"/>
      <c r="W526" s="199"/>
      <c r="X526" s="199"/>
      <c r="Y526" s="199"/>
      <c r="Z526" s="199"/>
      <c r="AA526" s="199"/>
      <c r="AB526" s="199"/>
    </row>
    <row r="527" spans="1:28" ht="12.75">
      <c r="A527" s="199"/>
      <c r="B527" s="199"/>
      <c r="C527" s="199"/>
      <c r="D527" s="199"/>
      <c r="E527" s="199"/>
      <c r="F527" s="199"/>
      <c r="G527" s="244"/>
      <c r="H527" s="199"/>
      <c r="I527" s="199"/>
      <c r="J527" s="199"/>
      <c r="K527" s="199"/>
      <c r="L527" s="199"/>
      <c r="M527" s="199"/>
      <c r="N527" s="199"/>
      <c r="O527" s="199"/>
      <c r="P527" s="199"/>
      <c r="Q527" s="199"/>
      <c r="R527" s="199"/>
      <c r="S527" s="199"/>
      <c r="T527" s="199"/>
      <c r="U527" s="199"/>
      <c r="V527" s="199"/>
      <c r="W527" s="199"/>
      <c r="X527" s="199"/>
      <c r="Y527" s="199"/>
      <c r="Z527" s="199"/>
      <c r="AA527" s="199"/>
      <c r="AB527" s="199"/>
    </row>
    <row r="528" spans="1:28" ht="12.75">
      <c r="A528" s="199"/>
      <c r="B528" s="199"/>
      <c r="C528" s="199"/>
      <c r="D528" s="199"/>
      <c r="E528" s="199"/>
      <c r="F528" s="199"/>
      <c r="G528" s="244"/>
      <c r="H528" s="199"/>
      <c r="I528" s="199"/>
      <c r="J528" s="199"/>
      <c r="K528" s="199"/>
      <c r="L528" s="199"/>
      <c r="M528" s="199"/>
      <c r="N528" s="199"/>
      <c r="O528" s="199"/>
      <c r="P528" s="199"/>
      <c r="Q528" s="199"/>
      <c r="R528" s="199"/>
      <c r="S528" s="199"/>
      <c r="T528" s="199"/>
      <c r="U528" s="199"/>
      <c r="V528" s="199"/>
      <c r="W528" s="199"/>
      <c r="X528" s="199"/>
      <c r="Y528" s="199"/>
      <c r="Z528" s="199"/>
      <c r="AA528" s="199"/>
      <c r="AB528" s="199"/>
    </row>
    <row r="529" spans="1:28" ht="12.75">
      <c r="A529" s="199"/>
      <c r="B529" s="199"/>
      <c r="C529" s="199"/>
      <c r="D529" s="199"/>
      <c r="E529" s="199"/>
      <c r="F529" s="199"/>
      <c r="G529" s="244"/>
      <c r="H529" s="199"/>
      <c r="I529" s="199"/>
      <c r="J529" s="199"/>
      <c r="K529" s="199"/>
      <c r="L529" s="199"/>
      <c r="M529" s="199"/>
      <c r="N529" s="199"/>
      <c r="O529" s="199"/>
      <c r="P529" s="199"/>
      <c r="Q529" s="199"/>
      <c r="R529" s="199"/>
      <c r="S529" s="199"/>
      <c r="T529" s="199"/>
      <c r="U529" s="199"/>
      <c r="V529" s="199"/>
      <c r="W529" s="199"/>
      <c r="X529" s="199"/>
      <c r="Y529" s="199"/>
      <c r="Z529" s="199"/>
      <c r="AA529" s="199"/>
      <c r="AB529" s="199"/>
    </row>
    <row r="530" spans="1:28" ht="12.75">
      <c r="A530" s="199"/>
      <c r="B530" s="199"/>
      <c r="C530" s="199"/>
      <c r="D530" s="199"/>
      <c r="E530" s="199"/>
      <c r="F530" s="199"/>
      <c r="G530" s="244"/>
      <c r="H530" s="199"/>
      <c r="I530" s="199"/>
      <c r="J530" s="199"/>
      <c r="K530" s="199"/>
      <c r="L530" s="199"/>
      <c r="M530" s="199"/>
      <c r="N530" s="199"/>
      <c r="O530" s="199"/>
      <c r="P530" s="199"/>
      <c r="Q530" s="199"/>
      <c r="R530" s="199"/>
      <c r="S530" s="199"/>
      <c r="T530" s="199"/>
      <c r="U530" s="199"/>
      <c r="V530" s="199"/>
      <c r="W530" s="199"/>
      <c r="X530" s="199"/>
      <c r="Y530" s="199"/>
      <c r="Z530" s="199"/>
      <c r="AA530" s="199"/>
      <c r="AB530" s="199"/>
    </row>
    <row r="531" spans="1:28" ht="12.75">
      <c r="A531" s="199"/>
      <c r="B531" s="199"/>
      <c r="C531" s="199"/>
      <c r="D531" s="199"/>
      <c r="E531" s="199"/>
      <c r="F531" s="199"/>
      <c r="G531" s="244"/>
      <c r="H531" s="199"/>
      <c r="I531" s="199"/>
      <c r="J531" s="199"/>
      <c r="K531" s="199"/>
      <c r="L531" s="199"/>
      <c r="M531" s="199"/>
      <c r="N531" s="199"/>
      <c r="O531" s="199"/>
      <c r="P531" s="199"/>
      <c r="Q531" s="199"/>
      <c r="R531" s="199"/>
      <c r="S531" s="199"/>
      <c r="T531" s="199"/>
      <c r="U531" s="199"/>
      <c r="V531" s="199"/>
      <c r="W531" s="199"/>
      <c r="X531" s="199"/>
      <c r="Y531" s="199"/>
      <c r="Z531" s="199"/>
      <c r="AA531" s="199"/>
      <c r="AB531" s="199"/>
    </row>
    <row r="532" spans="1:28" ht="12.75">
      <c r="A532" s="199"/>
      <c r="B532" s="199"/>
      <c r="C532" s="199"/>
      <c r="D532" s="199"/>
      <c r="E532" s="199"/>
      <c r="F532" s="199"/>
      <c r="G532" s="244"/>
      <c r="H532" s="199"/>
      <c r="I532" s="199"/>
      <c r="J532" s="199"/>
      <c r="K532" s="199"/>
      <c r="L532" s="199"/>
      <c r="M532" s="199"/>
      <c r="N532" s="199"/>
      <c r="O532" s="199"/>
      <c r="P532" s="199"/>
      <c r="Q532" s="199"/>
      <c r="R532" s="199"/>
      <c r="S532" s="199"/>
      <c r="T532" s="199"/>
      <c r="U532" s="199"/>
      <c r="V532" s="199"/>
      <c r="W532" s="199"/>
      <c r="X532" s="199"/>
      <c r="Y532" s="199"/>
      <c r="Z532" s="199"/>
      <c r="AA532" s="199"/>
      <c r="AB532" s="199"/>
    </row>
    <row r="533" spans="1:28" ht="12.75">
      <c r="A533" s="199"/>
      <c r="B533" s="199"/>
      <c r="C533" s="199"/>
      <c r="D533" s="199"/>
      <c r="E533" s="199"/>
      <c r="F533" s="199"/>
      <c r="G533" s="244"/>
      <c r="H533" s="199"/>
      <c r="I533" s="199"/>
      <c r="J533" s="199"/>
      <c r="K533" s="199"/>
      <c r="L533" s="199"/>
      <c r="M533" s="199"/>
      <c r="N533" s="199"/>
      <c r="O533" s="199"/>
      <c r="P533" s="199"/>
      <c r="Q533" s="199"/>
      <c r="R533" s="199"/>
      <c r="S533" s="199"/>
      <c r="T533" s="199"/>
      <c r="U533" s="199"/>
      <c r="V533" s="199"/>
      <c r="W533" s="199"/>
      <c r="X533" s="199"/>
      <c r="Y533" s="199"/>
      <c r="Z533" s="199"/>
      <c r="AA533" s="199"/>
      <c r="AB533" s="199"/>
    </row>
    <row r="534" spans="1:28" ht="12.75">
      <c r="A534" s="199"/>
      <c r="B534" s="199"/>
      <c r="C534" s="199"/>
      <c r="D534" s="199"/>
      <c r="E534" s="199"/>
      <c r="F534" s="199"/>
      <c r="G534" s="244"/>
      <c r="H534" s="199"/>
      <c r="I534" s="199"/>
      <c r="J534" s="199"/>
      <c r="K534" s="199"/>
      <c r="L534" s="199"/>
      <c r="M534" s="199"/>
      <c r="N534" s="199"/>
      <c r="O534" s="199"/>
      <c r="P534" s="199"/>
      <c r="Q534" s="199"/>
      <c r="R534" s="199"/>
      <c r="S534" s="199"/>
      <c r="T534" s="199"/>
      <c r="U534" s="199"/>
      <c r="V534" s="199"/>
      <c r="W534" s="199"/>
      <c r="X534" s="199"/>
      <c r="Y534" s="199"/>
      <c r="Z534" s="199"/>
      <c r="AA534" s="199"/>
      <c r="AB534" s="199"/>
    </row>
    <row r="535" spans="1:28" ht="12.75">
      <c r="A535" s="199"/>
      <c r="B535" s="199"/>
      <c r="C535" s="199"/>
      <c r="D535" s="199"/>
      <c r="E535" s="199"/>
      <c r="F535" s="199"/>
      <c r="G535" s="244"/>
      <c r="H535" s="199"/>
      <c r="I535" s="199"/>
      <c r="J535" s="199"/>
      <c r="K535" s="199"/>
      <c r="L535" s="199"/>
      <c r="M535" s="199"/>
      <c r="N535" s="199"/>
      <c r="O535" s="199"/>
      <c r="P535" s="199"/>
      <c r="Q535" s="199"/>
      <c r="R535" s="199"/>
      <c r="S535" s="199"/>
      <c r="T535" s="199"/>
      <c r="U535" s="199"/>
      <c r="V535" s="199"/>
      <c r="W535" s="199"/>
      <c r="X535" s="199"/>
      <c r="Y535" s="199"/>
      <c r="Z535" s="199"/>
      <c r="AA535" s="199"/>
      <c r="AB535" s="199"/>
    </row>
    <row r="536" spans="1:28" ht="12.75">
      <c r="A536" s="199"/>
      <c r="B536" s="199"/>
      <c r="C536" s="199"/>
      <c r="D536" s="199"/>
      <c r="E536" s="199"/>
      <c r="F536" s="199"/>
      <c r="G536" s="244"/>
      <c r="H536" s="199"/>
      <c r="I536" s="199"/>
      <c r="J536" s="199"/>
      <c r="K536" s="199"/>
      <c r="L536" s="199"/>
      <c r="M536" s="199"/>
      <c r="N536" s="199"/>
      <c r="O536" s="199"/>
      <c r="P536" s="199"/>
      <c r="Q536" s="199"/>
      <c r="R536" s="199"/>
      <c r="S536" s="199"/>
      <c r="T536" s="199"/>
      <c r="U536" s="199"/>
      <c r="V536" s="199"/>
      <c r="W536" s="199"/>
      <c r="X536" s="199"/>
      <c r="Y536" s="199"/>
      <c r="Z536" s="199"/>
      <c r="AA536" s="199"/>
      <c r="AB536" s="199"/>
    </row>
    <row r="537" spans="1:28" ht="12.75">
      <c r="A537" s="199"/>
      <c r="B537" s="199"/>
      <c r="C537" s="199"/>
      <c r="D537" s="199"/>
      <c r="E537" s="199"/>
      <c r="F537" s="199"/>
      <c r="G537" s="244"/>
      <c r="H537" s="199"/>
      <c r="I537" s="199"/>
      <c r="J537" s="199"/>
      <c r="K537" s="199"/>
      <c r="L537" s="199"/>
      <c r="M537" s="199"/>
      <c r="N537" s="199"/>
      <c r="O537" s="199"/>
      <c r="P537" s="199"/>
      <c r="Q537" s="199"/>
      <c r="R537" s="199"/>
      <c r="S537" s="199"/>
      <c r="T537" s="199"/>
      <c r="U537" s="199"/>
      <c r="V537" s="199"/>
      <c r="W537" s="199"/>
      <c r="X537" s="199"/>
      <c r="Y537" s="199"/>
      <c r="Z537" s="199"/>
      <c r="AA537" s="199"/>
      <c r="AB537" s="199"/>
    </row>
    <row r="538" spans="1:28" ht="12.75">
      <c r="A538" s="199"/>
      <c r="B538" s="199"/>
      <c r="C538" s="199"/>
      <c r="D538" s="199"/>
      <c r="E538" s="199"/>
      <c r="F538" s="199"/>
      <c r="G538" s="244"/>
      <c r="H538" s="199"/>
      <c r="I538" s="199"/>
      <c r="J538" s="199"/>
      <c r="K538" s="199"/>
      <c r="L538" s="199"/>
      <c r="M538" s="199"/>
      <c r="N538" s="199"/>
      <c r="O538" s="199"/>
      <c r="P538" s="199"/>
      <c r="Q538" s="199"/>
      <c r="R538" s="199"/>
      <c r="S538" s="199"/>
      <c r="T538" s="199"/>
      <c r="U538" s="199"/>
      <c r="V538" s="199"/>
      <c r="W538" s="199"/>
      <c r="X538" s="199"/>
      <c r="Y538" s="199"/>
      <c r="Z538" s="199"/>
      <c r="AA538" s="199"/>
      <c r="AB538" s="199"/>
    </row>
    <row r="539" spans="1:28" ht="12.75">
      <c r="A539" s="199"/>
      <c r="B539" s="199"/>
      <c r="C539" s="199"/>
      <c r="D539" s="199"/>
      <c r="E539" s="199"/>
      <c r="F539" s="199"/>
      <c r="G539" s="244"/>
      <c r="H539" s="199"/>
      <c r="I539" s="199"/>
      <c r="J539" s="199"/>
      <c r="K539" s="199"/>
      <c r="L539" s="199"/>
      <c r="M539" s="199"/>
      <c r="N539" s="199"/>
      <c r="O539" s="199"/>
      <c r="P539" s="199"/>
      <c r="Q539" s="199"/>
      <c r="R539" s="199"/>
      <c r="S539" s="199"/>
      <c r="T539" s="199"/>
      <c r="U539" s="199"/>
      <c r="V539" s="199"/>
      <c r="W539" s="199"/>
      <c r="X539" s="199"/>
      <c r="Y539" s="199"/>
      <c r="Z539" s="199"/>
      <c r="AA539" s="199"/>
      <c r="AB539" s="199"/>
    </row>
    <row r="540" spans="1:28" ht="12.75">
      <c r="A540" s="199"/>
      <c r="B540" s="199"/>
      <c r="C540" s="199"/>
      <c r="D540" s="199"/>
      <c r="E540" s="199"/>
      <c r="F540" s="199"/>
      <c r="G540" s="244"/>
      <c r="H540" s="199"/>
      <c r="I540" s="199"/>
      <c r="J540" s="199"/>
      <c r="K540" s="199"/>
      <c r="L540" s="199"/>
      <c r="M540" s="199"/>
      <c r="N540" s="199"/>
      <c r="O540" s="199"/>
      <c r="P540" s="199"/>
      <c r="Q540" s="199"/>
      <c r="R540" s="199"/>
      <c r="S540" s="199"/>
      <c r="T540" s="199"/>
      <c r="U540" s="199"/>
      <c r="V540" s="199"/>
      <c r="W540" s="199"/>
      <c r="X540" s="199"/>
      <c r="Y540" s="199"/>
      <c r="Z540" s="199"/>
      <c r="AA540" s="199"/>
      <c r="AB540" s="199"/>
    </row>
    <row r="541" spans="1:28" ht="12.75">
      <c r="A541" s="199"/>
      <c r="B541" s="199"/>
      <c r="C541" s="199"/>
      <c r="D541" s="199"/>
      <c r="E541" s="199"/>
      <c r="F541" s="199"/>
      <c r="G541" s="244"/>
      <c r="H541" s="199"/>
      <c r="I541" s="199"/>
      <c r="J541" s="199"/>
      <c r="K541" s="199"/>
      <c r="L541" s="199"/>
      <c r="M541" s="199"/>
      <c r="N541" s="199"/>
      <c r="O541" s="199"/>
      <c r="P541" s="199"/>
      <c r="Q541" s="199"/>
      <c r="R541" s="199"/>
      <c r="S541" s="199"/>
      <c r="T541" s="199"/>
      <c r="U541" s="199"/>
      <c r="V541" s="199"/>
      <c r="W541" s="199"/>
      <c r="X541" s="199"/>
      <c r="Y541" s="199"/>
      <c r="Z541" s="199"/>
      <c r="AA541" s="199"/>
      <c r="AB541" s="199"/>
    </row>
    <row r="542" spans="1:28" ht="12.75">
      <c r="A542" s="199"/>
      <c r="B542" s="199"/>
      <c r="C542" s="199"/>
      <c r="D542" s="199"/>
      <c r="E542" s="199"/>
      <c r="F542" s="199"/>
      <c r="G542" s="244"/>
      <c r="H542" s="199"/>
      <c r="I542" s="199"/>
      <c r="J542" s="199"/>
      <c r="K542" s="199"/>
      <c r="L542" s="199"/>
      <c r="M542" s="199"/>
      <c r="N542" s="199"/>
      <c r="O542" s="199"/>
      <c r="P542" s="199"/>
      <c r="Q542" s="199"/>
      <c r="R542" s="199"/>
      <c r="S542" s="199"/>
      <c r="T542" s="199"/>
      <c r="U542" s="199"/>
      <c r="V542" s="199"/>
      <c r="W542" s="199"/>
      <c r="X542" s="199"/>
      <c r="Y542" s="199"/>
      <c r="Z542" s="199"/>
      <c r="AA542" s="199"/>
      <c r="AB542" s="199"/>
    </row>
    <row r="543" spans="1:28" ht="12.75">
      <c r="A543" s="199"/>
      <c r="B543" s="199"/>
      <c r="C543" s="199"/>
      <c r="D543" s="199"/>
      <c r="E543" s="199"/>
      <c r="F543" s="199"/>
      <c r="G543" s="244"/>
      <c r="H543" s="199"/>
      <c r="I543" s="199"/>
      <c r="J543" s="199"/>
      <c r="K543" s="199"/>
      <c r="L543" s="199"/>
      <c r="M543" s="199"/>
      <c r="N543" s="199"/>
      <c r="O543" s="199"/>
      <c r="P543" s="199"/>
      <c r="Q543" s="199"/>
      <c r="R543" s="199"/>
      <c r="S543" s="199"/>
      <c r="T543" s="199"/>
      <c r="U543" s="199"/>
      <c r="V543" s="199"/>
      <c r="W543" s="199"/>
      <c r="X543" s="199"/>
      <c r="Y543" s="199"/>
      <c r="Z543" s="199"/>
      <c r="AA543" s="199"/>
      <c r="AB543" s="199"/>
    </row>
    <row r="544" spans="1:28" ht="12.75">
      <c r="A544" s="199"/>
      <c r="B544" s="199"/>
      <c r="C544" s="199"/>
      <c r="D544" s="199"/>
      <c r="E544" s="199"/>
      <c r="F544" s="199"/>
      <c r="G544" s="244"/>
      <c r="H544" s="199"/>
      <c r="I544" s="199"/>
      <c r="J544" s="199"/>
      <c r="K544" s="199"/>
      <c r="L544" s="199"/>
      <c r="M544" s="199"/>
      <c r="N544" s="199"/>
      <c r="O544" s="199"/>
      <c r="P544" s="199"/>
      <c r="Q544" s="199"/>
      <c r="R544" s="199"/>
      <c r="S544" s="199"/>
      <c r="T544" s="199"/>
      <c r="U544" s="199"/>
      <c r="V544" s="199"/>
      <c r="W544" s="199"/>
      <c r="X544" s="199"/>
      <c r="Y544" s="199"/>
      <c r="Z544" s="199"/>
      <c r="AA544" s="199"/>
      <c r="AB544" s="199"/>
    </row>
    <row r="545" spans="1:28" ht="12.75">
      <c r="A545" s="199"/>
      <c r="B545" s="199"/>
      <c r="C545" s="199"/>
      <c r="D545" s="199"/>
      <c r="E545" s="199"/>
      <c r="F545" s="199"/>
      <c r="G545" s="244"/>
      <c r="H545" s="199"/>
      <c r="I545" s="199"/>
      <c r="J545" s="199"/>
      <c r="K545" s="199"/>
      <c r="L545" s="199"/>
      <c r="M545" s="199"/>
      <c r="N545" s="199"/>
      <c r="O545" s="199"/>
      <c r="P545" s="199"/>
      <c r="Q545" s="199"/>
      <c r="R545" s="199"/>
      <c r="S545" s="199"/>
      <c r="T545" s="199"/>
      <c r="U545" s="199"/>
      <c r="V545" s="199"/>
      <c r="W545" s="199"/>
      <c r="X545" s="199"/>
      <c r="Y545" s="199"/>
      <c r="Z545" s="199"/>
      <c r="AA545" s="199"/>
      <c r="AB545" s="199"/>
    </row>
    <row r="546" spans="1:28" ht="12.75">
      <c r="A546" s="199"/>
      <c r="B546" s="199"/>
      <c r="C546" s="199"/>
      <c r="D546" s="199"/>
      <c r="E546" s="199"/>
      <c r="F546" s="199"/>
      <c r="G546" s="244"/>
      <c r="H546" s="199"/>
      <c r="I546" s="199"/>
      <c r="J546" s="199"/>
      <c r="K546" s="199"/>
      <c r="L546" s="199"/>
      <c r="M546" s="199"/>
      <c r="N546" s="199"/>
      <c r="O546" s="199"/>
      <c r="P546" s="199"/>
      <c r="Q546" s="199"/>
      <c r="R546" s="199"/>
      <c r="S546" s="199"/>
      <c r="T546" s="199"/>
      <c r="U546" s="199"/>
      <c r="V546" s="199"/>
      <c r="W546" s="199"/>
      <c r="X546" s="199"/>
      <c r="Y546" s="199"/>
      <c r="Z546" s="199"/>
      <c r="AA546" s="199"/>
      <c r="AB546" s="199"/>
    </row>
    <row r="547" spans="1:28" ht="12.75">
      <c r="A547" s="199"/>
      <c r="B547" s="199"/>
      <c r="C547" s="199"/>
      <c r="D547" s="199"/>
      <c r="E547" s="199"/>
      <c r="F547" s="199"/>
      <c r="G547" s="244"/>
      <c r="H547" s="199"/>
      <c r="I547" s="199"/>
      <c r="J547" s="199"/>
      <c r="K547" s="199"/>
      <c r="L547" s="199"/>
      <c r="M547" s="199"/>
      <c r="N547" s="199"/>
      <c r="O547" s="199"/>
      <c r="P547" s="199"/>
      <c r="Q547" s="199"/>
      <c r="R547" s="199"/>
      <c r="S547" s="199"/>
      <c r="T547" s="199"/>
      <c r="U547" s="199"/>
      <c r="V547" s="199"/>
      <c r="W547" s="199"/>
      <c r="X547" s="199"/>
      <c r="Y547" s="199"/>
      <c r="Z547" s="199"/>
      <c r="AA547" s="199"/>
      <c r="AB547" s="199"/>
    </row>
    <row r="548" spans="1:28" ht="12.75">
      <c r="A548" s="199"/>
      <c r="B548" s="199"/>
      <c r="C548" s="199"/>
      <c r="D548" s="199"/>
      <c r="E548" s="199"/>
      <c r="F548" s="199"/>
      <c r="G548" s="244"/>
      <c r="H548" s="199"/>
      <c r="I548" s="199"/>
      <c r="J548" s="199"/>
      <c r="K548" s="199"/>
      <c r="L548" s="199"/>
      <c r="M548" s="199"/>
      <c r="N548" s="199"/>
      <c r="O548" s="199"/>
      <c r="P548" s="199"/>
      <c r="Q548" s="199"/>
      <c r="R548" s="199"/>
      <c r="S548" s="199"/>
      <c r="T548" s="199"/>
      <c r="U548" s="199"/>
      <c r="V548" s="199"/>
      <c r="W548" s="199"/>
      <c r="X548" s="199"/>
      <c r="Y548" s="199"/>
      <c r="Z548" s="199"/>
      <c r="AA548" s="199"/>
      <c r="AB548" s="199"/>
    </row>
    <row r="549" spans="1:28" ht="12.75">
      <c r="A549" s="199"/>
      <c r="B549" s="199"/>
      <c r="C549" s="199"/>
      <c r="D549" s="199"/>
      <c r="E549" s="199"/>
      <c r="F549" s="199"/>
      <c r="G549" s="244"/>
      <c r="H549" s="199"/>
      <c r="I549" s="199"/>
      <c r="J549" s="199"/>
      <c r="K549" s="199"/>
      <c r="L549" s="199"/>
      <c r="M549" s="199"/>
      <c r="N549" s="199"/>
      <c r="O549" s="199"/>
      <c r="P549" s="199"/>
      <c r="Q549" s="199"/>
      <c r="R549" s="199"/>
      <c r="S549" s="199"/>
      <c r="T549" s="199"/>
      <c r="U549" s="199"/>
      <c r="V549" s="199"/>
      <c r="W549" s="199"/>
      <c r="X549" s="199"/>
      <c r="Y549" s="199"/>
      <c r="Z549" s="199"/>
      <c r="AA549" s="199"/>
      <c r="AB549" s="199"/>
    </row>
    <row r="550" spans="1:28" ht="12.75">
      <c r="A550" s="199"/>
      <c r="B550" s="199"/>
      <c r="C550" s="199"/>
      <c r="D550" s="199"/>
      <c r="E550" s="199"/>
      <c r="F550" s="199"/>
      <c r="G550" s="244"/>
      <c r="H550" s="199"/>
      <c r="I550" s="199"/>
      <c r="J550" s="199"/>
      <c r="K550" s="199"/>
      <c r="L550" s="199"/>
      <c r="M550" s="199"/>
      <c r="N550" s="199"/>
      <c r="O550" s="199"/>
      <c r="P550" s="199"/>
      <c r="Q550" s="199"/>
      <c r="R550" s="199"/>
      <c r="S550" s="199"/>
      <c r="T550" s="199"/>
      <c r="U550" s="199"/>
      <c r="V550" s="199"/>
      <c r="W550" s="199"/>
      <c r="X550" s="199"/>
      <c r="Y550" s="199"/>
      <c r="Z550" s="199"/>
      <c r="AA550" s="199"/>
      <c r="AB550" s="199"/>
    </row>
    <row r="551" spans="1:28" ht="12.75">
      <c r="A551" s="199"/>
      <c r="B551" s="199"/>
      <c r="C551" s="199"/>
      <c r="D551" s="199"/>
      <c r="E551" s="199"/>
      <c r="F551" s="199"/>
      <c r="G551" s="244"/>
      <c r="H551" s="199"/>
      <c r="I551" s="199"/>
      <c r="J551" s="199"/>
      <c r="K551" s="199"/>
      <c r="L551" s="199"/>
      <c r="M551" s="199"/>
      <c r="N551" s="199"/>
      <c r="O551" s="199"/>
      <c r="P551" s="199"/>
      <c r="Q551" s="199"/>
      <c r="R551" s="199"/>
      <c r="S551" s="199"/>
      <c r="T551" s="199"/>
      <c r="U551" s="199"/>
      <c r="V551" s="199"/>
      <c r="W551" s="199"/>
      <c r="X551" s="199"/>
      <c r="Y551" s="199"/>
      <c r="Z551" s="199"/>
      <c r="AA551" s="199"/>
      <c r="AB551" s="199"/>
    </row>
    <row r="552" spans="1:28" ht="12.75">
      <c r="A552" s="199"/>
      <c r="B552" s="199"/>
      <c r="C552" s="199"/>
      <c r="D552" s="199"/>
      <c r="E552" s="199"/>
      <c r="F552" s="199"/>
      <c r="G552" s="244"/>
      <c r="H552" s="199"/>
      <c r="I552" s="199"/>
      <c r="J552" s="199"/>
      <c r="K552" s="199"/>
      <c r="L552" s="199"/>
      <c r="M552" s="199"/>
      <c r="N552" s="199"/>
      <c r="O552" s="199"/>
      <c r="P552" s="199"/>
      <c r="Q552" s="199"/>
      <c r="R552" s="199"/>
      <c r="S552" s="199"/>
      <c r="T552" s="199"/>
      <c r="U552" s="199"/>
      <c r="V552" s="199"/>
      <c r="W552" s="199"/>
      <c r="X552" s="199"/>
      <c r="Y552" s="199"/>
      <c r="Z552" s="199"/>
      <c r="AA552" s="199"/>
      <c r="AB552" s="199"/>
    </row>
    <row r="553" spans="1:28" ht="12.75">
      <c r="A553" s="199"/>
      <c r="B553" s="199"/>
      <c r="C553" s="199"/>
      <c r="D553" s="199"/>
      <c r="E553" s="199"/>
      <c r="F553" s="199"/>
      <c r="G553" s="244"/>
      <c r="H553" s="199"/>
      <c r="I553" s="199"/>
      <c r="J553" s="199"/>
      <c r="K553" s="199"/>
      <c r="L553" s="199"/>
      <c r="M553" s="199"/>
      <c r="N553" s="199"/>
      <c r="O553" s="199"/>
      <c r="P553" s="199"/>
      <c r="Q553" s="199"/>
      <c r="R553" s="199"/>
      <c r="S553" s="199"/>
      <c r="T553" s="199"/>
      <c r="U553" s="199"/>
      <c r="V553" s="199"/>
      <c r="W553" s="199"/>
      <c r="X553" s="199"/>
      <c r="Y553" s="199"/>
      <c r="Z553" s="199"/>
      <c r="AA553" s="199"/>
      <c r="AB553" s="199"/>
    </row>
    <row r="554" spans="1:28" ht="12.75">
      <c r="A554" s="199"/>
      <c r="B554" s="199"/>
      <c r="C554" s="199"/>
      <c r="D554" s="199"/>
      <c r="E554" s="199"/>
      <c r="F554" s="199"/>
      <c r="G554" s="244"/>
      <c r="H554" s="199"/>
      <c r="I554" s="199"/>
      <c r="J554" s="199"/>
      <c r="K554" s="199"/>
      <c r="L554" s="199"/>
      <c r="M554" s="199"/>
      <c r="N554" s="199"/>
      <c r="O554" s="199"/>
      <c r="P554" s="199"/>
      <c r="Q554" s="199"/>
      <c r="R554" s="199"/>
      <c r="S554" s="199"/>
      <c r="T554" s="199"/>
      <c r="U554" s="199"/>
      <c r="V554" s="199"/>
      <c r="W554" s="199"/>
      <c r="X554" s="199"/>
      <c r="Y554" s="199"/>
      <c r="Z554" s="199"/>
      <c r="AA554" s="199"/>
      <c r="AB554" s="199"/>
    </row>
    <row r="555" spans="1:28" ht="12.75">
      <c r="A555" s="199"/>
      <c r="B555" s="199"/>
      <c r="C555" s="199"/>
      <c r="D555" s="199"/>
      <c r="E555" s="199"/>
      <c r="F555" s="199"/>
      <c r="G555" s="244"/>
      <c r="H555" s="199"/>
      <c r="I555" s="199"/>
      <c r="J555" s="199"/>
      <c r="K555" s="199"/>
      <c r="L555" s="199"/>
      <c r="M555" s="199"/>
      <c r="N555" s="199"/>
      <c r="O555" s="199"/>
      <c r="P555" s="199"/>
      <c r="Q555" s="199"/>
      <c r="R555" s="199"/>
      <c r="S555" s="199"/>
      <c r="T555" s="199"/>
      <c r="U555" s="199"/>
      <c r="V555" s="199"/>
      <c r="W555" s="199"/>
      <c r="X555" s="199"/>
      <c r="Y555" s="199"/>
      <c r="Z555" s="199"/>
      <c r="AA555" s="199"/>
      <c r="AB555" s="199"/>
    </row>
    <row r="556" spans="1:28" ht="12.75">
      <c r="A556" s="199"/>
      <c r="B556" s="199"/>
      <c r="C556" s="199"/>
      <c r="D556" s="199"/>
      <c r="E556" s="199"/>
      <c r="F556" s="199"/>
      <c r="G556" s="244"/>
      <c r="H556" s="199"/>
      <c r="I556" s="199"/>
      <c r="J556" s="199"/>
      <c r="K556" s="199"/>
      <c r="L556" s="199"/>
      <c r="M556" s="199"/>
      <c r="N556" s="199"/>
      <c r="O556" s="199"/>
      <c r="P556" s="199"/>
      <c r="Q556" s="199"/>
      <c r="R556" s="199"/>
      <c r="S556" s="199"/>
      <c r="T556" s="199"/>
      <c r="U556" s="199"/>
      <c r="V556" s="199"/>
      <c r="W556" s="199"/>
      <c r="X556" s="199"/>
      <c r="Y556" s="199"/>
      <c r="Z556" s="199"/>
      <c r="AA556" s="199"/>
      <c r="AB556" s="199"/>
    </row>
    <row r="557" spans="1:28" ht="12.75">
      <c r="A557" s="199"/>
      <c r="B557" s="199"/>
      <c r="C557" s="199"/>
      <c r="D557" s="199"/>
      <c r="E557" s="199"/>
      <c r="F557" s="199"/>
      <c r="G557" s="244"/>
      <c r="H557" s="199"/>
      <c r="I557" s="199"/>
      <c r="J557" s="199"/>
      <c r="K557" s="199"/>
      <c r="L557" s="199"/>
      <c r="M557" s="199"/>
      <c r="N557" s="199"/>
      <c r="O557" s="199"/>
      <c r="P557" s="199"/>
      <c r="Q557" s="199"/>
      <c r="R557" s="199"/>
      <c r="S557" s="199"/>
      <c r="T557" s="199"/>
      <c r="U557" s="199"/>
      <c r="V557" s="199"/>
      <c r="W557" s="199"/>
      <c r="X557" s="199"/>
      <c r="Y557" s="199"/>
      <c r="Z557" s="199"/>
      <c r="AA557" s="199"/>
      <c r="AB557" s="199"/>
    </row>
    <row r="558" spans="1:28" ht="12.75">
      <c r="A558" s="199"/>
      <c r="B558" s="199"/>
      <c r="C558" s="199"/>
      <c r="D558" s="199"/>
      <c r="E558" s="199"/>
      <c r="F558" s="199"/>
      <c r="G558" s="244"/>
      <c r="H558" s="199"/>
      <c r="I558" s="199"/>
      <c r="J558" s="199"/>
      <c r="K558" s="199"/>
      <c r="L558" s="199"/>
      <c r="M558" s="199"/>
      <c r="N558" s="199"/>
      <c r="O558" s="199"/>
      <c r="P558" s="199"/>
      <c r="Q558" s="199"/>
      <c r="R558" s="199"/>
      <c r="S558" s="199"/>
      <c r="T558" s="199"/>
      <c r="U558" s="199"/>
      <c r="V558" s="199"/>
      <c r="W558" s="199"/>
      <c r="X558" s="199"/>
      <c r="Y558" s="199"/>
      <c r="Z558" s="199"/>
      <c r="AA558" s="199"/>
      <c r="AB558" s="199"/>
    </row>
    <row r="559" spans="1:28" ht="12.75">
      <c r="A559" s="199"/>
      <c r="B559" s="199"/>
      <c r="C559" s="199"/>
      <c r="D559" s="199"/>
      <c r="E559" s="199"/>
      <c r="F559" s="199"/>
      <c r="G559" s="244"/>
      <c r="H559" s="199"/>
      <c r="I559" s="199"/>
      <c r="J559" s="199"/>
      <c r="K559" s="199"/>
      <c r="L559" s="199"/>
      <c r="M559" s="199"/>
      <c r="N559" s="199"/>
      <c r="O559" s="199"/>
      <c r="P559" s="199"/>
      <c r="Q559" s="199"/>
      <c r="R559" s="199"/>
      <c r="S559" s="199"/>
      <c r="T559" s="199"/>
      <c r="U559" s="199"/>
      <c r="V559" s="199"/>
      <c r="W559" s="199"/>
      <c r="X559" s="199"/>
      <c r="Y559" s="199"/>
      <c r="Z559" s="199"/>
      <c r="AA559" s="199"/>
      <c r="AB559" s="199"/>
    </row>
    <row r="560" spans="1:28" ht="12.75">
      <c r="A560" s="199"/>
      <c r="B560" s="199"/>
      <c r="C560" s="199"/>
      <c r="D560" s="199"/>
      <c r="E560" s="199"/>
      <c r="F560" s="199"/>
      <c r="G560" s="244"/>
      <c r="H560" s="199"/>
      <c r="I560" s="199"/>
      <c r="J560" s="199"/>
      <c r="K560" s="199"/>
      <c r="L560" s="199"/>
      <c r="M560" s="199"/>
      <c r="N560" s="199"/>
      <c r="O560" s="199"/>
      <c r="P560" s="199"/>
      <c r="Q560" s="199"/>
      <c r="R560" s="199"/>
      <c r="S560" s="199"/>
      <c r="T560" s="199"/>
      <c r="U560" s="199"/>
      <c r="V560" s="199"/>
      <c r="W560" s="199"/>
      <c r="X560" s="199"/>
      <c r="Y560" s="199"/>
      <c r="Z560" s="199"/>
      <c r="AA560" s="199"/>
      <c r="AB560" s="199"/>
    </row>
    <row r="561" spans="1:28" ht="12.75">
      <c r="A561" s="199"/>
      <c r="B561" s="199"/>
      <c r="C561" s="199"/>
      <c r="D561" s="199"/>
      <c r="E561" s="199"/>
      <c r="F561" s="199"/>
      <c r="G561" s="244"/>
      <c r="H561" s="199"/>
      <c r="I561" s="199"/>
      <c r="J561" s="199"/>
      <c r="K561" s="199"/>
      <c r="L561" s="199"/>
      <c r="M561" s="199"/>
      <c r="N561" s="199"/>
      <c r="O561" s="199"/>
      <c r="P561" s="199"/>
      <c r="Q561" s="199"/>
      <c r="R561" s="199"/>
      <c r="S561" s="199"/>
      <c r="T561" s="199"/>
      <c r="U561" s="199"/>
      <c r="V561" s="199"/>
      <c r="W561" s="199"/>
      <c r="X561" s="199"/>
      <c r="Y561" s="199"/>
      <c r="Z561" s="199"/>
      <c r="AA561" s="199"/>
      <c r="AB561" s="199"/>
    </row>
    <row r="562" spans="1:28" ht="12.75">
      <c r="A562" s="199"/>
      <c r="B562" s="199"/>
      <c r="C562" s="199"/>
      <c r="D562" s="199"/>
      <c r="E562" s="199"/>
      <c r="F562" s="199"/>
      <c r="G562" s="244"/>
      <c r="H562" s="199"/>
      <c r="I562" s="199"/>
      <c r="J562" s="199"/>
      <c r="K562" s="199"/>
      <c r="L562" s="199"/>
      <c r="M562" s="199"/>
      <c r="N562" s="199"/>
      <c r="O562" s="199"/>
      <c r="P562" s="199"/>
      <c r="Q562" s="199"/>
      <c r="R562" s="199"/>
      <c r="S562" s="199"/>
      <c r="T562" s="199"/>
      <c r="U562" s="199"/>
      <c r="V562" s="199"/>
      <c r="W562" s="199"/>
      <c r="X562" s="199"/>
      <c r="Y562" s="199"/>
      <c r="Z562" s="199"/>
      <c r="AA562" s="199"/>
      <c r="AB562" s="199"/>
    </row>
    <row r="563" spans="1:28" ht="12.75">
      <c r="A563" s="199"/>
      <c r="B563" s="199"/>
      <c r="C563" s="199"/>
      <c r="D563" s="199"/>
      <c r="E563" s="199"/>
      <c r="F563" s="199"/>
      <c r="G563" s="244"/>
      <c r="H563" s="199"/>
      <c r="I563" s="199"/>
      <c r="J563" s="199"/>
      <c r="K563" s="199"/>
      <c r="L563" s="199"/>
      <c r="M563" s="199"/>
      <c r="N563" s="199"/>
      <c r="O563" s="199"/>
      <c r="P563" s="199"/>
      <c r="Q563" s="199"/>
      <c r="R563" s="199"/>
      <c r="S563" s="199"/>
      <c r="T563" s="199"/>
      <c r="U563" s="199"/>
      <c r="V563" s="199"/>
      <c r="W563" s="199"/>
      <c r="X563" s="199"/>
      <c r="Y563" s="199"/>
      <c r="Z563" s="199"/>
      <c r="AA563" s="199"/>
      <c r="AB563" s="199"/>
    </row>
    <row r="564" spans="1:28" ht="12.75">
      <c r="A564" s="199"/>
      <c r="B564" s="199"/>
      <c r="C564" s="199"/>
      <c r="D564" s="199"/>
      <c r="E564" s="199"/>
      <c r="F564" s="199"/>
      <c r="G564" s="244"/>
      <c r="H564" s="199"/>
      <c r="I564" s="199"/>
      <c r="J564" s="199"/>
      <c r="K564" s="199"/>
      <c r="L564" s="199"/>
      <c r="M564" s="199"/>
      <c r="N564" s="199"/>
      <c r="O564" s="199"/>
      <c r="P564" s="199"/>
      <c r="Q564" s="199"/>
      <c r="R564" s="199"/>
      <c r="S564" s="199"/>
      <c r="T564" s="199"/>
      <c r="U564" s="199"/>
      <c r="V564" s="199"/>
      <c r="W564" s="199"/>
      <c r="X564" s="199"/>
      <c r="Y564" s="199"/>
      <c r="Z564" s="199"/>
      <c r="AA564" s="199"/>
      <c r="AB564" s="199"/>
    </row>
    <row r="565" spans="1:28" ht="12.75">
      <c r="A565" s="199"/>
      <c r="B565" s="199"/>
      <c r="C565" s="199"/>
      <c r="D565" s="199"/>
      <c r="E565" s="199"/>
      <c r="F565" s="199"/>
      <c r="G565" s="244"/>
      <c r="H565" s="199"/>
      <c r="I565" s="199"/>
      <c r="J565" s="199"/>
      <c r="K565" s="199"/>
      <c r="L565" s="199"/>
      <c r="M565" s="199"/>
      <c r="N565" s="199"/>
      <c r="O565" s="199"/>
      <c r="P565" s="199"/>
      <c r="Q565" s="199"/>
      <c r="R565" s="199"/>
      <c r="S565" s="199"/>
      <c r="T565" s="199"/>
      <c r="U565" s="199"/>
      <c r="V565" s="199"/>
      <c r="W565" s="199"/>
      <c r="X565" s="199"/>
      <c r="Y565" s="199"/>
      <c r="Z565" s="199"/>
      <c r="AA565" s="199"/>
      <c r="AB565" s="199"/>
    </row>
    <row r="566" spans="1:28" ht="12.75">
      <c r="A566" s="199"/>
      <c r="B566" s="199"/>
      <c r="C566" s="199"/>
      <c r="D566" s="199"/>
      <c r="E566" s="199"/>
      <c r="F566" s="199"/>
      <c r="G566" s="244"/>
      <c r="H566" s="199"/>
      <c r="I566" s="199"/>
      <c r="J566" s="199"/>
      <c r="K566" s="199"/>
      <c r="L566" s="199"/>
      <c r="M566" s="199"/>
      <c r="N566" s="199"/>
      <c r="O566" s="199"/>
      <c r="P566" s="199"/>
      <c r="Q566" s="199"/>
      <c r="R566" s="199"/>
      <c r="S566" s="199"/>
      <c r="T566" s="199"/>
      <c r="U566" s="199"/>
      <c r="V566" s="199"/>
      <c r="W566" s="199"/>
      <c r="X566" s="199"/>
      <c r="Y566" s="199"/>
      <c r="Z566" s="199"/>
      <c r="AA566" s="199"/>
      <c r="AB566" s="199"/>
    </row>
    <row r="567" spans="1:28" ht="12.75">
      <c r="A567" s="199"/>
      <c r="B567" s="199"/>
      <c r="C567" s="199"/>
      <c r="D567" s="199"/>
      <c r="E567" s="199"/>
      <c r="F567" s="199"/>
      <c r="G567" s="244"/>
      <c r="H567" s="199"/>
      <c r="I567" s="199"/>
      <c r="J567" s="199"/>
      <c r="K567" s="199"/>
      <c r="L567" s="199"/>
      <c r="M567" s="199"/>
      <c r="N567" s="199"/>
      <c r="O567" s="199"/>
      <c r="P567" s="199"/>
      <c r="Q567" s="199"/>
      <c r="R567" s="199"/>
      <c r="S567" s="199"/>
      <c r="T567" s="199"/>
      <c r="U567" s="199"/>
      <c r="V567" s="199"/>
      <c r="W567" s="199"/>
      <c r="X567" s="199"/>
      <c r="Y567" s="199"/>
      <c r="Z567" s="199"/>
      <c r="AA567" s="199"/>
      <c r="AB567" s="199"/>
    </row>
    <row r="568" spans="1:28" ht="12.75">
      <c r="A568" s="199"/>
      <c r="B568" s="199"/>
      <c r="C568" s="199"/>
      <c r="D568" s="199"/>
      <c r="E568" s="199"/>
      <c r="F568" s="199"/>
      <c r="G568" s="244"/>
      <c r="H568" s="199"/>
      <c r="I568" s="199"/>
      <c r="J568" s="199"/>
      <c r="K568" s="199"/>
      <c r="L568" s="199"/>
      <c r="M568" s="199"/>
      <c r="N568" s="199"/>
      <c r="O568" s="199"/>
      <c r="P568" s="199"/>
      <c r="Q568" s="199"/>
      <c r="R568" s="199"/>
      <c r="S568" s="199"/>
      <c r="T568" s="199"/>
      <c r="U568" s="199"/>
      <c r="V568" s="199"/>
      <c r="W568" s="199"/>
      <c r="X568" s="199"/>
      <c r="Y568" s="199"/>
      <c r="Z568" s="199"/>
      <c r="AA568" s="199"/>
      <c r="AB568" s="199"/>
    </row>
    <row r="569" spans="1:28" ht="12.75">
      <c r="A569" s="199"/>
      <c r="B569" s="199"/>
      <c r="C569" s="199"/>
      <c r="D569" s="199"/>
      <c r="E569" s="199"/>
      <c r="F569" s="199"/>
      <c r="G569" s="244"/>
      <c r="H569" s="199"/>
      <c r="I569" s="199"/>
      <c r="J569" s="199"/>
      <c r="K569" s="199"/>
      <c r="L569" s="199"/>
      <c r="M569" s="199"/>
      <c r="N569" s="199"/>
      <c r="O569" s="199"/>
      <c r="P569" s="199"/>
      <c r="Q569" s="199"/>
      <c r="R569" s="199"/>
      <c r="S569" s="199"/>
      <c r="T569" s="199"/>
      <c r="U569" s="199"/>
      <c r="V569" s="199"/>
      <c r="W569" s="199"/>
      <c r="X569" s="199"/>
      <c r="Y569" s="199"/>
      <c r="Z569" s="199"/>
      <c r="AA569" s="199"/>
      <c r="AB569" s="199"/>
    </row>
    <row r="570" spans="1:28" ht="12.75">
      <c r="A570" s="199"/>
      <c r="B570" s="199"/>
      <c r="C570" s="199"/>
      <c r="D570" s="199"/>
      <c r="E570" s="199"/>
      <c r="F570" s="199"/>
      <c r="G570" s="244"/>
      <c r="H570" s="199"/>
      <c r="I570" s="199"/>
      <c r="J570" s="199"/>
      <c r="K570" s="199"/>
      <c r="L570" s="199"/>
      <c r="M570" s="199"/>
      <c r="N570" s="199"/>
      <c r="O570" s="199"/>
      <c r="P570" s="199"/>
      <c r="Q570" s="199"/>
      <c r="R570" s="199"/>
      <c r="S570" s="199"/>
      <c r="T570" s="199"/>
      <c r="U570" s="199"/>
      <c r="V570" s="199"/>
      <c r="W570" s="199"/>
      <c r="X570" s="199"/>
      <c r="Y570" s="199"/>
      <c r="Z570" s="199"/>
      <c r="AA570" s="199"/>
      <c r="AB570" s="199"/>
    </row>
    <row r="571" spans="1:28" ht="12.75">
      <c r="A571" s="199"/>
      <c r="B571" s="199"/>
      <c r="C571" s="199"/>
      <c r="D571" s="199"/>
      <c r="E571" s="199"/>
      <c r="F571" s="199"/>
      <c r="G571" s="244"/>
      <c r="H571" s="199"/>
      <c r="I571" s="199"/>
      <c r="J571" s="199"/>
      <c r="K571" s="199"/>
      <c r="L571" s="199"/>
      <c r="M571" s="199"/>
      <c r="N571" s="199"/>
      <c r="O571" s="199"/>
      <c r="P571" s="199"/>
      <c r="Q571" s="199"/>
      <c r="R571" s="199"/>
      <c r="S571" s="199"/>
      <c r="T571" s="199"/>
      <c r="U571" s="199"/>
      <c r="V571" s="199"/>
      <c r="W571" s="199"/>
      <c r="X571" s="199"/>
      <c r="Y571" s="199"/>
      <c r="Z571" s="199"/>
      <c r="AA571" s="199"/>
      <c r="AB571" s="199"/>
    </row>
    <row r="572" spans="1:28" ht="12.75">
      <c r="A572" s="199"/>
      <c r="B572" s="199"/>
      <c r="C572" s="199"/>
      <c r="D572" s="199"/>
      <c r="E572" s="199"/>
      <c r="F572" s="199"/>
      <c r="G572" s="244"/>
      <c r="H572" s="199"/>
      <c r="I572" s="199"/>
      <c r="J572" s="199"/>
      <c r="K572" s="199"/>
      <c r="L572" s="199"/>
      <c r="M572" s="199"/>
      <c r="N572" s="199"/>
      <c r="O572" s="199"/>
      <c r="P572" s="199"/>
      <c r="Q572" s="199"/>
      <c r="R572" s="199"/>
      <c r="S572" s="199"/>
      <c r="T572" s="199"/>
      <c r="U572" s="199"/>
      <c r="V572" s="199"/>
      <c r="W572" s="199"/>
      <c r="X572" s="199"/>
      <c r="Y572" s="199"/>
      <c r="Z572" s="199"/>
      <c r="AA572" s="199"/>
      <c r="AB572" s="199"/>
    </row>
    <row r="573" spans="1:28" ht="12.75">
      <c r="A573" s="199"/>
      <c r="B573" s="199"/>
      <c r="C573" s="199"/>
      <c r="D573" s="199"/>
      <c r="E573" s="199"/>
      <c r="F573" s="199"/>
      <c r="G573" s="244"/>
      <c r="H573" s="199"/>
      <c r="I573" s="199"/>
      <c r="J573" s="199"/>
      <c r="K573" s="199"/>
      <c r="L573" s="199"/>
      <c r="M573" s="199"/>
      <c r="N573" s="199"/>
      <c r="O573" s="199"/>
      <c r="P573" s="199"/>
      <c r="Q573" s="199"/>
      <c r="R573" s="199"/>
      <c r="S573" s="199"/>
      <c r="T573" s="199"/>
      <c r="U573" s="199"/>
      <c r="V573" s="199"/>
      <c r="W573" s="199"/>
      <c r="X573" s="199"/>
      <c r="Y573" s="199"/>
      <c r="Z573" s="199"/>
      <c r="AA573" s="199"/>
      <c r="AB573" s="199"/>
    </row>
    <row r="574" spans="1:28" ht="12.75">
      <c r="A574" s="199"/>
      <c r="B574" s="199"/>
      <c r="C574" s="199"/>
      <c r="D574" s="199"/>
      <c r="E574" s="199"/>
      <c r="F574" s="199"/>
      <c r="G574" s="244"/>
      <c r="H574" s="199"/>
      <c r="I574" s="199"/>
      <c r="J574" s="199"/>
      <c r="K574" s="199"/>
      <c r="L574" s="199"/>
      <c r="M574" s="199"/>
      <c r="N574" s="199"/>
      <c r="O574" s="199"/>
      <c r="P574" s="199"/>
      <c r="Q574" s="199"/>
      <c r="R574" s="199"/>
      <c r="S574" s="199"/>
      <c r="T574" s="199"/>
      <c r="U574" s="199"/>
      <c r="V574" s="199"/>
      <c r="W574" s="199"/>
      <c r="X574" s="199"/>
      <c r="Y574" s="199"/>
      <c r="Z574" s="199"/>
      <c r="AA574" s="199"/>
      <c r="AB574" s="199"/>
    </row>
    <row r="575" spans="1:28" ht="12.75">
      <c r="A575" s="199"/>
      <c r="B575" s="199"/>
      <c r="C575" s="199"/>
      <c r="D575" s="199"/>
      <c r="E575" s="199"/>
      <c r="F575" s="199"/>
      <c r="G575" s="244"/>
      <c r="H575" s="199"/>
      <c r="I575" s="199"/>
      <c r="J575" s="199"/>
      <c r="K575" s="199"/>
      <c r="L575" s="199"/>
      <c r="M575" s="199"/>
      <c r="N575" s="199"/>
      <c r="O575" s="199"/>
      <c r="P575" s="199"/>
      <c r="Q575" s="199"/>
      <c r="R575" s="199"/>
      <c r="S575" s="199"/>
      <c r="T575" s="199"/>
      <c r="U575" s="199"/>
      <c r="V575" s="199"/>
      <c r="W575" s="199"/>
      <c r="X575" s="199"/>
      <c r="Y575" s="199"/>
      <c r="Z575" s="199"/>
      <c r="AA575" s="199"/>
      <c r="AB575" s="199"/>
    </row>
    <row r="576" spans="1:28" ht="12.75">
      <c r="A576" s="199"/>
      <c r="B576" s="199"/>
      <c r="C576" s="199"/>
      <c r="D576" s="199"/>
      <c r="E576" s="199"/>
      <c r="F576" s="199"/>
      <c r="G576" s="244"/>
      <c r="H576" s="199"/>
      <c r="I576" s="199"/>
      <c r="J576" s="199"/>
      <c r="K576" s="199"/>
      <c r="L576" s="199"/>
      <c r="M576" s="199"/>
      <c r="N576" s="199"/>
      <c r="O576" s="199"/>
      <c r="P576" s="199"/>
      <c r="Q576" s="199"/>
      <c r="R576" s="199"/>
      <c r="S576" s="199"/>
      <c r="T576" s="199"/>
      <c r="U576" s="199"/>
      <c r="V576" s="199"/>
      <c r="W576" s="199"/>
      <c r="X576" s="199"/>
      <c r="Y576" s="199"/>
      <c r="Z576" s="199"/>
      <c r="AA576" s="199"/>
      <c r="AB576" s="199"/>
    </row>
    <row r="577" spans="1:28" ht="12.75">
      <c r="A577" s="199"/>
      <c r="B577" s="199"/>
      <c r="C577" s="199"/>
      <c r="D577" s="199"/>
      <c r="E577" s="199"/>
      <c r="F577" s="199"/>
      <c r="G577" s="244"/>
      <c r="H577" s="199"/>
      <c r="I577" s="199"/>
      <c r="J577" s="199"/>
      <c r="K577" s="199"/>
      <c r="L577" s="199"/>
      <c r="M577" s="199"/>
      <c r="N577" s="199"/>
      <c r="O577" s="199"/>
      <c r="P577" s="199"/>
      <c r="Q577" s="199"/>
      <c r="R577" s="199"/>
      <c r="S577" s="199"/>
      <c r="T577" s="199"/>
      <c r="U577" s="199"/>
      <c r="V577" s="199"/>
      <c r="W577" s="199"/>
      <c r="X577" s="199"/>
      <c r="Y577" s="199"/>
      <c r="Z577" s="199"/>
      <c r="AA577" s="199"/>
      <c r="AB577" s="199"/>
    </row>
    <row r="578" spans="1:28" ht="12.75">
      <c r="A578" s="199"/>
      <c r="B578" s="199"/>
      <c r="C578" s="199"/>
      <c r="D578" s="199"/>
      <c r="E578" s="199"/>
      <c r="F578" s="199"/>
      <c r="G578" s="244"/>
      <c r="H578" s="199"/>
      <c r="I578" s="199"/>
      <c r="J578" s="199"/>
      <c r="K578" s="199"/>
      <c r="L578" s="199"/>
      <c r="M578" s="199"/>
      <c r="N578" s="199"/>
      <c r="O578" s="199"/>
      <c r="P578" s="199"/>
      <c r="Q578" s="199"/>
      <c r="R578" s="199"/>
      <c r="S578" s="199"/>
      <c r="T578" s="199"/>
      <c r="U578" s="199"/>
      <c r="V578" s="199"/>
      <c r="W578" s="199"/>
      <c r="X578" s="199"/>
      <c r="Y578" s="199"/>
      <c r="Z578" s="199"/>
      <c r="AA578" s="199"/>
      <c r="AB578" s="199"/>
    </row>
    <row r="579" spans="1:28" ht="12.75">
      <c r="A579" s="199"/>
      <c r="B579" s="199"/>
      <c r="C579" s="199"/>
      <c r="D579" s="199"/>
      <c r="E579" s="199"/>
      <c r="F579" s="199"/>
      <c r="G579" s="244"/>
      <c r="H579" s="199"/>
      <c r="I579" s="199"/>
      <c r="J579" s="199"/>
      <c r="K579" s="199"/>
      <c r="L579" s="199"/>
      <c r="M579" s="199"/>
      <c r="N579" s="199"/>
      <c r="O579" s="199"/>
      <c r="P579" s="199"/>
      <c r="Q579" s="199"/>
      <c r="R579" s="199"/>
      <c r="S579" s="199"/>
      <c r="T579" s="199"/>
      <c r="U579" s="199"/>
      <c r="V579" s="199"/>
      <c r="W579" s="199"/>
      <c r="X579" s="199"/>
      <c r="Y579" s="199"/>
      <c r="Z579" s="199"/>
      <c r="AA579" s="199"/>
      <c r="AB579" s="199"/>
    </row>
    <row r="580" spans="1:28" ht="12.75">
      <c r="A580" s="199"/>
      <c r="B580" s="199"/>
      <c r="C580" s="199"/>
      <c r="D580" s="199"/>
      <c r="E580" s="199"/>
      <c r="F580" s="199"/>
      <c r="G580" s="244"/>
      <c r="H580" s="199"/>
      <c r="I580" s="199"/>
      <c r="J580" s="199"/>
      <c r="K580" s="199"/>
      <c r="L580" s="199"/>
      <c r="M580" s="199"/>
      <c r="N580" s="199"/>
      <c r="O580" s="199"/>
      <c r="P580" s="199"/>
      <c r="Q580" s="199"/>
      <c r="R580" s="199"/>
      <c r="S580" s="199"/>
      <c r="T580" s="199"/>
      <c r="U580" s="199"/>
      <c r="V580" s="199"/>
      <c r="W580" s="199"/>
      <c r="X580" s="199"/>
      <c r="Y580" s="199"/>
      <c r="Z580" s="199"/>
      <c r="AA580" s="199"/>
      <c r="AB580" s="199"/>
    </row>
    <row r="581" spans="1:28" ht="12.75">
      <c r="A581" s="199"/>
      <c r="B581" s="199"/>
      <c r="C581" s="199"/>
      <c r="D581" s="199"/>
      <c r="E581" s="199"/>
      <c r="F581" s="199"/>
      <c r="G581" s="244"/>
      <c r="H581" s="199"/>
      <c r="I581" s="199"/>
      <c r="J581" s="199"/>
      <c r="K581" s="199"/>
      <c r="L581" s="199"/>
      <c r="M581" s="199"/>
      <c r="N581" s="199"/>
      <c r="O581" s="199"/>
      <c r="P581" s="199"/>
      <c r="Q581" s="199"/>
      <c r="R581" s="199"/>
      <c r="S581" s="199"/>
      <c r="T581" s="199"/>
      <c r="U581" s="199"/>
      <c r="V581" s="199"/>
      <c r="W581" s="199"/>
      <c r="X581" s="199"/>
      <c r="Y581" s="199"/>
      <c r="Z581" s="199"/>
      <c r="AA581" s="199"/>
      <c r="AB581" s="199"/>
    </row>
    <row r="582" spans="1:28" ht="12.75">
      <c r="A582" s="199"/>
      <c r="B582" s="199"/>
      <c r="C582" s="199"/>
      <c r="D582" s="199"/>
      <c r="E582" s="199"/>
      <c r="F582" s="199"/>
      <c r="G582" s="244"/>
      <c r="H582" s="199"/>
      <c r="I582" s="199"/>
      <c r="J582" s="199"/>
      <c r="K582" s="199"/>
      <c r="L582" s="199"/>
      <c r="M582" s="199"/>
      <c r="N582" s="199"/>
      <c r="O582" s="199"/>
      <c r="P582" s="199"/>
      <c r="Q582" s="199"/>
      <c r="R582" s="199"/>
      <c r="S582" s="199"/>
      <c r="T582" s="199"/>
      <c r="U582" s="199"/>
      <c r="V582" s="199"/>
      <c r="W582" s="199"/>
      <c r="X582" s="199"/>
      <c r="Y582" s="199"/>
      <c r="Z582" s="199"/>
      <c r="AA582" s="199"/>
      <c r="AB582" s="199"/>
    </row>
    <row r="583" spans="1:28" ht="12.75">
      <c r="A583" s="199"/>
      <c r="B583" s="199"/>
      <c r="C583" s="199"/>
      <c r="D583" s="199"/>
      <c r="E583" s="199"/>
      <c r="F583" s="199"/>
      <c r="G583" s="244"/>
      <c r="H583" s="199"/>
      <c r="I583" s="199"/>
      <c r="J583" s="199"/>
      <c r="K583" s="199"/>
      <c r="L583" s="199"/>
      <c r="M583" s="199"/>
      <c r="N583" s="199"/>
      <c r="O583" s="199"/>
      <c r="P583" s="199"/>
      <c r="Q583" s="199"/>
      <c r="R583" s="199"/>
      <c r="S583" s="199"/>
      <c r="T583" s="199"/>
      <c r="U583" s="199"/>
      <c r="V583" s="199"/>
      <c r="W583" s="199"/>
      <c r="X583" s="199"/>
      <c r="Y583" s="199"/>
      <c r="Z583" s="199"/>
      <c r="AA583" s="199"/>
      <c r="AB583" s="199"/>
    </row>
    <row r="584" spans="1:28" ht="12.75">
      <c r="A584" s="199"/>
      <c r="B584" s="199"/>
      <c r="C584" s="199"/>
      <c r="D584" s="199"/>
      <c r="E584" s="199"/>
      <c r="F584" s="199"/>
      <c r="G584" s="244"/>
      <c r="H584" s="199"/>
      <c r="I584" s="199"/>
      <c r="J584" s="199"/>
      <c r="K584" s="199"/>
      <c r="L584" s="199"/>
      <c r="M584" s="199"/>
      <c r="N584" s="199"/>
      <c r="O584" s="199"/>
      <c r="P584" s="199"/>
      <c r="Q584" s="199"/>
      <c r="R584" s="199"/>
      <c r="S584" s="199"/>
      <c r="T584" s="199"/>
      <c r="U584" s="199"/>
      <c r="V584" s="199"/>
      <c r="W584" s="199"/>
      <c r="X584" s="199"/>
      <c r="Y584" s="199"/>
      <c r="Z584" s="199"/>
      <c r="AA584" s="199"/>
      <c r="AB584" s="199"/>
    </row>
    <row r="585" spans="1:28" ht="12.75">
      <c r="A585" s="199"/>
      <c r="B585" s="199"/>
      <c r="C585" s="199"/>
      <c r="D585" s="199"/>
      <c r="E585" s="199"/>
      <c r="F585" s="199"/>
      <c r="G585" s="244"/>
      <c r="H585" s="199"/>
      <c r="I585" s="199"/>
      <c r="J585" s="199"/>
      <c r="K585" s="199"/>
      <c r="L585" s="199"/>
      <c r="M585" s="199"/>
      <c r="N585" s="199"/>
      <c r="O585" s="199"/>
      <c r="P585" s="199"/>
      <c r="Q585" s="199"/>
      <c r="R585" s="199"/>
      <c r="S585" s="199"/>
      <c r="T585" s="199"/>
      <c r="U585" s="199"/>
      <c r="V585" s="199"/>
      <c r="W585" s="199"/>
      <c r="X585" s="199"/>
      <c r="Y585" s="199"/>
      <c r="Z585" s="199"/>
      <c r="AA585" s="199"/>
      <c r="AB585" s="199"/>
    </row>
    <row r="586" spans="1:28" ht="12.75">
      <c r="A586" s="199"/>
      <c r="B586" s="199"/>
      <c r="C586" s="199"/>
      <c r="D586" s="199"/>
      <c r="E586" s="199"/>
      <c r="F586" s="199"/>
      <c r="G586" s="244"/>
      <c r="H586" s="199"/>
      <c r="I586" s="199"/>
      <c r="J586" s="199"/>
      <c r="K586" s="199"/>
      <c r="L586" s="199"/>
      <c r="M586" s="199"/>
      <c r="N586" s="199"/>
      <c r="O586" s="199"/>
      <c r="P586" s="199"/>
      <c r="Q586" s="199"/>
      <c r="R586" s="199"/>
      <c r="S586" s="199"/>
      <c r="T586" s="199"/>
      <c r="U586" s="199"/>
      <c r="V586" s="199"/>
      <c r="W586" s="199"/>
      <c r="X586" s="199"/>
      <c r="Y586" s="199"/>
      <c r="Z586" s="199"/>
      <c r="AA586" s="199"/>
      <c r="AB586" s="199"/>
    </row>
    <row r="587" spans="1:28" ht="12.75">
      <c r="A587" s="199"/>
      <c r="B587" s="199"/>
      <c r="C587" s="199"/>
      <c r="D587" s="199"/>
      <c r="E587" s="199"/>
      <c r="F587" s="199"/>
      <c r="G587" s="244"/>
      <c r="H587" s="199"/>
      <c r="I587" s="199"/>
      <c r="J587" s="199"/>
      <c r="K587" s="199"/>
      <c r="L587" s="199"/>
      <c r="M587" s="199"/>
      <c r="N587" s="199"/>
      <c r="O587" s="199"/>
      <c r="P587" s="199"/>
      <c r="Q587" s="199"/>
      <c r="R587" s="199"/>
      <c r="S587" s="199"/>
      <c r="T587" s="199"/>
      <c r="U587" s="199"/>
      <c r="V587" s="199"/>
      <c r="W587" s="199"/>
      <c r="X587" s="199"/>
      <c r="Y587" s="199"/>
      <c r="Z587" s="199"/>
      <c r="AA587" s="199"/>
      <c r="AB587" s="199"/>
    </row>
    <row r="588" spans="1:28" ht="12.75">
      <c r="A588" s="199"/>
      <c r="B588" s="199"/>
      <c r="C588" s="199"/>
      <c r="D588" s="199"/>
      <c r="E588" s="199"/>
      <c r="F588" s="199"/>
      <c r="G588" s="244"/>
      <c r="H588" s="199"/>
      <c r="I588" s="199"/>
      <c r="J588" s="199"/>
      <c r="K588" s="199"/>
      <c r="L588" s="199"/>
      <c r="M588" s="199"/>
      <c r="N588" s="199"/>
      <c r="O588" s="199"/>
      <c r="P588" s="199"/>
      <c r="Q588" s="199"/>
      <c r="R588" s="199"/>
      <c r="S588" s="199"/>
      <c r="T588" s="199"/>
      <c r="U588" s="199"/>
      <c r="V588" s="199"/>
      <c r="W588" s="199"/>
      <c r="X588" s="199"/>
      <c r="Y588" s="199"/>
      <c r="Z588" s="199"/>
      <c r="AA588" s="199"/>
      <c r="AB588" s="199"/>
    </row>
    <row r="589" spans="1:28" ht="12.75">
      <c r="A589" s="199"/>
      <c r="B589" s="199"/>
      <c r="C589" s="199"/>
      <c r="D589" s="199"/>
      <c r="E589" s="199"/>
      <c r="F589" s="199"/>
      <c r="G589" s="244"/>
      <c r="H589" s="199"/>
      <c r="I589" s="199"/>
      <c r="J589" s="199"/>
      <c r="K589" s="199"/>
      <c r="L589" s="199"/>
      <c r="M589" s="199"/>
      <c r="N589" s="199"/>
      <c r="O589" s="199"/>
      <c r="P589" s="199"/>
      <c r="Q589" s="199"/>
      <c r="R589" s="199"/>
      <c r="S589" s="199"/>
      <c r="T589" s="199"/>
      <c r="U589" s="199"/>
      <c r="V589" s="199"/>
      <c r="W589" s="199"/>
      <c r="X589" s="199"/>
      <c r="Y589" s="199"/>
      <c r="Z589" s="199"/>
      <c r="AA589" s="199"/>
      <c r="AB589" s="199"/>
    </row>
    <row r="590" spans="1:28" ht="12.75">
      <c r="A590" s="199"/>
      <c r="B590" s="199"/>
      <c r="C590" s="199"/>
      <c r="D590" s="199"/>
      <c r="E590" s="199"/>
      <c r="F590" s="199"/>
      <c r="G590" s="244"/>
      <c r="H590" s="199"/>
      <c r="I590" s="199"/>
      <c r="J590" s="199"/>
      <c r="K590" s="199"/>
      <c r="L590" s="199"/>
      <c r="M590" s="199"/>
      <c r="N590" s="199"/>
      <c r="O590" s="199"/>
      <c r="P590" s="199"/>
      <c r="Q590" s="199"/>
      <c r="R590" s="199"/>
      <c r="S590" s="199"/>
      <c r="T590" s="199"/>
      <c r="U590" s="199"/>
      <c r="V590" s="199"/>
      <c r="W590" s="199"/>
      <c r="X590" s="199"/>
      <c r="Y590" s="199"/>
      <c r="Z590" s="199"/>
      <c r="AA590" s="199"/>
      <c r="AB590" s="199"/>
    </row>
    <row r="591" spans="1:28" ht="12.75">
      <c r="A591" s="199"/>
      <c r="B591" s="199"/>
      <c r="C591" s="199"/>
      <c r="D591" s="199"/>
      <c r="E591" s="199"/>
      <c r="F591" s="199"/>
      <c r="G591" s="244"/>
      <c r="H591" s="199"/>
      <c r="I591" s="199"/>
      <c r="J591" s="199"/>
      <c r="K591" s="199"/>
      <c r="L591" s="199"/>
      <c r="M591" s="199"/>
      <c r="N591" s="199"/>
      <c r="O591" s="199"/>
      <c r="P591" s="199"/>
      <c r="Q591" s="199"/>
      <c r="R591" s="199"/>
      <c r="S591" s="199"/>
      <c r="T591" s="199"/>
      <c r="U591" s="199"/>
      <c r="V591" s="199"/>
      <c r="W591" s="199"/>
      <c r="X591" s="199"/>
      <c r="Y591" s="199"/>
      <c r="Z591" s="199"/>
      <c r="AA591" s="199"/>
      <c r="AB591" s="199"/>
    </row>
    <row r="592" spans="1:28" ht="12.75">
      <c r="A592" s="199"/>
      <c r="B592" s="199"/>
      <c r="C592" s="199"/>
      <c r="D592" s="199"/>
      <c r="E592" s="199"/>
      <c r="F592" s="199"/>
      <c r="G592" s="244"/>
      <c r="H592" s="199"/>
      <c r="I592" s="199"/>
      <c r="J592" s="199"/>
      <c r="K592" s="199"/>
      <c r="L592" s="199"/>
      <c r="M592" s="199"/>
      <c r="N592" s="199"/>
      <c r="O592" s="199"/>
      <c r="P592" s="199"/>
      <c r="Q592" s="199"/>
      <c r="R592" s="199"/>
      <c r="S592" s="199"/>
      <c r="T592" s="199"/>
      <c r="U592" s="199"/>
      <c r="V592" s="199"/>
      <c r="W592" s="199"/>
      <c r="X592" s="199"/>
      <c r="Y592" s="199"/>
      <c r="Z592" s="199"/>
      <c r="AA592" s="199"/>
      <c r="AB592" s="199"/>
    </row>
    <row r="593" spans="1:28" ht="12.75">
      <c r="A593" s="199"/>
      <c r="B593" s="199"/>
      <c r="C593" s="199"/>
      <c r="D593" s="199"/>
      <c r="E593" s="199"/>
      <c r="F593" s="199"/>
      <c r="G593" s="244"/>
      <c r="H593" s="199"/>
      <c r="I593" s="199"/>
      <c r="J593" s="199"/>
      <c r="K593" s="199"/>
      <c r="L593" s="199"/>
      <c r="M593" s="199"/>
      <c r="N593" s="199"/>
      <c r="O593" s="199"/>
      <c r="P593" s="199"/>
      <c r="Q593" s="199"/>
      <c r="R593" s="199"/>
      <c r="S593" s="199"/>
      <c r="T593" s="199"/>
      <c r="U593" s="199"/>
      <c r="V593" s="199"/>
      <c r="W593" s="199"/>
      <c r="X593" s="199"/>
      <c r="Y593" s="199"/>
      <c r="Z593" s="199"/>
      <c r="AA593" s="199"/>
      <c r="AB593" s="199"/>
    </row>
    <row r="594" spans="1:28" ht="12.75">
      <c r="A594" s="199"/>
      <c r="B594" s="199"/>
      <c r="C594" s="199"/>
      <c r="D594" s="199"/>
      <c r="E594" s="199"/>
      <c r="F594" s="199"/>
      <c r="G594" s="244"/>
      <c r="H594" s="199"/>
      <c r="I594" s="199"/>
      <c r="J594" s="199"/>
      <c r="K594" s="199"/>
      <c r="L594" s="199"/>
      <c r="M594" s="199"/>
      <c r="N594" s="199"/>
      <c r="O594" s="199"/>
      <c r="P594" s="199"/>
      <c r="Q594" s="199"/>
      <c r="R594" s="199"/>
      <c r="S594" s="199"/>
      <c r="T594" s="199"/>
      <c r="U594" s="199"/>
      <c r="V594" s="199"/>
      <c r="W594" s="199"/>
      <c r="X594" s="199"/>
      <c r="Y594" s="199"/>
      <c r="Z594" s="199"/>
      <c r="AA594" s="199"/>
      <c r="AB594" s="199"/>
    </row>
    <row r="595" spans="1:28" ht="12.75">
      <c r="A595" s="199"/>
      <c r="B595" s="199"/>
      <c r="C595" s="199"/>
      <c r="D595" s="199"/>
      <c r="E595" s="199"/>
      <c r="F595" s="199"/>
      <c r="G595" s="244"/>
      <c r="H595" s="199"/>
      <c r="I595" s="199"/>
      <c r="J595" s="199"/>
      <c r="K595" s="199"/>
      <c r="L595" s="199"/>
      <c r="M595" s="199"/>
      <c r="N595" s="199"/>
      <c r="O595" s="199"/>
      <c r="P595" s="199"/>
      <c r="Q595" s="199"/>
      <c r="R595" s="199"/>
      <c r="S595" s="199"/>
      <c r="T595" s="199"/>
      <c r="U595" s="199"/>
      <c r="V595" s="199"/>
      <c r="W595" s="199"/>
      <c r="X595" s="199"/>
      <c r="Y595" s="199"/>
      <c r="Z595" s="199"/>
      <c r="AA595" s="199"/>
      <c r="AB595" s="199"/>
    </row>
    <row r="596" spans="1:28" ht="12.75">
      <c r="A596" s="199"/>
      <c r="B596" s="199"/>
      <c r="C596" s="199"/>
      <c r="D596" s="199"/>
      <c r="E596" s="199"/>
      <c r="F596" s="199"/>
      <c r="G596" s="244"/>
      <c r="H596" s="199"/>
      <c r="I596" s="199"/>
      <c r="J596" s="199"/>
      <c r="K596" s="199"/>
      <c r="L596" s="199"/>
      <c r="M596" s="199"/>
      <c r="N596" s="199"/>
      <c r="O596" s="199"/>
      <c r="P596" s="199"/>
      <c r="Q596" s="199"/>
      <c r="R596" s="199"/>
      <c r="S596" s="199"/>
      <c r="T596" s="199"/>
      <c r="U596" s="199"/>
      <c r="V596" s="199"/>
      <c r="W596" s="199"/>
      <c r="X596" s="199"/>
      <c r="Y596" s="199"/>
      <c r="Z596" s="199"/>
      <c r="AA596" s="199"/>
      <c r="AB596" s="199"/>
    </row>
    <row r="597" spans="1:28" ht="12.75">
      <c r="A597" s="199"/>
      <c r="B597" s="199"/>
      <c r="C597" s="199"/>
      <c r="D597" s="199"/>
      <c r="E597" s="199"/>
      <c r="F597" s="199"/>
      <c r="G597" s="244"/>
      <c r="H597" s="199"/>
      <c r="I597" s="199"/>
      <c r="J597" s="199"/>
      <c r="K597" s="199"/>
      <c r="L597" s="199"/>
      <c r="M597" s="199"/>
      <c r="N597" s="199"/>
      <c r="O597" s="199"/>
      <c r="P597" s="199"/>
      <c r="Q597" s="199"/>
      <c r="R597" s="199"/>
      <c r="S597" s="199"/>
      <c r="T597" s="199"/>
      <c r="U597" s="199"/>
      <c r="V597" s="199"/>
      <c r="W597" s="199"/>
      <c r="X597" s="199"/>
      <c r="Y597" s="199"/>
      <c r="Z597" s="199"/>
      <c r="AA597" s="199"/>
      <c r="AB597" s="199"/>
    </row>
    <row r="598" spans="1:28" ht="12.75">
      <c r="A598" s="199"/>
      <c r="B598" s="199"/>
      <c r="C598" s="199"/>
      <c r="D598" s="199"/>
      <c r="E598" s="199"/>
      <c r="F598" s="199"/>
      <c r="G598" s="244"/>
      <c r="H598" s="199"/>
      <c r="I598" s="199"/>
      <c r="J598" s="199"/>
      <c r="K598" s="199"/>
      <c r="L598" s="199"/>
      <c r="M598" s="199"/>
      <c r="N598" s="199"/>
      <c r="O598" s="199"/>
      <c r="P598" s="199"/>
      <c r="Q598" s="199"/>
      <c r="R598" s="199"/>
      <c r="S598" s="199"/>
      <c r="T598" s="199"/>
      <c r="U598" s="199"/>
      <c r="V598" s="199"/>
      <c r="W598" s="199"/>
      <c r="X598" s="199"/>
      <c r="Y598" s="199"/>
      <c r="Z598" s="199"/>
      <c r="AA598" s="199"/>
      <c r="AB598" s="199"/>
    </row>
    <row r="599" spans="1:28" ht="12.75">
      <c r="A599" s="199"/>
      <c r="B599" s="199"/>
      <c r="C599" s="199"/>
      <c r="D599" s="199"/>
      <c r="E599" s="199"/>
      <c r="F599" s="199"/>
      <c r="G599" s="244"/>
      <c r="H599" s="199"/>
      <c r="I599" s="199"/>
      <c r="J599" s="199"/>
      <c r="K599" s="199"/>
      <c r="L599" s="199"/>
      <c r="M599" s="199"/>
      <c r="N599" s="199"/>
      <c r="O599" s="199"/>
      <c r="P599" s="199"/>
      <c r="Q599" s="199"/>
      <c r="R599" s="199"/>
      <c r="S599" s="199"/>
      <c r="T599" s="199"/>
      <c r="U599" s="199"/>
      <c r="V599" s="199"/>
      <c r="W599" s="199"/>
      <c r="X599" s="199"/>
      <c r="Y599" s="199"/>
      <c r="Z599" s="199"/>
      <c r="AA599" s="199"/>
      <c r="AB599" s="199"/>
    </row>
    <row r="600" spans="1:28" ht="12.75">
      <c r="A600" s="199"/>
      <c r="B600" s="199"/>
      <c r="C600" s="199"/>
      <c r="D600" s="199"/>
      <c r="E600" s="199"/>
      <c r="F600" s="199"/>
      <c r="G600" s="244"/>
      <c r="H600" s="199"/>
      <c r="I600" s="199"/>
      <c r="J600" s="199"/>
      <c r="K600" s="199"/>
      <c r="L600" s="199"/>
      <c r="M600" s="199"/>
      <c r="N600" s="199"/>
      <c r="O600" s="199"/>
      <c r="P600" s="199"/>
      <c r="Q600" s="199"/>
      <c r="R600" s="199"/>
      <c r="S600" s="199"/>
      <c r="T600" s="199"/>
      <c r="U600" s="199"/>
      <c r="V600" s="199"/>
      <c r="W600" s="199"/>
      <c r="X600" s="199"/>
      <c r="Y600" s="199"/>
      <c r="Z600" s="199"/>
      <c r="AA600" s="199"/>
      <c r="AB600" s="199"/>
    </row>
    <row r="601" spans="1:28" ht="12.75">
      <c r="A601" s="199"/>
      <c r="B601" s="199"/>
      <c r="C601" s="199"/>
      <c r="D601" s="199"/>
      <c r="E601" s="199"/>
      <c r="F601" s="199"/>
      <c r="G601" s="244"/>
      <c r="H601" s="199"/>
      <c r="I601" s="199"/>
      <c r="J601" s="199"/>
      <c r="K601" s="199"/>
      <c r="L601" s="199"/>
      <c r="M601" s="199"/>
      <c r="N601" s="199"/>
      <c r="O601" s="199"/>
      <c r="P601" s="199"/>
      <c r="Q601" s="199"/>
      <c r="R601" s="199"/>
      <c r="S601" s="199"/>
      <c r="T601" s="199"/>
      <c r="U601" s="199"/>
      <c r="V601" s="199"/>
      <c r="W601" s="199"/>
      <c r="X601" s="199"/>
      <c r="Y601" s="199"/>
      <c r="Z601" s="199"/>
      <c r="AA601" s="199"/>
      <c r="AB601" s="199"/>
    </row>
    <row r="602" spans="1:28" ht="12.75">
      <c r="A602" s="199"/>
      <c r="B602" s="199"/>
      <c r="C602" s="199"/>
      <c r="D602" s="199"/>
      <c r="E602" s="199"/>
      <c r="F602" s="199"/>
      <c r="G602" s="244"/>
      <c r="H602" s="199"/>
      <c r="I602" s="199"/>
      <c r="J602" s="199"/>
      <c r="K602" s="199"/>
      <c r="L602" s="199"/>
      <c r="M602" s="199"/>
      <c r="N602" s="199"/>
      <c r="O602" s="199"/>
      <c r="P602" s="199"/>
      <c r="Q602" s="199"/>
      <c r="R602" s="199"/>
      <c r="S602" s="199"/>
      <c r="T602" s="199"/>
      <c r="U602" s="199"/>
      <c r="V602" s="199"/>
      <c r="W602" s="199"/>
      <c r="X602" s="199"/>
      <c r="Y602" s="199"/>
      <c r="Z602" s="199"/>
      <c r="AA602" s="199"/>
      <c r="AB602" s="199"/>
    </row>
    <row r="603" spans="1:28" ht="12.75">
      <c r="A603" s="199"/>
      <c r="B603" s="199"/>
      <c r="C603" s="199"/>
      <c r="D603" s="199"/>
      <c r="E603" s="199"/>
      <c r="F603" s="199"/>
      <c r="G603" s="244"/>
      <c r="H603" s="199"/>
      <c r="I603" s="199"/>
      <c r="J603" s="199"/>
      <c r="K603" s="199"/>
      <c r="L603" s="199"/>
      <c r="M603" s="199"/>
      <c r="N603" s="199"/>
      <c r="O603" s="199"/>
      <c r="P603" s="199"/>
      <c r="Q603" s="199"/>
      <c r="R603" s="199"/>
      <c r="S603" s="199"/>
      <c r="T603" s="199"/>
      <c r="U603" s="199"/>
      <c r="V603" s="199"/>
      <c r="W603" s="199"/>
      <c r="X603" s="199"/>
      <c r="Y603" s="199"/>
      <c r="Z603" s="199"/>
      <c r="AA603" s="199"/>
      <c r="AB603" s="199"/>
    </row>
    <row r="604" spans="1:28" ht="12.75">
      <c r="A604" s="199"/>
      <c r="B604" s="199"/>
      <c r="C604" s="199"/>
      <c r="D604" s="199"/>
      <c r="E604" s="199"/>
      <c r="F604" s="199"/>
      <c r="G604" s="244"/>
      <c r="H604" s="199"/>
      <c r="I604" s="199"/>
      <c r="J604" s="199"/>
      <c r="K604" s="199"/>
      <c r="L604" s="199"/>
      <c r="M604" s="199"/>
      <c r="N604" s="199"/>
      <c r="O604" s="199"/>
      <c r="P604" s="199"/>
      <c r="Q604" s="199"/>
      <c r="R604" s="199"/>
      <c r="S604" s="199"/>
      <c r="T604" s="199"/>
      <c r="U604" s="199"/>
      <c r="V604" s="199"/>
      <c r="W604" s="199"/>
      <c r="X604" s="199"/>
      <c r="Y604" s="199"/>
      <c r="Z604" s="199"/>
      <c r="AA604" s="199"/>
      <c r="AB604" s="199"/>
    </row>
    <row r="605" spans="1:28" ht="12.75">
      <c r="A605" s="199"/>
      <c r="B605" s="199"/>
      <c r="C605" s="199"/>
      <c r="D605" s="199"/>
      <c r="E605" s="199"/>
      <c r="F605" s="199"/>
      <c r="G605" s="244"/>
      <c r="H605" s="199"/>
      <c r="I605" s="199"/>
      <c r="J605" s="199"/>
      <c r="K605" s="199"/>
      <c r="L605" s="199"/>
      <c r="M605" s="199"/>
      <c r="N605" s="199"/>
      <c r="O605" s="199"/>
      <c r="P605" s="199"/>
      <c r="Q605" s="199"/>
      <c r="R605" s="199"/>
      <c r="S605" s="199"/>
      <c r="T605" s="199"/>
      <c r="U605" s="199"/>
      <c r="V605" s="199"/>
      <c r="W605" s="199"/>
      <c r="X605" s="199"/>
      <c r="Y605" s="199"/>
      <c r="Z605" s="199"/>
      <c r="AA605" s="199"/>
      <c r="AB605" s="199"/>
    </row>
    <row r="606" spans="1:28" ht="12.75">
      <c r="A606" s="199"/>
      <c r="B606" s="199"/>
      <c r="C606" s="199"/>
      <c r="D606" s="199"/>
      <c r="E606" s="199"/>
      <c r="F606" s="199"/>
      <c r="G606" s="244"/>
      <c r="H606" s="199"/>
      <c r="I606" s="199"/>
      <c r="J606" s="199"/>
      <c r="K606" s="199"/>
      <c r="L606" s="199"/>
      <c r="M606" s="199"/>
      <c r="N606" s="199"/>
      <c r="O606" s="199"/>
      <c r="P606" s="199"/>
      <c r="Q606" s="199"/>
      <c r="R606" s="199"/>
      <c r="S606" s="199"/>
      <c r="T606" s="199"/>
      <c r="U606" s="199"/>
      <c r="V606" s="199"/>
      <c r="W606" s="199"/>
      <c r="X606" s="199"/>
      <c r="Y606" s="199"/>
      <c r="Z606" s="199"/>
      <c r="AA606" s="199"/>
      <c r="AB606" s="199"/>
    </row>
    <row r="607" spans="1:28" ht="12.75">
      <c r="A607" s="199"/>
      <c r="B607" s="199"/>
      <c r="C607" s="199"/>
      <c r="D607" s="199"/>
      <c r="E607" s="199"/>
      <c r="F607" s="199"/>
      <c r="G607" s="244"/>
      <c r="H607" s="199"/>
      <c r="I607" s="199"/>
      <c r="J607" s="199"/>
      <c r="K607" s="199"/>
      <c r="L607" s="199"/>
      <c r="M607" s="199"/>
      <c r="N607" s="199"/>
      <c r="O607" s="199"/>
      <c r="P607" s="199"/>
      <c r="Q607" s="199"/>
      <c r="R607" s="199"/>
      <c r="S607" s="199"/>
      <c r="T607" s="199"/>
      <c r="U607" s="199"/>
      <c r="V607" s="199"/>
      <c r="W607" s="199"/>
      <c r="X607" s="199"/>
      <c r="Y607" s="199"/>
      <c r="Z607" s="199"/>
      <c r="AA607" s="199"/>
      <c r="AB607" s="199"/>
    </row>
    <row r="608" spans="1:28" ht="12.75">
      <c r="A608" s="199"/>
      <c r="B608" s="199"/>
      <c r="C608" s="199"/>
      <c r="D608" s="199"/>
      <c r="E608" s="199"/>
      <c r="F608" s="199"/>
      <c r="G608" s="244"/>
      <c r="H608" s="199"/>
      <c r="I608" s="199"/>
      <c r="J608" s="199"/>
      <c r="K608" s="199"/>
      <c r="L608" s="199"/>
      <c r="M608" s="199"/>
      <c r="N608" s="199"/>
      <c r="O608" s="199"/>
      <c r="P608" s="199"/>
      <c r="Q608" s="199"/>
      <c r="R608" s="199"/>
      <c r="S608" s="199"/>
      <c r="T608" s="199"/>
      <c r="U608" s="199"/>
      <c r="V608" s="199"/>
      <c r="W608" s="199"/>
      <c r="X608" s="199"/>
      <c r="Y608" s="199"/>
      <c r="Z608" s="199"/>
      <c r="AA608" s="199"/>
      <c r="AB608" s="199"/>
    </row>
    <row r="609" spans="1:28" ht="12.75">
      <c r="A609" s="199"/>
      <c r="B609" s="199"/>
      <c r="C609" s="199"/>
      <c r="D609" s="199"/>
      <c r="E609" s="199"/>
      <c r="F609" s="199"/>
      <c r="G609" s="244"/>
      <c r="H609" s="199"/>
      <c r="I609" s="199"/>
      <c r="J609" s="199"/>
      <c r="K609" s="199"/>
      <c r="L609" s="199"/>
      <c r="M609" s="199"/>
      <c r="N609" s="199"/>
      <c r="O609" s="199"/>
      <c r="P609" s="199"/>
      <c r="Q609" s="199"/>
      <c r="R609" s="199"/>
      <c r="S609" s="199"/>
      <c r="T609" s="199"/>
      <c r="U609" s="199"/>
      <c r="V609" s="199"/>
      <c r="W609" s="199"/>
      <c r="X609" s="199"/>
      <c r="Y609" s="199"/>
      <c r="Z609" s="199"/>
      <c r="AA609" s="199"/>
      <c r="AB609" s="199"/>
    </row>
    <row r="610" spans="1:28" ht="12.75">
      <c r="A610" s="199"/>
      <c r="B610" s="199"/>
      <c r="C610" s="199"/>
      <c r="D610" s="199"/>
      <c r="E610" s="199"/>
      <c r="F610" s="199"/>
      <c r="G610" s="244"/>
      <c r="H610" s="199"/>
      <c r="I610" s="199"/>
      <c r="J610" s="199"/>
      <c r="K610" s="199"/>
      <c r="L610" s="199"/>
      <c r="M610" s="199"/>
      <c r="N610" s="199"/>
      <c r="O610" s="199"/>
      <c r="P610" s="199"/>
      <c r="Q610" s="199"/>
      <c r="R610" s="199"/>
      <c r="S610" s="199"/>
      <c r="T610" s="199"/>
      <c r="U610" s="199"/>
      <c r="V610" s="199"/>
      <c r="W610" s="199"/>
      <c r="X610" s="199"/>
      <c r="Y610" s="199"/>
      <c r="Z610" s="199"/>
      <c r="AA610" s="199"/>
      <c r="AB610" s="199"/>
    </row>
    <row r="611" spans="1:28" ht="12.75">
      <c r="A611" s="199"/>
      <c r="B611" s="199"/>
      <c r="C611" s="199"/>
      <c r="D611" s="199"/>
      <c r="E611" s="199"/>
      <c r="F611" s="199"/>
      <c r="G611" s="244"/>
      <c r="H611" s="199"/>
      <c r="I611" s="199"/>
      <c r="J611" s="199"/>
      <c r="K611" s="199"/>
      <c r="L611" s="199"/>
      <c r="M611" s="199"/>
      <c r="N611" s="199"/>
      <c r="O611" s="199"/>
      <c r="P611" s="199"/>
      <c r="Q611" s="199"/>
      <c r="R611" s="199"/>
      <c r="S611" s="199"/>
      <c r="T611" s="199"/>
      <c r="U611" s="199"/>
      <c r="V611" s="199"/>
      <c r="W611" s="199"/>
      <c r="X611" s="199"/>
      <c r="Y611" s="199"/>
      <c r="Z611" s="199"/>
      <c r="AA611" s="199"/>
      <c r="AB611" s="199"/>
    </row>
    <row r="612" spans="1:28" ht="12.75">
      <c r="A612" s="199"/>
      <c r="B612" s="199"/>
      <c r="C612" s="199"/>
      <c r="D612" s="199"/>
      <c r="E612" s="199"/>
      <c r="F612" s="199"/>
      <c r="G612" s="244"/>
      <c r="H612" s="199"/>
      <c r="I612" s="199"/>
      <c r="J612" s="199"/>
      <c r="K612" s="199"/>
      <c r="L612" s="199"/>
      <c r="M612" s="199"/>
      <c r="N612" s="199"/>
      <c r="O612" s="199"/>
      <c r="P612" s="199"/>
      <c r="Q612" s="199"/>
      <c r="R612" s="199"/>
      <c r="S612" s="199"/>
      <c r="T612" s="199"/>
      <c r="U612" s="199"/>
      <c r="V612" s="199"/>
      <c r="W612" s="199"/>
      <c r="X612" s="199"/>
      <c r="Y612" s="199"/>
      <c r="Z612" s="199"/>
      <c r="AA612" s="199"/>
      <c r="AB612" s="199"/>
    </row>
    <row r="613" spans="1:28" ht="12.75">
      <c r="A613" s="199"/>
      <c r="B613" s="199"/>
      <c r="C613" s="199"/>
      <c r="D613" s="199"/>
      <c r="E613" s="199"/>
      <c r="F613" s="199"/>
      <c r="G613" s="244"/>
      <c r="H613" s="199"/>
      <c r="I613" s="199"/>
      <c r="J613" s="199"/>
      <c r="K613" s="199"/>
      <c r="L613" s="199"/>
      <c r="M613" s="199"/>
      <c r="N613" s="199"/>
      <c r="O613" s="199"/>
      <c r="P613" s="199"/>
      <c r="Q613" s="199"/>
      <c r="R613" s="199"/>
      <c r="S613" s="199"/>
      <c r="T613" s="199"/>
      <c r="U613" s="199"/>
      <c r="V613" s="199"/>
      <c r="W613" s="199"/>
      <c r="X613" s="199"/>
      <c r="Y613" s="199"/>
      <c r="Z613" s="199"/>
      <c r="AA613" s="199"/>
      <c r="AB613" s="199"/>
    </row>
    <row r="614" spans="1:28" ht="12.75">
      <c r="A614" s="199"/>
      <c r="B614" s="199"/>
      <c r="C614" s="199"/>
      <c r="D614" s="199"/>
      <c r="E614" s="199"/>
      <c r="F614" s="199"/>
      <c r="G614" s="244"/>
      <c r="H614" s="199"/>
      <c r="I614" s="199"/>
      <c r="J614" s="199"/>
      <c r="K614" s="199"/>
      <c r="L614" s="199"/>
      <c r="M614" s="199"/>
      <c r="N614" s="199"/>
      <c r="O614" s="199"/>
      <c r="P614" s="199"/>
      <c r="Q614" s="199"/>
      <c r="R614" s="199"/>
      <c r="S614" s="199"/>
      <c r="T614" s="199"/>
      <c r="U614" s="199"/>
      <c r="V614" s="199"/>
      <c r="W614" s="199"/>
      <c r="X614" s="199"/>
      <c r="Y614" s="199"/>
      <c r="Z614" s="199"/>
      <c r="AA614" s="199"/>
      <c r="AB614" s="199"/>
    </row>
    <row r="615" spans="1:28" ht="12.75">
      <c r="A615" s="199"/>
      <c r="B615" s="199"/>
      <c r="C615" s="199"/>
      <c r="D615" s="199"/>
      <c r="E615" s="199"/>
      <c r="F615" s="199"/>
      <c r="G615" s="244"/>
      <c r="H615" s="199"/>
      <c r="I615" s="199"/>
      <c r="J615" s="199"/>
      <c r="K615" s="199"/>
      <c r="L615" s="199"/>
      <c r="M615" s="199"/>
      <c r="N615" s="199"/>
      <c r="O615" s="199"/>
      <c r="P615" s="199"/>
      <c r="Q615" s="199"/>
      <c r="R615" s="199"/>
      <c r="S615" s="199"/>
      <c r="T615" s="199"/>
      <c r="U615" s="199"/>
      <c r="V615" s="199"/>
      <c r="W615" s="199"/>
      <c r="X615" s="199"/>
      <c r="Y615" s="199"/>
      <c r="Z615" s="199"/>
      <c r="AA615" s="199"/>
      <c r="AB615" s="199"/>
    </row>
    <row r="616" spans="1:28" ht="12.75">
      <c r="A616" s="199"/>
      <c r="B616" s="199"/>
      <c r="C616" s="199"/>
      <c r="D616" s="199"/>
      <c r="E616" s="199"/>
      <c r="F616" s="199"/>
      <c r="G616" s="244"/>
      <c r="H616" s="199"/>
      <c r="I616" s="199"/>
      <c r="J616" s="199"/>
      <c r="K616" s="199"/>
      <c r="L616" s="199"/>
      <c r="M616" s="199"/>
      <c r="N616" s="199"/>
      <c r="O616" s="199"/>
      <c r="P616" s="199"/>
      <c r="Q616" s="199"/>
      <c r="R616" s="199"/>
      <c r="S616" s="199"/>
      <c r="T616" s="199"/>
      <c r="U616" s="199"/>
      <c r="V616" s="199"/>
      <c r="W616" s="199"/>
      <c r="X616" s="199"/>
      <c r="Y616" s="199"/>
      <c r="Z616" s="199"/>
      <c r="AA616" s="199"/>
      <c r="AB616" s="199"/>
    </row>
    <row r="617" spans="1:28" ht="12.75">
      <c r="A617" s="199"/>
      <c r="B617" s="199"/>
      <c r="C617" s="199"/>
      <c r="D617" s="199"/>
      <c r="E617" s="199"/>
      <c r="F617" s="199"/>
      <c r="G617" s="244"/>
      <c r="H617" s="199"/>
      <c r="I617" s="199"/>
      <c r="J617" s="199"/>
      <c r="K617" s="199"/>
      <c r="L617" s="199"/>
      <c r="M617" s="199"/>
      <c r="N617" s="199"/>
      <c r="O617" s="199"/>
      <c r="P617" s="199"/>
      <c r="Q617" s="199"/>
      <c r="R617" s="199"/>
      <c r="S617" s="199"/>
      <c r="T617" s="199"/>
      <c r="U617" s="199"/>
      <c r="V617" s="199"/>
      <c r="W617" s="199"/>
      <c r="X617" s="199"/>
      <c r="Y617" s="199"/>
      <c r="Z617" s="199"/>
      <c r="AA617" s="199"/>
      <c r="AB617" s="199"/>
    </row>
    <row r="618" spans="1:28" ht="12.75">
      <c r="A618" s="199"/>
      <c r="B618" s="199"/>
      <c r="C618" s="199"/>
      <c r="D618" s="199"/>
      <c r="E618" s="199"/>
      <c r="F618" s="199"/>
      <c r="G618" s="244"/>
      <c r="H618" s="199"/>
      <c r="I618" s="199"/>
      <c r="J618" s="199"/>
      <c r="K618" s="199"/>
      <c r="L618" s="199"/>
      <c r="M618" s="199"/>
      <c r="N618" s="199"/>
      <c r="O618" s="199"/>
      <c r="P618" s="199"/>
      <c r="Q618" s="199"/>
      <c r="R618" s="199"/>
      <c r="S618" s="199"/>
      <c r="T618" s="199"/>
      <c r="U618" s="199"/>
      <c r="V618" s="199"/>
      <c r="W618" s="199"/>
      <c r="X618" s="199"/>
      <c r="Y618" s="199"/>
      <c r="Z618" s="199"/>
      <c r="AA618" s="199"/>
      <c r="AB618" s="199"/>
    </row>
    <row r="619" spans="1:28" ht="12.75">
      <c r="A619" s="199"/>
      <c r="B619" s="199"/>
      <c r="C619" s="199"/>
      <c r="D619" s="199"/>
      <c r="E619" s="199"/>
      <c r="F619" s="199"/>
      <c r="G619" s="244"/>
      <c r="H619" s="199"/>
      <c r="I619" s="199"/>
      <c r="J619" s="199"/>
      <c r="K619" s="199"/>
      <c r="L619" s="199"/>
      <c r="M619" s="199"/>
      <c r="N619" s="199"/>
      <c r="O619" s="199"/>
      <c r="P619" s="199"/>
      <c r="Q619" s="199"/>
      <c r="R619" s="199"/>
      <c r="S619" s="199"/>
      <c r="T619" s="199"/>
      <c r="U619" s="199"/>
      <c r="V619" s="199"/>
      <c r="W619" s="199"/>
      <c r="X619" s="199"/>
      <c r="Y619" s="199"/>
      <c r="Z619" s="199"/>
      <c r="AA619" s="199"/>
      <c r="AB619" s="199"/>
    </row>
    <row r="620" spans="1:28" ht="12.75">
      <c r="A620" s="199"/>
      <c r="B620" s="199"/>
      <c r="C620" s="199"/>
      <c r="D620" s="199"/>
      <c r="E620" s="199"/>
      <c r="F620" s="199"/>
      <c r="G620" s="244"/>
      <c r="H620" s="199"/>
      <c r="I620" s="199"/>
      <c r="J620" s="199"/>
      <c r="K620" s="199"/>
      <c r="L620" s="199"/>
      <c r="M620" s="199"/>
      <c r="N620" s="199"/>
      <c r="O620" s="199"/>
      <c r="P620" s="199"/>
      <c r="Q620" s="199"/>
      <c r="R620" s="199"/>
      <c r="S620" s="199"/>
      <c r="T620" s="199"/>
      <c r="U620" s="199"/>
      <c r="V620" s="199"/>
      <c r="W620" s="199"/>
      <c r="X620" s="199"/>
      <c r="Y620" s="199"/>
      <c r="Z620" s="199"/>
      <c r="AA620" s="199"/>
      <c r="AB620" s="199"/>
    </row>
    <row r="621" spans="1:28" ht="12.75">
      <c r="A621" s="199"/>
      <c r="B621" s="199"/>
      <c r="C621" s="199"/>
      <c r="D621" s="199"/>
      <c r="E621" s="199"/>
      <c r="F621" s="199"/>
      <c r="G621" s="244"/>
      <c r="H621" s="199"/>
      <c r="I621" s="199"/>
      <c r="J621" s="199"/>
      <c r="K621" s="199"/>
      <c r="L621" s="199"/>
      <c r="M621" s="199"/>
      <c r="N621" s="199"/>
      <c r="O621" s="199"/>
      <c r="P621" s="199"/>
      <c r="Q621" s="199"/>
      <c r="R621" s="199"/>
      <c r="S621" s="199"/>
      <c r="T621" s="199"/>
      <c r="U621" s="199"/>
      <c r="V621" s="199"/>
      <c r="W621" s="199"/>
      <c r="X621" s="199"/>
      <c r="Y621" s="199"/>
      <c r="Z621" s="199"/>
      <c r="AA621" s="199"/>
      <c r="AB621" s="199"/>
    </row>
    <row r="622" spans="1:28" ht="12.75">
      <c r="A622" s="199"/>
      <c r="B622" s="199"/>
      <c r="C622" s="199"/>
      <c r="D622" s="199"/>
      <c r="E622" s="199"/>
      <c r="F622" s="199"/>
      <c r="G622" s="244"/>
      <c r="H622" s="199"/>
      <c r="I622" s="199"/>
      <c r="J622" s="199"/>
      <c r="K622" s="199"/>
      <c r="L622" s="199"/>
      <c r="M622" s="199"/>
      <c r="N622" s="199"/>
      <c r="O622" s="199"/>
      <c r="P622" s="199"/>
      <c r="Q622" s="199"/>
      <c r="R622" s="199"/>
      <c r="S622" s="199"/>
      <c r="T622" s="199"/>
      <c r="U622" s="199"/>
      <c r="V622" s="199"/>
      <c r="W622" s="199"/>
      <c r="X622" s="199"/>
      <c r="Y622" s="199"/>
      <c r="Z622" s="199"/>
      <c r="AA622" s="199"/>
      <c r="AB622" s="199"/>
    </row>
    <row r="623" spans="1:28" ht="12.75">
      <c r="A623" s="199"/>
      <c r="B623" s="199"/>
      <c r="C623" s="199"/>
      <c r="D623" s="199"/>
      <c r="E623" s="199"/>
      <c r="F623" s="199"/>
      <c r="G623" s="244"/>
      <c r="H623" s="199"/>
      <c r="I623" s="199"/>
      <c r="J623" s="199"/>
      <c r="K623" s="199"/>
      <c r="L623" s="199"/>
      <c r="M623" s="199"/>
      <c r="N623" s="199"/>
      <c r="O623" s="199"/>
      <c r="P623" s="199"/>
      <c r="Q623" s="199"/>
      <c r="R623" s="199"/>
      <c r="S623" s="199"/>
      <c r="T623" s="199"/>
      <c r="U623" s="199"/>
      <c r="V623" s="199"/>
      <c r="W623" s="199"/>
      <c r="X623" s="199"/>
      <c r="Y623" s="199"/>
      <c r="Z623" s="199"/>
      <c r="AA623" s="199"/>
      <c r="AB623" s="199"/>
    </row>
    <row r="624" spans="1:28" ht="12.75">
      <c r="A624" s="199"/>
      <c r="B624" s="199"/>
      <c r="C624" s="199"/>
      <c r="D624" s="199"/>
      <c r="E624" s="199"/>
      <c r="F624" s="199"/>
      <c r="G624" s="244"/>
      <c r="H624" s="199"/>
      <c r="I624" s="199"/>
      <c r="J624" s="199"/>
      <c r="K624" s="199"/>
      <c r="L624" s="199"/>
      <c r="M624" s="199"/>
      <c r="N624" s="199"/>
      <c r="O624" s="199"/>
      <c r="P624" s="199"/>
      <c r="Q624" s="199"/>
      <c r="R624" s="199"/>
      <c r="S624" s="199"/>
      <c r="T624" s="199"/>
      <c r="U624" s="199"/>
      <c r="V624" s="199"/>
      <c r="W624" s="199"/>
      <c r="X624" s="199"/>
      <c r="Y624" s="199"/>
      <c r="Z624" s="199"/>
      <c r="AA624" s="199"/>
      <c r="AB624" s="199"/>
    </row>
    <row r="625" spans="1:28" ht="12.75">
      <c r="A625" s="199"/>
      <c r="B625" s="199"/>
      <c r="C625" s="199"/>
      <c r="D625" s="199"/>
      <c r="E625" s="199"/>
      <c r="F625" s="199"/>
      <c r="G625" s="244"/>
      <c r="H625" s="199"/>
      <c r="I625" s="199"/>
      <c r="J625" s="199"/>
      <c r="K625" s="199"/>
      <c r="L625" s="199"/>
      <c r="M625" s="199"/>
      <c r="N625" s="199"/>
      <c r="O625" s="199"/>
      <c r="P625" s="199"/>
      <c r="Q625" s="199"/>
      <c r="R625" s="199"/>
      <c r="S625" s="199"/>
      <c r="T625" s="199"/>
      <c r="U625" s="199"/>
      <c r="V625" s="199"/>
      <c r="W625" s="199"/>
      <c r="X625" s="199"/>
      <c r="Y625" s="199"/>
      <c r="Z625" s="199"/>
      <c r="AA625" s="199"/>
      <c r="AB625" s="199"/>
    </row>
    <row r="626" spans="1:28" ht="12.75">
      <c r="A626" s="199"/>
      <c r="B626" s="199"/>
      <c r="C626" s="199"/>
      <c r="D626" s="199"/>
      <c r="E626" s="199"/>
      <c r="F626" s="199"/>
      <c r="G626" s="244"/>
      <c r="H626" s="199"/>
      <c r="I626" s="199"/>
      <c r="J626" s="199"/>
      <c r="K626" s="199"/>
      <c r="L626" s="199"/>
      <c r="M626" s="199"/>
      <c r="N626" s="199"/>
      <c r="O626" s="199"/>
      <c r="P626" s="199"/>
      <c r="Q626" s="199"/>
      <c r="R626" s="199"/>
      <c r="S626" s="199"/>
      <c r="T626" s="199"/>
      <c r="U626" s="199"/>
      <c r="V626" s="199"/>
      <c r="W626" s="199"/>
      <c r="X626" s="199"/>
      <c r="Y626" s="199"/>
      <c r="Z626" s="199"/>
      <c r="AA626" s="199"/>
      <c r="AB626" s="199"/>
    </row>
    <row r="627" spans="1:28" ht="12.75">
      <c r="A627" s="199"/>
      <c r="B627" s="199"/>
      <c r="C627" s="199"/>
      <c r="D627" s="199"/>
      <c r="E627" s="199"/>
      <c r="F627" s="199"/>
      <c r="G627" s="244"/>
      <c r="H627" s="199"/>
      <c r="I627" s="199"/>
      <c r="J627" s="199"/>
      <c r="K627" s="199"/>
      <c r="L627" s="199"/>
      <c r="M627" s="199"/>
      <c r="N627" s="199"/>
      <c r="O627" s="199"/>
      <c r="P627" s="199"/>
      <c r="Q627" s="199"/>
      <c r="R627" s="199"/>
      <c r="S627" s="199"/>
      <c r="T627" s="199"/>
      <c r="U627" s="199"/>
      <c r="V627" s="199"/>
      <c r="W627" s="199"/>
      <c r="X627" s="199"/>
      <c r="Y627" s="199"/>
      <c r="Z627" s="199"/>
      <c r="AA627" s="199"/>
      <c r="AB627" s="199"/>
    </row>
    <row r="628" spans="1:28" ht="12.75">
      <c r="A628" s="199"/>
      <c r="B628" s="199"/>
      <c r="C628" s="199"/>
      <c r="D628" s="199"/>
      <c r="E628" s="199"/>
      <c r="F628" s="199"/>
      <c r="G628" s="244"/>
      <c r="H628" s="199"/>
      <c r="I628" s="199"/>
      <c r="J628" s="199"/>
      <c r="K628" s="199"/>
      <c r="L628" s="199"/>
      <c r="M628" s="199"/>
      <c r="N628" s="199"/>
      <c r="O628" s="199"/>
      <c r="P628" s="199"/>
      <c r="Q628" s="199"/>
      <c r="R628" s="199"/>
      <c r="S628" s="199"/>
      <c r="T628" s="199"/>
      <c r="U628" s="199"/>
      <c r="V628" s="199"/>
      <c r="W628" s="199"/>
      <c r="X628" s="199"/>
      <c r="Y628" s="199"/>
      <c r="Z628" s="199"/>
      <c r="AA628" s="199"/>
      <c r="AB628" s="199"/>
    </row>
    <row r="629" spans="1:28" ht="12.75">
      <c r="A629" s="199"/>
      <c r="B629" s="199"/>
      <c r="C629" s="199"/>
      <c r="D629" s="199"/>
      <c r="E629" s="199"/>
      <c r="F629" s="199"/>
      <c r="G629" s="244"/>
      <c r="H629" s="199"/>
      <c r="I629" s="199"/>
      <c r="J629" s="199"/>
      <c r="K629" s="199"/>
      <c r="L629" s="199"/>
      <c r="M629" s="199"/>
      <c r="N629" s="199"/>
      <c r="O629" s="199"/>
      <c r="P629" s="199"/>
      <c r="Q629" s="199"/>
      <c r="R629" s="199"/>
      <c r="S629" s="199"/>
      <c r="T629" s="199"/>
      <c r="U629" s="199"/>
      <c r="V629" s="199"/>
      <c r="W629" s="199"/>
      <c r="X629" s="199"/>
      <c r="Y629" s="199"/>
      <c r="Z629" s="199"/>
      <c r="AA629" s="199"/>
      <c r="AB629" s="199"/>
    </row>
    <row r="630" spans="1:28" ht="12.75">
      <c r="A630" s="199"/>
      <c r="B630" s="199"/>
      <c r="C630" s="199"/>
      <c r="D630" s="199"/>
      <c r="E630" s="199"/>
      <c r="F630" s="199"/>
      <c r="G630" s="244"/>
      <c r="H630" s="199"/>
      <c r="I630" s="199"/>
      <c r="J630" s="199"/>
      <c r="K630" s="199"/>
      <c r="L630" s="199"/>
      <c r="M630" s="199"/>
      <c r="N630" s="199"/>
      <c r="O630" s="199"/>
      <c r="P630" s="199"/>
      <c r="Q630" s="199"/>
      <c r="R630" s="199"/>
      <c r="S630" s="199"/>
      <c r="T630" s="199"/>
      <c r="U630" s="199"/>
      <c r="V630" s="199"/>
      <c r="W630" s="199"/>
      <c r="X630" s="199"/>
      <c r="Y630" s="199"/>
      <c r="Z630" s="199"/>
      <c r="AA630" s="199"/>
      <c r="AB630" s="199"/>
    </row>
    <row r="631" spans="1:28" ht="12.75">
      <c r="A631" s="199"/>
      <c r="B631" s="199"/>
      <c r="C631" s="199"/>
      <c r="D631" s="199"/>
      <c r="E631" s="199"/>
      <c r="F631" s="199"/>
      <c r="G631" s="244"/>
      <c r="H631" s="199"/>
      <c r="I631" s="199"/>
      <c r="J631" s="199"/>
      <c r="K631" s="199"/>
      <c r="L631" s="199"/>
      <c r="M631" s="199"/>
      <c r="N631" s="199"/>
      <c r="O631" s="199"/>
      <c r="P631" s="199"/>
      <c r="Q631" s="199"/>
      <c r="R631" s="199"/>
      <c r="S631" s="199"/>
      <c r="T631" s="199"/>
      <c r="U631" s="199"/>
      <c r="V631" s="199"/>
      <c r="W631" s="199"/>
      <c r="X631" s="199"/>
      <c r="Y631" s="199"/>
      <c r="Z631" s="199"/>
      <c r="AA631" s="199"/>
      <c r="AB631" s="199"/>
    </row>
    <row r="632" spans="1:28" ht="12.75">
      <c r="A632" s="199"/>
      <c r="B632" s="199"/>
      <c r="C632" s="199"/>
      <c r="D632" s="199"/>
      <c r="E632" s="199"/>
      <c r="F632" s="199"/>
      <c r="G632" s="244"/>
      <c r="H632" s="199"/>
      <c r="I632" s="199"/>
      <c r="J632" s="199"/>
      <c r="K632" s="199"/>
      <c r="L632" s="199"/>
      <c r="M632" s="199"/>
      <c r="N632" s="199"/>
      <c r="O632" s="199"/>
      <c r="P632" s="199"/>
      <c r="Q632" s="199"/>
      <c r="R632" s="199"/>
      <c r="S632" s="199"/>
      <c r="T632" s="199"/>
      <c r="U632" s="199"/>
      <c r="V632" s="199"/>
      <c r="W632" s="199"/>
      <c r="X632" s="199"/>
      <c r="Y632" s="199"/>
      <c r="Z632" s="199"/>
      <c r="AA632" s="199"/>
      <c r="AB632" s="199"/>
    </row>
    <row r="633" spans="1:28" ht="12.75">
      <c r="A633" s="199"/>
      <c r="B633" s="199"/>
      <c r="C633" s="199"/>
      <c r="D633" s="199"/>
      <c r="E633" s="199"/>
      <c r="F633" s="199"/>
      <c r="G633" s="244"/>
      <c r="H633" s="199"/>
      <c r="I633" s="199"/>
      <c r="J633" s="199"/>
      <c r="K633" s="199"/>
      <c r="L633" s="199"/>
      <c r="M633" s="199"/>
      <c r="N633" s="199"/>
      <c r="O633" s="199"/>
      <c r="P633" s="199"/>
      <c r="Q633" s="199"/>
      <c r="R633" s="199"/>
      <c r="S633" s="199"/>
      <c r="T633" s="199"/>
      <c r="U633" s="199"/>
      <c r="V633" s="199"/>
      <c r="W633" s="199"/>
      <c r="X633" s="199"/>
      <c r="Y633" s="199"/>
      <c r="Z633" s="199"/>
      <c r="AA633" s="199"/>
      <c r="AB633" s="199"/>
    </row>
    <row r="634" spans="1:28" ht="12.75">
      <c r="A634" s="199"/>
      <c r="B634" s="199"/>
      <c r="C634" s="199"/>
      <c r="D634" s="199"/>
      <c r="E634" s="199"/>
      <c r="F634" s="199"/>
      <c r="G634" s="244"/>
      <c r="H634" s="199"/>
      <c r="I634" s="199"/>
      <c r="J634" s="199"/>
      <c r="K634" s="199"/>
      <c r="L634" s="199"/>
      <c r="M634" s="199"/>
      <c r="N634" s="199"/>
      <c r="O634" s="199"/>
      <c r="P634" s="199"/>
      <c r="Q634" s="199"/>
      <c r="R634" s="199"/>
      <c r="S634" s="199"/>
      <c r="T634" s="199"/>
      <c r="U634" s="199"/>
      <c r="V634" s="199"/>
      <c r="W634" s="199"/>
      <c r="X634" s="199"/>
      <c r="Y634" s="199"/>
      <c r="Z634" s="199"/>
      <c r="AA634" s="199"/>
      <c r="AB634" s="199"/>
    </row>
    <row r="635" spans="1:28" ht="12.75">
      <c r="A635" s="199"/>
      <c r="B635" s="199"/>
      <c r="C635" s="199"/>
      <c r="D635" s="199"/>
      <c r="E635" s="199"/>
      <c r="F635" s="199"/>
      <c r="G635" s="244"/>
      <c r="H635" s="199"/>
      <c r="I635" s="199"/>
      <c r="J635" s="199"/>
      <c r="K635" s="199"/>
      <c r="L635" s="199"/>
      <c r="M635" s="199"/>
      <c r="N635" s="199"/>
      <c r="O635" s="199"/>
      <c r="P635" s="199"/>
      <c r="Q635" s="199"/>
      <c r="R635" s="199"/>
      <c r="S635" s="199"/>
      <c r="T635" s="199"/>
      <c r="U635" s="199"/>
      <c r="V635" s="199"/>
      <c r="W635" s="199"/>
      <c r="X635" s="199"/>
      <c r="Y635" s="199"/>
      <c r="Z635" s="199"/>
      <c r="AA635" s="199"/>
      <c r="AB635" s="199"/>
    </row>
    <row r="636" spans="1:28" ht="12.75">
      <c r="A636" s="199"/>
      <c r="B636" s="199"/>
      <c r="C636" s="199"/>
      <c r="D636" s="199"/>
      <c r="E636" s="199"/>
      <c r="F636" s="199"/>
      <c r="G636" s="244"/>
      <c r="H636" s="199"/>
      <c r="I636" s="199"/>
      <c r="J636" s="199"/>
      <c r="K636" s="199"/>
      <c r="L636" s="199"/>
      <c r="M636" s="199"/>
      <c r="N636" s="199"/>
      <c r="O636" s="199"/>
      <c r="P636" s="199"/>
      <c r="Q636" s="199"/>
      <c r="R636" s="199"/>
      <c r="S636" s="199"/>
      <c r="T636" s="199"/>
      <c r="U636" s="199"/>
      <c r="V636" s="199"/>
      <c r="W636" s="199"/>
      <c r="X636" s="199"/>
      <c r="Y636" s="199"/>
      <c r="Z636" s="199"/>
      <c r="AA636" s="199"/>
      <c r="AB636" s="199"/>
    </row>
    <row r="637" spans="1:28" ht="12.75">
      <c r="A637" s="199"/>
      <c r="B637" s="199"/>
      <c r="C637" s="199"/>
      <c r="D637" s="199"/>
      <c r="E637" s="199"/>
      <c r="F637" s="199"/>
      <c r="G637" s="244"/>
      <c r="H637" s="199"/>
      <c r="I637" s="199"/>
      <c r="J637" s="199"/>
      <c r="K637" s="199"/>
      <c r="L637" s="199"/>
      <c r="M637" s="199"/>
      <c r="N637" s="199"/>
      <c r="O637" s="199"/>
      <c r="P637" s="199"/>
      <c r="Q637" s="199"/>
      <c r="R637" s="199"/>
      <c r="S637" s="199"/>
      <c r="T637" s="199"/>
      <c r="U637" s="199"/>
      <c r="V637" s="199"/>
      <c r="W637" s="199"/>
      <c r="X637" s="199"/>
      <c r="Y637" s="199"/>
      <c r="Z637" s="199"/>
      <c r="AA637" s="199"/>
      <c r="AB637" s="199"/>
    </row>
    <row r="638" spans="1:28" ht="12.75">
      <c r="A638" s="199"/>
      <c r="B638" s="199"/>
      <c r="C638" s="199"/>
      <c r="D638" s="199"/>
      <c r="E638" s="199"/>
      <c r="F638" s="199"/>
      <c r="G638" s="244"/>
      <c r="H638" s="199"/>
      <c r="I638" s="199"/>
      <c r="J638" s="199"/>
      <c r="K638" s="199"/>
      <c r="L638" s="199"/>
      <c r="M638" s="199"/>
      <c r="N638" s="199"/>
      <c r="O638" s="199"/>
      <c r="P638" s="199"/>
      <c r="Q638" s="199"/>
      <c r="R638" s="199"/>
      <c r="S638" s="199"/>
      <c r="T638" s="199"/>
      <c r="U638" s="199"/>
      <c r="V638" s="199"/>
      <c r="W638" s="199"/>
      <c r="X638" s="199"/>
      <c r="Y638" s="199"/>
      <c r="Z638" s="199"/>
      <c r="AA638" s="199"/>
      <c r="AB638" s="199"/>
    </row>
    <row r="639" spans="1:28" ht="12.75">
      <c r="A639" s="199"/>
      <c r="B639" s="199"/>
      <c r="C639" s="199"/>
      <c r="D639" s="199"/>
      <c r="E639" s="199"/>
      <c r="F639" s="199"/>
      <c r="G639" s="244"/>
      <c r="H639" s="199"/>
      <c r="I639" s="199"/>
      <c r="J639" s="199"/>
      <c r="K639" s="199"/>
      <c r="L639" s="199"/>
      <c r="M639" s="199"/>
      <c r="N639" s="199"/>
      <c r="O639" s="199"/>
      <c r="P639" s="199"/>
      <c r="Q639" s="199"/>
      <c r="R639" s="199"/>
      <c r="S639" s="199"/>
      <c r="T639" s="199"/>
      <c r="U639" s="199"/>
      <c r="V639" s="199"/>
      <c r="W639" s="199"/>
      <c r="X639" s="199"/>
      <c r="Y639" s="199"/>
      <c r="Z639" s="199"/>
      <c r="AA639" s="199"/>
      <c r="AB639" s="199"/>
    </row>
    <row r="640" spans="1:28" ht="12.75">
      <c r="A640" s="199"/>
      <c r="B640" s="199"/>
      <c r="C640" s="199"/>
      <c r="D640" s="199"/>
      <c r="E640" s="199"/>
      <c r="F640" s="199"/>
      <c r="G640" s="244"/>
      <c r="H640" s="199"/>
      <c r="I640" s="199"/>
      <c r="J640" s="199"/>
      <c r="K640" s="199"/>
      <c r="L640" s="199"/>
      <c r="M640" s="199"/>
      <c r="N640" s="199"/>
      <c r="O640" s="199"/>
      <c r="P640" s="199"/>
      <c r="Q640" s="199"/>
      <c r="R640" s="199"/>
      <c r="S640" s="199"/>
      <c r="T640" s="199"/>
      <c r="U640" s="199"/>
      <c r="V640" s="199"/>
      <c r="W640" s="199"/>
      <c r="X640" s="199"/>
      <c r="Y640" s="199"/>
      <c r="Z640" s="199"/>
      <c r="AA640" s="199"/>
      <c r="AB640" s="199"/>
    </row>
    <row r="641" spans="1:28" ht="12.75">
      <c r="A641" s="199"/>
      <c r="B641" s="199"/>
      <c r="C641" s="199"/>
      <c r="D641" s="199"/>
      <c r="E641" s="199"/>
      <c r="F641" s="199"/>
      <c r="G641" s="244"/>
      <c r="H641" s="199"/>
      <c r="I641" s="199"/>
      <c r="J641" s="199"/>
      <c r="K641" s="199"/>
      <c r="L641" s="199"/>
      <c r="M641" s="199"/>
      <c r="N641" s="199"/>
      <c r="O641" s="199"/>
      <c r="P641" s="199"/>
      <c r="Q641" s="199"/>
      <c r="R641" s="199"/>
      <c r="S641" s="199"/>
      <c r="T641" s="199"/>
      <c r="U641" s="199"/>
      <c r="V641" s="199"/>
      <c r="W641" s="199"/>
      <c r="X641" s="199"/>
      <c r="Y641" s="199"/>
      <c r="Z641" s="199"/>
      <c r="AA641" s="199"/>
      <c r="AB641" s="199"/>
    </row>
    <row r="642" spans="1:28" ht="12.75">
      <c r="A642" s="199"/>
      <c r="B642" s="199"/>
      <c r="C642" s="199"/>
      <c r="D642" s="199"/>
      <c r="E642" s="199"/>
      <c r="F642" s="199"/>
      <c r="G642" s="244"/>
      <c r="H642" s="199"/>
      <c r="I642" s="199"/>
      <c r="J642" s="199"/>
      <c r="K642" s="199"/>
      <c r="L642" s="199"/>
      <c r="M642" s="199"/>
      <c r="N642" s="199"/>
      <c r="O642" s="199"/>
      <c r="P642" s="199"/>
      <c r="Q642" s="199"/>
      <c r="R642" s="199"/>
      <c r="S642" s="199"/>
      <c r="T642" s="199"/>
      <c r="U642" s="199"/>
      <c r="V642" s="199"/>
      <c r="W642" s="199"/>
      <c r="X642" s="199"/>
      <c r="Y642" s="199"/>
      <c r="Z642" s="199"/>
      <c r="AA642" s="199"/>
      <c r="AB642" s="199"/>
    </row>
    <row r="643" spans="1:28" ht="12.75">
      <c r="A643" s="199"/>
      <c r="B643" s="199"/>
      <c r="C643" s="199"/>
      <c r="D643" s="199"/>
      <c r="E643" s="199"/>
      <c r="F643" s="199"/>
      <c r="G643" s="244"/>
      <c r="H643" s="199"/>
      <c r="I643" s="199"/>
      <c r="J643" s="199"/>
      <c r="K643" s="199"/>
      <c r="L643" s="199"/>
      <c r="M643" s="199"/>
      <c r="N643" s="199"/>
      <c r="O643" s="199"/>
      <c r="P643" s="199"/>
      <c r="Q643" s="199"/>
      <c r="R643" s="199"/>
      <c r="S643" s="199"/>
      <c r="T643" s="199"/>
      <c r="U643" s="199"/>
      <c r="V643" s="199"/>
      <c r="W643" s="199"/>
      <c r="X643" s="199"/>
      <c r="Y643" s="199"/>
      <c r="Z643" s="199"/>
      <c r="AA643" s="199"/>
      <c r="AB643" s="199"/>
    </row>
    <row r="644" spans="1:28" ht="12.75">
      <c r="A644" s="199"/>
      <c r="B644" s="199"/>
      <c r="C644" s="199"/>
      <c r="D644" s="199"/>
      <c r="E644" s="199"/>
      <c r="F644" s="199"/>
      <c r="G644" s="244"/>
      <c r="H644" s="199"/>
      <c r="I644" s="199"/>
      <c r="J644" s="199"/>
      <c r="K644" s="199"/>
      <c r="L644" s="199"/>
      <c r="M644" s="199"/>
      <c r="N644" s="199"/>
      <c r="O644" s="199"/>
      <c r="P644" s="199"/>
      <c r="Q644" s="199"/>
      <c r="R644" s="199"/>
      <c r="S644" s="199"/>
      <c r="T644" s="199"/>
      <c r="U644" s="199"/>
      <c r="V644" s="199"/>
      <c r="W644" s="199"/>
      <c r="X644" s="199"/>
      <c r="Y644" s="199"/>
      <c r="Z644" s="199"/>
      <c r="AA644" s="199"/>
      <c r="AB644" s="199"/>
    </row>
    <row r="645" spans="1:28" ht="12.75">
      <c r="A645" s="199"/>
      <c r="B645" s="199"/>
      <c r="C645" s="199"/>
      <c r="D645" s="199"/>
      <c r="E645" s="199"/>
      <c r="F645" s="199"/>
      <c r="G645" s="244"/>
      <c r="H645" s="199"/>
      <c r="I645" s="199"/>
      <c r="J645" s="199"/>
      <c r="K645" s="199"/>
      <c r="L645" s="199"/>
      <c r="M645" s="199"/>
      <c r="N645" s="199"/>
      <c r="O645" s="199"/>
      <c r="P645" s="199"/>
      <c r="Q645" s="199"/>
      <c r="R645" s="199"/>
      <c r="S645" s="199"/>
      <c r="T645" s="199"/>
      <c r="U645" s="199"/>
      <c r="V645" s="199"/>
      <c r="W645" s="199"/>
      <c r="X645" s="199"/>
      <c r="Y645" s="199"/>
      <c r="Z645" s="199"/>
      <c r="AA645" s="199"/>
      <c r="AB645" s="199"/>
    </row>
    <row r="646" spans="1:28" ht="12.75">
      <c r="A646" s="199"/>
      <c r="B646" s="199"/>
      <c r="C646" s="199"/>
      <c r="D646" s="199"/>
      <c r="E646" s="199"/>
      <c r="F646" s="199"/>
      <c r="G646" s="244"/>
      <c r="H646" s="199"/>
      <c r="I646" s="199"/>
      <c r="J646" s="199"/>
      <c r="K646" s="199"/>
      <c r="L646" s="199"/>
      <c r="M646" s="199"/>
      <c r="N646" s="199"/>
      <c r="O646" s="199"/>
      <c r="P646" s="199"/>
      <c r="Q646" s="199"/>
      <c r="R646" s="199"/>
      <c r="S646" s="199"/>
      <c r="T646" s="199"/>
      <c r="U646" s="199"/>
      <c r="V646" s="199"/>
      <c r="W646" s="199"/>
      <c r="X646" s="199"/>
      <c r="Y646" s="199"/>
      <c r="Z646" s="199"/>
      <c r="AA646" s="199"/>
      <c r="AB646" s="199"/>
    </row>
    <row r="647" spans="1:28" ht="12.75">
      <c r="A647" s="199"/>
      <c r="B647" s="199"/>
      <c r="C647" s="199"/>
      <c r="D647" s="199"/>
      <c r="E647" s="199"/>
      <c r="F647" s="199"/>
      <c r="G647" s="244"/>
      <c r="H647" s="199"/>
      <c r="I647" s="199"/>
      <c r="J647" s="199"/>
      <c r="K647" s="199"/>
      <c r="L647" s="199"/>
      <c r="M647" s="199"/>
      <c r="N647" s="199"/>
      <c r="O647" s="199"/>
      <c r="P647" s="199"/>
      <c r="Q647" s="199"/>
      <c r="R647" s="199"/>
      <c r="S647" s="199"/>
      <c r="T647" s="199"/>
      <c r="U647" s="199"/>
      <c r="V647" s="199"/>
      <c r="W647" s="199"/>
      <c r="X647" s="199"/>
      <c r="Y647" s="199"/>
      <c r="Z647" s="199"/>
      <c r="AA647" s="199"/>
      <c r="AB647" s="199"/>
    </row>
    <row r="648" spans="1:28" ht="12.75">
      <c r="A648" s="199"/>
      <c r="B648" s="199"/>
      <c r="C648" s="199"/>
      <c r="D648" s="199"/>
      <c r="E648" s="199"/>
      <c r="F648" s="199"/>
      <c r="G648" s="244"/>
      <c r="H648" s="199"/>
      <c r="I648" s="199"/>
      <c r="J648" s="199"/>
      <c r="K648" s="199"/>
      <c r="L648" s="199"/>
      <c r="M648" s="199"/>
      <c r="N648" s="199"/>
      <c r="O648" s="199"/>
      <c r="P648" s="199"/>
      <c r="Q648" s="199"/>
      <c r="R648" s="199"/>
      <c r="S648" s="199"/>
      <c r="T648" s="199"/>
      <c r="U648" s="199"/>
      <c r="V648" s="199"/>
      <c r="W648" s="199"/>
      <c r="X648" s="199"/>
      <c r="Y648" s="199"/>
      <c r="Z648" s="199"/>
      <c r="AA648" s="199"/>
      <c r="AB648" s="199"/>
    </row>
    <row r="649" spans="1:28" ht="12.75">
      <c r="A649" s="199"/>
      <c r="B649" s="199"/>
      <c r="C649" s="199"/>
      <c r="D649" s="199"/>
      <c r="E649" s="199"/>
      <c r="F649" s="199"/>
      <c r="G649" s="244"/>
      <c r="H649" s="199"/>
      <c r="I649" s="199"/>
      <c r="J649" s="199"/>
      <c r="K649" s="199"/>
      <c r="L649" s="199"/>
      <c r="M649" s="199"/>
      <c r="N649" s="199"/>
      <c r="O649" s="199"/>
      <c r="P649" s="199"/>
      <c r="Q649" s="199"/>
      <c r="R649" s="199"/>
      <c r="S649" s="199"/>
      <c r="T649" s="199"/>
      <c r="U649" s="199"/>
      <c r="V649" s="199"/>
      <c r="W649" s="199"/>
      <c r="X649" s="199"/>
      <c r="Y649" s="199"/>
      <c r="Z649" s="199"/>
      <c r="AA649" s="199"/>
      <c r="AB649" s="199"/>
    </row>
    <row r="650" spans="1:28" ht="12.75">
      <c r="A650" s="199"/>
      <c r="B650" s="199"/>
      <c r="C650" s="199"/>
      <c r="D650" s="199"/>
      <c r="E650" s="199"/>
      <c r="F650" s="199"/>
      <c r="G650" s="244"/>
      <c r="H650" s="199"/>
      <c r="I650" s="199"/>
      <c r="J650" s="199"/>
      <c r="K650" s="199"/>
      <c r="L650" s="199"/>
      <c r="M650" s="199"/>
      <c r="N650" s="199"/>
      <c r="O650" s="199"/>
      <c r="P650" s="199"/>
      <c r="Q650" s="199"/>
      <c r="R650" s="199"/>
      <c r="S650" s="199"/>
      <c r="T650" s="199"/>
      <c r="U650" s="199"/>
      <c r="V650" s="199"/>
      <c r="W650" s="199"/>
      <c r="X650" s="199"/>
      <c r="Y650" s="199"/>
      <c r="Z650" s="199"/>
      <c r="AA650" s="199"/>
      <c r="AB650" s="199"/>
    </row>
    <row r="651" spans="1:28" ht="12.75">
      <c r="A651" s="199"/>
      <c r="B651" s="199"/>
      <c r="C651" s="199"/>
      <c r="D651" s="199"/>
      <c r="E651" s="199"/>
      <c r="F651" s="199"/>
      <c r="G651" s="244"/>
      <c r="H651" s="199"/>
      <c r="I651" s="199"/>
      <c r="J651" s="199"/>
      <c r="K651" s="199"/>
      <c r="L651" s="199"/>
      <c r="M651" s="199"/>
      <c r="N651" s="199"/>
      <c r="O651" s="199"/>
      <c r="P651" s="199"/>
      <c r="Q651" s="199"/>
      <c r="R651" s="199"/>
      <c r="S651" s="199"/>
      <c r="T651" s="199"/>
      <c r="U651" s="199"/>
      <c r="V651" s="199"/>
      <c r="W651" s="199"/>
      <c r="X651" s="199"/>
      <c r="Y651" s="199"/>
      <c r="Z651" s="199"/>
      <c r="AA651" s="199"/>
      <c r="AB651" s="199"/>
    </row>
    <row r="652" spans="1:28" ht="12.75">
      <c r="A652" s="199"/>
      <c r="B652" s="199"/>
      <c r="C652" s="199"/>
      <c r="D652" s="199"/>
      <c r="E652" s="199"/>
      <c r="F652" s="199"/>
      <c r="G652" s="244"/>
      <c r="H652" s="199"/>
      <c r="I652" s="199"/>
      <c r="J652" s="199"/>
      <c r="K652" s="199"/>
      <c r="L652" s="199"/>
      <c r="M652" s="199"/>
      <c r="N652" s="199"/>
      <c r="O652" s="199"/>
      <c r="P652" s="199"/>
      <c r="Q652" s="199"/>
      <c r="R652" s="199"/>
      <c r="S652" s="199"/>
      <c r="T652" s="199"/>
      <c r="U652" s="199"/>
      <c r="V652" s="199"/>
      <c r="W652" s="199"/>
      <c r="X652" s="199"/>
      <c r="Y652" s="199"/>
      <c r="Z652" s="199"/>
      <c r="AA652" s="199"/>
      <c r="AB652" s="199"/>
    </row>
    <row r="653" spans="1:28" ht="12.75">
      <c r="A653" s="199"/>
      <c r="B653" s="199"/>
      <c r="C653" s="199"/>
      <c r="D653" s="199"/>
      <c r="E653" s="199"/>
      <c r="F653" s="199"/>
      <c r="G653" s="244"/>
      <c r="H653" s="199"/>
      <c r="I653" s="199"/>
      <c r="J653" s="199"/>
      <c r="K653" s="199"/>
      <c r="L653" s="199"/>
      <c r="M653" s="199"/>
      <c r="N653" s="199"/>
      <c r="O653" s="199"/>
      <c r="P653" s="199"/>
      <c r="Q653" s="199"/>
      <c r="R653" s="199"/>
      <c r="S653" s="199"/>
      <c r="T653" s="199"/>
      <c r="U653" s="199"/>
      <c r="V653" s="199"/>
      <c r="W653" s="199"/>
      <c r="X653" s="199"/>
      <c r="Y653" s="199"/>
      <c r="Z653" s="199"/>
      <c r="AA653" s="199"/>
      <c r="AB653" s="199"/>
    </row>
    <row r="654" spans="1:28" ht="12.75">
      <c r="A654" s="199"/>
      <c r="B654" s="199"/>
      <c r="C654" s="199"/>
      <c r="D654" s="199"/>
      <c r="E654" s="199"/>
      <c r="F654" s="199"/>
      <c r="G654" s="244"/>
      <c r="H654" s="199"/>
      <c r="I654" s="199"/>
      <c r="J654" s="199"/>
      <c r="K654" s="199"/>
      <c r="L654" s="199"/>
      <c r="M654" s="199"/>
      <c r="N654" s="199"/>
      <c r="O654" s="199"/>
      <c r="P654" s="199"/>
      <c r="Q654" s="199"/>
      <c r="R654" s="199"/>
      <c r="S654" s="199"/>
      <c r="T654" s="199"/>
      <c r="U654" s="199"/>
      <c r="V654" s="199"/>
      <c r="W654" s="199"/>
      <c r="X654" s="199"/>
      <c r="Y654" s="199"/>
      <c r="Z654" s="199"/>
      <c r="AA654" s="199"/>
      <c r="AB654" s="199"/>
    </row>
    <row r="655" spans="1:28" ht="12.75">
      <c r="A655" s="199"/>
      <c r="B655" s="199"/>
      <c r="C655" s="199"/>
      <c r="D655" s="199"/>
      <c r="E655" s="199"/>
      <c r="F655" s="199"/>
      <c r="G655" s="244"/>
      <c r="H655" s="199"/>
      <c r="I655" s="199"/>
      <c r="J655" s="199"/>
      <c r="K655" s="199"/>
      <c r="L655" s="199"/>
      <c r="M655" s="199"/>
      <c r="N655" s="199"/>
      <c r="O655" s="199"/>
      <c r="P655" s="199"/>
      <c r="Q655" s="199"/>
      <c r="R655" s="199"/>
      <c r="S655" s="199"/>
      <c r="T655" s="199"/>
      <c r="U655" s="199"/>
      <c r="V655" s="199"/>
      <c r="W655" s="199"/>
      <c r="X655" s="199"/>
      <c r="Y655" s="199"/>
      <c r="Z655" s="199"/>
      <c r="AA655" s="199"/>
      <c r="AB655" s="199"/>
    </row>
    <row r="656" spans="1:28" ht="12.75">
      <c r="A656" s="199"/>
      <c r="B656" s="199"/>
      <c r="C656" s="199"/>
      <c r="D656" s="199"/>
      <c r="E656" s="199"/>
      <c r="F656" s="199"/>
      <c r="G656" s="244"/>
      <c r="H656" s="199"/>
      <c r="I656" s="199"/>
      <c r="J656" s="199"/>
      <c r="K656" s="199"/>
      <c r="L656" s="199"/>
      <c r="M656" s="199"/>
      <c r="N656" s="199"/>
      <c r="O656" s="199"/>
      <c r="P656" s="199"/>
      <c r="Q656" s="199"/>
      <c r="R656" s="199"/>
      <c r="S656" s="199"/>
      <c r="T656" s="199"/>
      <c r="U656" s="199"/>
      <c r="V656" s="199"/>
      <c r="W656" s="199"/>
      <c r="X656" s="199"/>
      <c r="Y656" s="199"/>
      <c r="Z656" s="199"/>
      <c r="AA656" s="199"/>
      <c r="AB656" s="199"/>
    </row>
    <row r="657" spans="1:28" ht="12.75">
      <c r="A657" s="199"/>
      <c r="B657" s="199"/>
      <c r="C657" s="199"/>
      <c r="D657" s="199"/>
      <c r="E657" s="199"/>
      <c r="F657" s="199"/>
      <c r="G657" s="244"/>
      <c r="H657" s="199"/>
      <c r="I657" s="199"/>
      <c r="J657" s="199"/>
      <c r="K657" s="199"/>
      <c r="L657" s="199"/>
      <c r="M657" s="199"/>
      <c r="N657" s="199"/>
      <c r="O657" s="199"/>
      <c r="P657" s="199"/>
      <c r="Q657" s="199"/>
      <c r="R657" s="199"/>
      <c r="S657" s="199"/>
      <c r="T657" s="199"/>
      <c r="U657" s="199"/>
      <c r="V657" s="199"/>
      <c r="W657" s="199"/>
      <c r="X657" s="199"/>
      <c r="Y657" s="199"/>
      <c r="Z657" s="199"/>
      <c r="AA657" s="199"/>
      <c r="AB657" s="199"/>
    </row>
    <row r="658" spans="1:28" ht="12.75">
      <c r="A658" s="199"/>
      <c r="B658" s="199"/>
      <c r="C658" s="199"/>
      <c r="D658" s="199"/>
      <c r="E658" s="199"/>
      <c r="F658" s="199"/>
      <c r="G658" s="244"/>
      <c r="H658" s="199"/>
      <c r="I658" s="199"/>
      <c r="J658" s="199"/>
      <c r="K658" s="199"/>
      <c r="L658" s="199"/>
      <c r="M658" s="199"/>
      <c r="N658" s="199"/>
      <c r="O658" s="199"/>
      <c r="P658" s="199"/>
      <c r="Q658" s="199"/>
      <c r="R658" s="199"/>
      <c r="S658" s="199"/>
      <c r="T658" s="199"/>
      <c r="U658" s="199"/>
      <c r="V658" s="199"/>
      <c r="W658" s="199"/>
      <c r="X658" s="199"/>
      <c r="Y658" s="199"/>
      <c r="Z658" s="199"/>
      <c r="AA658" s="199"/>
      <c r="AB658" s="199"/>
    </row>
    <row r="659" spans="1:28" ht="12.75">
      <c r="A659" s="199"/>
      <c r="B659" s="199"/>
      <c r="C659" s="199"/>
      <c r="D659" s="199"/>
      <c r="E659" s="199"/>
      <c r="F659" s="199"/>
      <c r="G659" s="244"/>
      <c r="H659" s="199"/>
      <c r="I659" s="199"/>
      <c r="J659" s="199"/>
      <c r="K659" s="199"/>
      <c r="L659" s="199"/>
      <c r="M659" s="199"/>
      <c r="N659" s="199"/>
      <c r="O659" s="199"/>
      <c r="P659" s="199"/>
      <c r="Q659" s="199"/>
      <c r="R659" s="199"/>
      <c r="S659" s="199"/>
      <c r="T659" s="199"/>
      <c r="U659" s="199"/>
      <c r="V659" s="199"/>
      <c r="W659" s="199"/>
      <c r="X659" s="199"/>
      <c r="Y659" s="199"/>
      <c r="Z659" s="199"/>
      <c r="AA659" s="199"/>
      <c r="AB659" s="199"/>
    </row>
    <row r="660" spans="1:28" ht="12.75">
      <c r="A660" s="199"/>
      <c r="B660" s="199"/>
      <c r="C660" s="199"/>
      <c r="D660" s="199"/>
      <c r="E660" s="199"/>
      <c r="F660" s="199"/>
      <c r="G660" s="244"/>
      <c r="H660" s="199"/>
      <c r="I660" s="199"/>
      <c r="J660" s="199"/>
      <c r="K660" s="199"/>
      <c r="L660" s="199"/>
      <c r="M660" s="199"/>
      <c r="N660" s="199"/>
      <c r="O660" s="199"/>
      <c r="P660" s="199"/>
      <c r="Q660" s="199"/>
      <c r="R660" s="199"/>
      <c r="S660" s="199"/>
      <c r="T660" s="199"/>
      <c r="U660" s="199"/>
      <c r="V660" s="199"/>
      <c r="W660" s="199"/>
      <c r="X660" s="199"/>
      <c r="Y660" s="199"/>
      <c r="Z660" s="199"/>
      <c r="AA660" s="199"/>
      <c r="AB660" s="199"/>
    </row>
    <row r="661" spans="1:28" ht="12.75">
      <c r="A661" s="199"/>
      <c r="B661" s="199"/>
      <c r="C661" s="199"/>
      <c r="D661" s="199"/>
      <c r="E661" s="199"/>
      <c r="F661" s="199"/>
      <c r="G661" s="244"/>
      <c r="H661" s="199"/>
      <c r="I661" s="199"/>
      <c r="J661" s="199"/>
      <c r="K661" s="199"/>
      <c r="L661" s="199"/>
      <c r="M661" s="199"/>
      <c r="N661" s="199"/>
      <c r="O661" s="199"/>
      <c r="P661" s="199"/>
      <c r="Q661" s="199"/>
      <c r="R661" s="199"/>
      <c r="S661" s="199"/>
      <c r="T661" s="199"/>
      <c r="U661" s="199"/>
      <c r="V661" s="199"/>
      <c r="W661" s="199"/>
      <c r="X661" s="199"/>
      <c r="Y661" s="199"/>
      <c r="Z661" s="199"/>
      <c r="AA661" s="199"/>
      <c r="AB661" s="199"/>
    </row>
    <row r="662" spans="1:28" ht="12.75">
      <c r="A662" s="199"/>
      <c r="B662" s="199"/>
      <c r="C662" s="199"/>
      <c r="D662" s="199"/>
      <c r="E662" s="199"/>
      <c r="F662" s="199"/>
      <c r="G662" s="244"/>
      <c r="H662" s="199"/>
      <c r="I662" s="199"/>
      <c r="J662" s="199"/>
      <c r="K662" s="199"/>
      <c r="L662" s="199"/>
      <c r="M662" s="199"/>
      <c r="N662" s="199"/>
      <c r="O662" s="199"/>
      <c r="P662" s="199"/>
      <c r="Q662" s="199"/>
      <c r="R662" s="199"/>
      <c r="S662" s="199"/>
      <c r="T662" s="199"/>
      <c r="U662" s="199"/>
      <c r="V662" s="199"/>
      <c r="W662" s="199"/>
      <c r="X662" s="199"/>
      <c r="Y662" s="199"/>
      <c r="Z662" s="199"/>
      <c r="AA662" s="199"/>
      <c r="AB662" s="199"/>
    </row>
    <row r="663" spans="1:28" ht="12.75">
      <c r="A663" s="199"/>
      <c r="B663" s="199"/>
      <c r="C663" s="199"/>
      <c r="D663" s="199"/>
      <c r="E663" s="199"/>
      <c r="F663" s="199"/>
      <c r="G663" s="244"/>
      <c r="H663" s="199"/>
      <c r="I663" s="199"/>
      <c r="J663" s="199"/>
      <c r="K663" s="199"/>
      <c r="L663" s="199"/>
      <c r="M663" s="199"/>
      <c r="N663" s="199"/>
      <c r="O663" s="199"/>
      <c r="P663" s="199"/>
      <c r="Q663" s="199"/>
      <c r="R663" s="199"/>
      <c r="S663" s="199"/>
      <c r="T663" s="199"/>
      <c r="U663" s="199"/>
      <c r="V663" s="199"/>
      <c r="W663" s="199"/>
      <c r="X663" s="199"/>
      <c r="Y663" s="199"/>
      <c r="Z663" s="199"/>
      <c r="AA663" s="199"/>
      <c r="AB663" s="199"/>
    </row>
    <row r="664" spans="1:28" ht="12.75">
      <c r="A664" s="199"/>
      <c r="B664" s="199"/>
      <c r="C664" s="199"/>
      <c r="D664" s="199"/>
      <c r="E664" s="199"/>
      <c r="F664" s="199"/>
      <c r="G664" s="244"/>
      <c r="H664" s="199"/>
      <c r="I664" s="199"/>
      <c r="J664" s="199"/>
      <c r="K664" s="199"/>
      <c r="L664" s="199"/>
      <c r="M664" s="199"/>
      <c r="N664" s="199"/>
      <c r="O664" s="199"/>
      <c r="P664" s="199"/>
      <c r="Q664" s="199"/>
      <c r="R664" s="199"/>
      <c r="S664" s="199"/>
      <c r="T664" s="199"/>
      <c r="U664" s="199"/>
      <c r="V664" s="199"/>
      <c r="W664" s="199"/>
      <c r="X664" s="199"/>
      <c r="Y664" s="199"/>
      <c r="Z664" s="199"/>
      <c r="AA664" s="199"/>
      <c r="AB664" s="199"/>
    </row>
    <row r="665" spans="1:28" ht="12.75">
      <c r="A665" s="199"/>
      <c r="B665" s="199"/>
      <c r="C665" s="199"/>
      <c r="D665" s="199"/>
      <c r="E665" s="199"/>
      <c r="F665" s="199"/>
      <c r="G665" s="244"/>
      <c r="H665" s="199"/>
      <c r="I665" s="199"/>
      <c r="J665" s="199"/>
      <c r="K665" s="199"/>
      <c r="L665" s="199"/>
      <c r="M665" s="199"/>
      <c r="N665" s="199"/>
      <c r="O665" s="199"/>
      <c r="P665" s="199"/>
      <c r="Q665" s="199"/>
      <c r="R665" s="199"/>
      <c r="S665" s="199"/>
      <c r="T665" s="199"/>
      <c r="U665" s="199"/>
      <c r="V665" s="199"/>
      <c r="W665" s="199"/>
      <c r="X665" s="199"/>
      <c r="Y665" s="199"/>
      <c r="Z665" s="199"/>
      <c r="AA665" s="199"/>
      <c r="AB665" s="199"/>
    </row>
    <row r="666" spans="1:28" ht="12.75">
      <c r="A666" s="199"/>
      <c r="B666" s="199"/>
      <c r="C666" s="199"/>
      <c r="D666" s="199"/>
      <c r="E666" s="199"/>
      <c r="F666" s="199"/>
      <c r="G666" s="244"/>
      <c r="H666" s="199"/>
      <c r="I666" s="199"/>
      <c r="J666" s="199"/>
      <c r="K666" s="199"/>
      <c r="L666" s="199"/>
      <c r="M666" s="199"/>
      <c r="N666" s="199"/>
      <c r="O666" s="199"/>
      <c r="P666" s="199"/>
      <c r="Q666" s="199"/>
      <c r="R666" s="199"/>
      <c r="S666" s="199"/>
      <c r="T666" s="199"/>
      <c r="U666" s="199"/>
      <c r="V666" s="199"/>
      <c r="W666" s="199"/>
      <c r="X666" s="199"/>
      <c r="Y666" s="199"/>
      <c r="Z666" s="199"/>
      <c r="AA666" s="199"/>
      <c r="AB666" s="199"/>
    </row>
    <row r="667" spans="1:28" ht="12.75">
      <c r="A667" s="199"/>
      <c r="B667" s="199"/>
      <c r="C667" s="199"/>
      <c r="D667" s="199"/>
      <c r="E667" s="199"/>
      <c r="F667" s="199"/>
      <c r="G667" s="244"/>
      <c r="H667" s="199"/>
      <c r="I667" s="199"/>
      <c r="J667" s="199"/>
      <c r="K667" s="199"/>
      <c r="L667" s="199"/>
      <c r="M667" s="199"/>
      <c r="N667" s="199"/>
      <c r="O667" s="199"/>
      <c r="P667" s="199"/>
      <c r="Q667" s="199"/>
      <c r="R667" s="199"/>
      <c r="S667" s="199"/>
      <c r="T667" s="199"/>
      <c r="U667" s="199"/>
      <c r="V667" s="199"/>
      <c r="W667" s="199"/>
      <c r="X667" s="199"/>
      <c r="Y667" s="199"/>
      <c r="Z667" s="199"/>
      <c r="AA667" s="199"/>
      <c r="AB667" s="199"/>
    </row>
    <row r="668" spans="1:28" ht="12.75">
      <c r="A668" s="199"/>
      <c r="B668" s="199"/>
      <c r="C668" s="199"/>
      <c r="D668" s="199"/>
      <c r="E668" s="199"/>
      <c r="F668" s="199"/>
      <c r="G668" s="244"/>
      <c r="H668" s="199"/>
      <c r="I668" s="199"/>
      <c r="J668" s="199"/>
      <c r="K668" s="199"/>
      <c r="L668" s="199"/>
      <c r="M668" s="199"/>
      <c r="N668" s="199"/>
      <c r="O668" s="199"/>
      <c r="P668" s="199"/>
      <c r="Q668" s="199"/>
      <c r="R668" s="199"/>
      <c r="S668" s="199"/>
      <c r="T668" s="199"/>
      <c r="U668" s="199"/>
      <c r="V668" s="199"/>
      <c r="W668" s="199"/>
      <c r="X668" s="199"/>
      <c r="Y668" s="199"/>
      <c r="Z668" s="199"/>
      <c r="AA668" s="199"/>
      <c r="AB668" s="199"/>
    </row>
    <row r="669" spans="1:28" ht="12.75">
      <c r="A669" s="199"/>
      <c r="B669" s="199"/>
      <c r="C669" s="199"/>
      <c r="D669" s="199"/>
      <c r="E669" s="199"/>
      <c r="F669" s="199"/>
      <c r="G669" s="244"/>
      <c r="H669" s="199"/>
      <c r="I669" s="199"/>
      <c r="J669" s="199"/>
      <c r="K669" s="199"/>
      <c r="L669" s="199"/>
      <c r="M669" s="199"/>
      <c r="N669" s="199"/>
      <c r="O669" s="199"/>
      <c r="P669" s="199"/>
      <c r="Q669" s="199"/>
      <c r="R669" s="199"/>
      <c r="S669" s="199"/>
      <c r="T669" s="199"/>
      <c r="U669" s="199"/>
      <c r="V669" s="199"/>
      <c r="W669" s="199"/>
      <c r="X669" s="199"/>
      <c r="Y669" s="199"/>
      <c r="Z669" s="199"/>
      <c r="AA669" s="199"/>
      <c r="AB669" s="199"/>
    </row>
    <row r="670" spans="1:28" ht="12.75">
      <c r="A670" s="199"/>
      <c r="B670" s="199"/>
      <c r="C670" s="199"/>
      <c r="D670" s="199"/>
      <c r="E670" s="199"/>
      <c r="F670" s="199"/>
      <c r="G670" s="244"/>
      <c r="H670" s="199"/>
      <c r="I670" s="199"/>
      <c r="J670" s="199"/>
      <c r="K670" s="199"/>
      <c r="L670" s="199"/>
      <c r="M670" s="199"/>
      <c r="N670" s="199"/>
      <c r="O670" s="199"/>
      <c r="P670" s="199"/>
      <c r="Q670" s="199"/>
      <c r="R670" s="199"/>
      <c r="S670" s="199"/>
      <c r="T670" s="199"/>
      <c r="U670" s="199"/>
      <c r="V670" s="199"/>
      <c r="W670" s="199"/>
      <c r="X670" s="199"/>
      <c r="Y670" s="199"/>
      <c r="Z670" s="199"/>
      <c r="AA670" s="199"/>
      <c r="AB670" s="199"/>
    </row>
    <row r="671" spans="1:28" ht="12.75">
      <c r="A671" s="199"/>
      <c r="B671" s="199"/>
      <c r="C671" s="199"/>
      <c r="D671" s="199"/>
      <c r="E671" s="199"/>
      <c r="F671" s="199"/>
      <c r="G671" s="244"/>
      <c r="H671" s="199"/>
      <c r="I671" s="199"/>
      <c r="J671" s="199"/>
      <c r="K671" s="199"/>
      <c r="L671" s="199"/>
      <c r="M671" s="199"/>
      <c r="N671" s="199"/>
      <c r="O671" s="199"/>
      <c r="P671" s="199"/>
      <c r="Q671" s="199"/>
      <c r="R671" s="199"/>
      <c r="S671" s="199"/>
      <c r="T671" s="199"/>
      <c r="U671" s="199"/>
      <c r="V671" s="199"/>
      <c r="W671" s="199"/>
      <c r="X671" s="199"/>
      <c r="Y671" s="199"/>
      <c r="Z671" s="199"/>
      <c r="AA671" s="199"/>
      <c r="AB671" s="199"/>
    </row>
    <row r="672" spans="1:28" ht="12.75">
      <c r="A672" s="199"/>
      <c r="B672" s="199"/>
      <c r="C672" s="199"/>
      <c r="D672" s="199"/>
      <c r="E672" s="199"/>
      <c r="F672" s="199"/>
      <c r="G672" s="244"/>
      <c r="H672" s="199"/>
      <c r="I672" s="199"/>
      <c r="J672" s="199"/>
      <c r="K672" s="199"/>
      <c r="L672" s="199"/>
      <c r="M672" s="199"/>
      <c r="N672" s="199"/>
      <c r="O672" s="199"/>
      <c r="P672" s="199"/>
      <c r="Q672" s="199"/>
      <c r="R672" s="199"/>
      <c r="S672" s="199"/>
      <c r="T672" s="199"/>
      <c r="U672" s="199"/>
      <c r="V672" s="199"/>
      <c r="W672" s="199"/>
      <c r="X672" s="199"/>
      <c r="Y672" s="199"/>
      <c r="Z672" s="199"/>
      <c r="AA672" s="199"/>
      <c r="AB672" s="199"/>
    </row>
    <row r="673" spans="1:28" ht="12.75">
      <c r="A673" s="199"/>
      <c r="B673" s="199"/>
      <c r="C673" s="199"/>
      <c r="D673" s="199"/>
      <c r="E673" s="199"/>
      <c r="F673" s="199"/>
      <c r="G673" s="244"/>
      <c r="H673" s="199"/>
      <c r="I673" s="199"/>
      <c r="J673" s="199"/>
      <c r="K673" s="199"/>
      <c r="L673" s="199"/>
      <c r="M673" s="199"/>
      <c r="N673" s="199"/>
      <c r="O673" s="199"/>
      <c r="P673" s="199"/>
      <c r="Q673" s="199"/>
      <c r="R673" s="199"/>
      <c r="S673" s="199"/>
      <c r="T673" s="199"/>
      <c r="U673" s="199"/>
      <c r="V673" s="199"/>
      <c r="W673" s="199"/>
      <c r="X673" s="199"/>
      <c r="Y673" s="199"/>
      <c r="Z673" s="199"/>
      <c r="AA673" s="199"/>
      <c r="AB673" s="199"/>
    </row>
    <row r="674" spans="1:28" ht="12.75">
      <c r="A674" s="199"/>
      <c r="B674" s="199"/>
      <c r="C674" s="199"/>
      <c r="D674" s="199"/>
      <c r="E674" s="199"/>
      <c r="F674" s="199"/>
      <c r="G674" s="244"/>
      <c r="H674" s="199"/>
      <c r="I674" s="199"/>
      <c r="J674" s="199"/>
      <c r="K674" s="199"/>
      <c r="L674" s="199"/>
      <c r="M674" s="199"/>
      <c r="N674" s="199"/>
      <c r="O674" s="199"/>
      <c r="P674" s="199"/>
      <c r="Q674" s="199"/>
      <c r="R674" s="199"/>
      <c r="S674" s="199"/>
      <c r="T674" s="199"/>
      <c r="U674" s="199"/>
      <c r="V674" s="199"/>
      <c r="W674" s="199"/>
      <c r="X674" s="199"/>
      <c r="Y674" s="199"/>
      <c r="Z674" s="199"/>
      <c r="AA674" s="199"/>
      <c r="AB674" s="199"/>
    </row>
    <row r="675" spans="1:28" ht="12.75">
      <c r="A675" s="199"/>
      <c r="B675" s="199"/>
      <c r="C675" s="199"/>
      <c r="D675" s="199"/>
      <c r="E675" s="199"/>
      <c r="F675" s="199"/>
      <c r="G675" s="244"/>
      <c r="H675" s="199"/>
      <c r="I675" s="199"/>
      <c r="J675" s="199"/>
      <c r="K675" s="199"/>
      <c r="L675" s="199"/>
      <c r="M675" s="199"/>
      <c r="N675" s="199"/>
      <c r="O675" s="199"/>
      <c r="P675" s="199"/>
      <c r="Q675" s="199"/>
      <c r="R675" s="199"/>
      <c r="S675" s="199"/>
      <c r="T675" s="199"/>
      <c r="U675" s="199"/>
      <c r="V675" s="199"/>
      <c r="W675" s="199"/>
      <c r="X675" s="199"/>
      <c r="Y675" s="199"/>
      <c r="Z675" s="199"/>
      <c r="AA675" s="199"/>
      <c r="AB675" s="199"/>
    </row>
    <row r="676" spans="1:28" ht="12.75">
      <c r="A676" s="199"/>
      <c r="B676" s="199"/>
      <c r="C676" s="199"/>
      <c r="D676" s="199"/>
      <c r="E676" s="199"/>
      <c r="F676" s="199"/>
      <c r="G676" s="244"/>
      <c r="H676" s="199"/>
      <c r="I676" s="199"/>
      <c r="J676" s="199"/>
      <c r="K676" s="199"/>
      <c r="L676" s="199"/>
      <c r="M676" s="199"/>
      <c r="N676" s="199"/>
      <c r="O676" s="199"/>
      <c r="P676" s="199"/>
      <c r="Q676" s="199"/>
      <c r="R676" s="199"/>
      <c r="S676" s="199"/>
      <c r="T676" s="199"/>
      <c r="U676" s="199"/>
      <c r="V676" s="199"/>
      <c r="W676" s="199"/>
      <c r="X676" s="199"/>
      <c r="Y676" s="199"/>
      <c r="Z676" s="199"/>
      <c r="AA676" s="199"/>
      <c r="AB676" s="199"/>
    </row>
    <row r="677" spans="1:28" ht="12.75">
      <c r="A677" s="199"/>
      <c r="B677" s="199"/>
      <c r="C677" s="199"/>
      <c r="D677" s="199"/>
      <c r="E677" s="199"/>
      <c r="F677" s="199"/>
      <c r="G677" s="244"/>
      <c r="H677" s="199"/>
      <c r="I677" s="199"/>
      <c r="J677" s="199"/>
      <c r="K677" s="199"/>
      <c r="L677" s="199"/>
      <c r="M677" s="199"/>
      <c r="N677" s="199"/>
      <c r="O677" s="199"/>
      <c r="P677" s="199"/>
      <c r="Q677" s="199"/>
      <c r="R677" s="199"/>
      <c r="S677" s="199"/>
      <c r="T677" s="199"/>
      <c r="U677" s="199"/>
      <c r="V677" s="199"/>
      <c r="W677" s="199"/>
      <c r="X677" s="199"/>
      <c r="Y677" s="199"/>
      <c r="Z677" s="199"/>
      <c r="AA677" s="199"/>
      <c r="AB677" s="199"/>
    </row>
    <row r="678" spans="1:28" ht="12.75">
      <c r="A678" s="199"/>
      <c r="B678" s="199"/>
      <c r="C678" s="199"/>
      <c r="D678" s="199"/>
      <c r="E678" s="199"/>
      <c r="F678" s="199"/>
      <c r="G678" s="244"/>
      <c r="H678" s="199"/>
      <c r="I678" s="199"/>
      <c r="J678" s="199"/>
      <c r="K678" s="199"/>
      <c r="L678" s="199"/>
      <c r="M678" s="199"/>
      <c r="N678" s="199"/>
      <c r="O678" s="199"/>
      <c r="P678" s="199"/>
      <c r="Q678" s="199"/>
      <c r="R678" s="199"/>
      <c r="S678" s="199"/>
      <c r="T678" s="199"/>
      <c r="U678" s="199"/>
      <c r="V678" s="199"/>
      <c r="W678" s="199"/>
      <c r="X678" s="199"/>
      <c r="Y678" s="199"/>
      <c r="Z678" s="199"/>
      <c r="AA678" s="199"/>
      <c r="AB678" s="199"/>
    </row>
    <row r="679" spans="1:28" ht="12.75">
      <c r="A679" s="199"/>
      <c r="B679" s="199"/>
      <c r="C679" s="199"/>
      <c r="D679" s="199"/>
      <c r="E679" s="199"/>
      <c r="F679" s="199"/>
      <c r="G679" s="244"/>
      <c r="H679" s="199"/>
      <c r="I679" s="199"/>
      <c r="J679" s="199"/>
      <c r="K679" s="199"/>
      <c r="L679" s="199"/>
      <c r="M679" s="199"/>
      <c r="N679" s="199"/>
      <c r="O679" s="199"/>
      <c r="P679" s="199"/>
      <c r="Q679" s="199"/>
      <c r="R679" s="199"/>
      <c r="S679" s="199"/>
      <c r="T679" s="199"/>
      <c r="U679" s="199"/>
      <c r="V679" s="199"/>
      <c r="W679" s="199"/>
      <c r="X679" s="199"/>
      <c r="Y679" s="199"/>
      <c r="Z679" s="199"/>
      <c r="AA679" s="199"/>
      <c r="AB679" s="199"/>
    </row>
    <row r="680" spans="1:28" ht="12.75">
      <c r="A680" s="199"/>
      <c r="B680" s="199"/>
      <c r="C680" s="199"/>
      <c r="D680" s="199"/>
      <c r="E680" s="199"/>
      <c r="F680" s="199"/>
      <c r="G680" s="244"/>
      <c r="H680" s="199"/>
      <c r="I680" s="199"/>
      <c r="J680" s="199"/>
      <c r="K680" s="199"/>
      <c r="L680" s="199"/>
      <c r="M680" s="199"/>
      <c r="N680" s="199"/>
      <c r="O680" s="199"/>
      <c r="P680" s="199"/>
      <c r="Q680" s="199"/>
      <c r="R680" s="199"/>
      <c r="S680" s="199"/>
      <c r="T680" s="199"/>
      <c r="U680" s="199"/>
      <c r="V680" s="199"/>
      <c r="W680" s="199"/>
      <c r="X680" s="199"/>
      <c r="Y680" s="199"/>
      <c r="Z680" s="199"/>
      <c r="AA680" s="199"/>
      <c r="AB680" s="199"/>
    </row>
    <row r="681" spans="1:28" ht="12.75">
      <c r="A681" s="199"/>
      <c r="B681" s="199"/>
      <c r="C681" s="199"/>
      <c r="D681" s="199"/>
      <c r="E681" s="199"/>
      <c r="F681" s="199"/>
      <c r="G681" s="244"/>
      <c r="H681" s="199"/>
      <c r="I681" s="199"/>
      <c r="J681" s="199"/>
      <c r="K681" s="199"/>
      <c r="L681" s="199"/>
      <c r="M681" s="199"/>
      <c r="N681" s="199"/>
      <c r="O681" s="199"/>
      <c r="P681" s="199"/>
      <c r="Q681" s="199"/>
      <c r="R681" s="199"/>
      <c r="S681" s="199"/>
      <c r="T681" s="199"/>
      <c r="U681" s="199"/>
      <c r="V681" s="199"/>
      <c r="W681" s="199"/>
      <c r="X681" s="199"/>
      <c r="Y681" s="199"/>
      <c r="Z681" s="199"/>
      <c r="AA681" s="199"/>
      <c r="AB681" s="199"/>
    </row>
    <row r="682" spans="1:28" ht="12.75">
      <c r="A682" s="199"/>
      <c r="B682" s="199"/>
      <c r="C682" s="199"/>
      <c r="D682" s="199"/>
      <c r="E682" s="199"/>
      <c r="F682" s="199"/>
      <c r="G682" s="244"/>
      <c r="H682" s="199"/>
      <c r="I682" s="199"/>
      <c r="J682" s="199"/>
      <c r="K682" s="199"/>
      <c r="L682" s="199"/>
      <c r="M682" s="199"/>
      <c r="N682" s="199"/>
      <c r="O682" s="199"/>
      <c r="P682" s="199"/>
      <c r="Q682" s="199"/>
      <c r="R682" s="199"/>
      <c r="S682" s="199"/>
      <c r="T682" s="199"/>
      <c r="U682" s="199"/>
      <c r="V682" s="199"/>
      <c r="W682" s="199"/>
      <c r="X682" s="199"/>
      <c r="Y682" s="199"/>
      <c r="Z682" s="199"/>
      <c r="AA682" s="199"/>
      <c r="AB682" s="199"/>
    </row>
    <row r="683" spans="1:28" ht="12.75">
      <c r="A683" s="199"/>
      <c r="B683" s="199"/>
      <c r="C683" s="199"/>
      <c r="D683" s="199"/>
      <c r="E683" s="199"/>
      <c r="F683" s="199"/>
      <c r="G683" s="244"/>
      <c r="H683" s="199"/>
      <c r="I683" s="199"/>
      <c r="J683" s="199"/>
      <c r="K683" s="199"/>
      <c r="L683" s="199"/>
      <c r="M683" s="199"/>
      <c r="N683" s="199"/>
      <c r="O683" s="199"/>
      <c r="P683" s="199"/>
      <c r="Q683" s="199"/>
      <c r="R683" s="199"/>
      <c r="S683" s="199"/>
      <c r="T683" s="199"/>
      <c r="U683" s="199"/>
      <c r="V683" s="199"/>
      <c r="W683" s="199"/>
      <c r="X683" s="199"/>
      <c r="Y683" s="199"/>
      <c r="Z683" s="199"/>
      <c r="AA683" s="199"/>
      <c r="AB683" s="199"/>
    </row>
    <row r="684" spans="1:28" ht="12.75">
      <c r="A684" s="199"/>
      <c r="B684" s="199"/>
      <c r="C684" s="199"/>
      <c r="D684" s="199"/>
      <c r="E684" s="199"/>
      <c r="F684" s="199"/>
      <c r="G684" s="244"/>
      <c r="H684" s="199"/>
      <c r="I684" s="199"/>
      <c r="J684" s="199"/>
      <c r="K684" s="199"/>
      <c r="L684" s="199"/>
      <c r="M684" s="199"/>
      <c r="N684" s="199"/>
      <c r="O684" s="199"/>
      <c r="P684" s="199"/>
      <c r="Q684" s="199"/>
      <c r="R684" s="199"/>
      <c r="S684" s="199"/>
      <c r="T684" s="199"/>
      <c r="U684" s="199"/>
      <c r="V684" s="199"/>
      <c r="W684" s="199"/>
      <c r="X684" s="199"/>
      <c r="Y684" s="199"/>
      <c r="Z684" s="199"/>
      <c r="AA684" s="199"/>
      <c r="AB684" s="199"/>
    </row>
    <row r="685" spans="1:28" ht="12.75">
      <c r="A685" s="199"/>
      <c r="B685" s="199"/>
      <c r="C685" s="199"/>
      <c r="D685" s="199"/>
      <c r="E685" s="199"/>
      <c r="F685" s="199"/>
      <c r="G685" s="244"/>
      <c r="H685" s="199"/>
      <c r="I685" s="199"/>
      <c r="J685" s="199"/>
      <c r="K685" s="199"/>
      <c r="L685" s="199"/>
      <c r="M685" s="199"/>
      <c r="N685" s="199"/>
      <c r="O685" s="199"/>
      <c r="P685" s="199"/>
      <c r="Q685" s="199"/>
      <c r="R685" s="199"/>
      <c r="S685" s="199"/>
      <c r="T685" s="199"/>
      <c r="U685" s="199"/>
      <c r="V685" s="199"/>
      <c r="W685" s="199"/>
      <c r="X685" s="199"/>
      <c r="Y685" s="199"/>
      <c r="Z685" s="199"/>
      <c r="AA685" s="199"/>
      <c r="AB685" s="199"/>
    </row>
    <row r="686" spans="1:28" ht="12.75">
      <c r="A686" s="199"/>
      <c r="B686" s="199"/>
      <c r="C686" s="199"/>
      <c r="D686" s="199"/>
      <c r="E686" s="199"/>
      <c r="F686" s="199"/>
      <c r="G686" s="244"/>
      <c r="H686" s="199"/>
      <c r="I686" s="199"/>
      <c r="J686" s="199"/>
      <c r="K686" s="199"/>
      <c r="L686" s="199"/>
      <c r="M686" s="199"/>
      <c r="N686" s="199"/>
      <c r="O686" s="199"/>
      <c r="P686" s="199"/>
      <c r="Q686" s="199"/>
      <c r="R686" s="199"/>
      <c r="S686" s="199"/>
      <c r="T686" s="199"/>
      <c r="U686" s="199"/>
      <c r="V686" s="199"/>
      <c r="W686" s="199"/>
      <c r="X686" s="199"/>
      <c r="Y686" s="199"/>
      <c r="Z686" s="199"/>
      <c r="AA686" s="199"/>
      <c r="AB686" s="199"/>
    </row>
    <row r="687" spans="1:28" ht="12.75">
      <c r="A687" s="199"/>
      <c r="B687" s="199"/>
      <c r="C687" s="199"/>
      <c r="D687" s="199"/>
      <c r="E687" s="199"/>
      <c r="F687" s="199"/>
      <c r="G687" s="244"/>
      <c r="H687" s="199"/>
      <c r="I687" s="199"/>
      <c r="J687" s="199"/>
      <c r="K687" s="199"/>
      <c r="L687" s="199"/>
      <c r="M687" s="199"/>
      <c r="N687" s="199"/>
      <c r="O687" s="199"/>
      <c r="P687" s="199"/>
      <c r="Q687" s="199"/>
      <c r="R687" s="199"/>
      <c r="S687" s="199"/>
      <c r="T687" s="199"/>
      <c r="U687" s="199"/>
      <c r="V687" s="199"/>
      <c r="W687" s="199"/>
      <c r="X687" s="199"/>
      <c r="Y687" s="199"/>
      <c r="Z687" s="199"/>
      <c r="AA687" s="199"/>
      <c r="AB687" s="199"/>
    </row>
    <row r="688" spans="1:28" ht="12.75">
      <c r="A688" s="199"/>
      <c r="B688" s="199"/>
      <c r="C688" s="199"/>
      <c r="D688" s="199"/>
      <c r="E688" s="199"/>
      <c r="F688" s="199"/>
      <c r="G688" s="244"/>
      <c r="H688" s="199"/>
      <c r="I688" s="199"/>
      <c r="J688" s="199"/>
      <c r="K688" s="199"/>
      <c r="L688" s="199"/>
      <c r="M688" s="199"/>
      <c r="N688" s="199"/>
      <c r="O688" s="199"/>
      <c r="P688" s="199"/>
      <c r="Q688" s="199"/>
      <c r="R688" s="199"/>
      <c r="S688" s="199"/>
      <c r="T688" s="199"/>
      <c r="U688" s="199"/>
      <c r="V688" s="199"/>
      <c r="W688" s="199"/>
      <c r="X688" s="199"/>
      <c r="Y688" s="199"/>
      <c r="Z688" s="199"/>
      <c r="AA688" s="199"/>
      <c r="AB688" s="199"/>
    </row>
    <row r="689" spans="1:28" ht="12.75">
      <c r="A689" s="199"/>
      <c r="B689" s="199"/>
      <c r="C689" s="199"/>
      <c r="D689" s="199"/>
      <c r="E689" s="199"/>
      <c r="F689" s="199"/>
      <c r="G689" s="244"/>
      <c r="H689" s="199"/>
      <c r="I689" s="199"/>
      <c r="J689" s="199"/>
      <c r="K689" s="199"/>
      <c r="L689" s="199"/>
      <c r="M689" s="199"/>
      <c r="N689" s="199"/>
      <c r="O689" s="199"/>
      <c r="P689" s="199"/>
      <c r="Q689" s="199"/>
      <c r="R689" s="199"/>
      <c r="S689" s="199"/>
      <c r="T689" s="199"/>
      <c r="U689" s="199"/>
      <c r="V689" s="199"/>
      <c r="W689" s="199"/>
      <c r="X689" s="199"/>
      <c r="Y689" s="199"/>
      <c r="Z689" s="199"/>
      <c r="AA689" s="199"/>
      <c r="AB689" s="199"/>
    </row>
    <row r="690" spans="1:28" ht="12.75">
      <c r="A690" s="199"/>
      <c r="B690" s="199"/>
      <c r="C690" s="199"/>
      <c r="D690" s="199"/>
      <c r="E690" s="199"/>
      <c r="F690" s="199"/>
      <c r="G690" s="244"/>
      <c r="H690" s="199"/>
      <c r="I690" s="199"/>
      <c r="J690" s="199"/>
      <c r="K690" s="199"/>
      <c r="L690" s="199"/>
      <c r="M690" s="199"/>
      <c r="N690" s="199"/>
      <c r="O690" s="199"/>
      <c r="P690" s="199"/>
      <c r="Q690" s="199"/>
      <c r="R690" s="199"/>
      <c r="S690" s="199"/>
      <c r="T690" s="199"/>
      <c r="U690" s="199"/>
      <c r="V690" s="199"/>
      <c r="W690" s="199"/>
      <c r="X690" s="199"/>
      <c r="Y690" s="199"/>
      <c r="Z690" s="199"/>
      <c r="AA690" s="199"/>
      <c r="AB690" s="199"/>
    </row>
    <row r="691" spans="1:28" ht="12.75">
      <c r="A691" s="199"/>
      <c r="B691" s="199"/>
      <c r="C691" s="199"/>
      <c r="D691" s="199"/>
      <c r="E691" s="199"/>
      <c r="F691" s="199"/>
      <c r="G691" s="244"/>
      <c r="H691" s="199"/>
      <c r="I691" s="199"/>
      <c r="J691" s="199"/>
      <c r="K691" s="199"/>
      <c r="L691" s="199"/>
      <c r="M691" s="199"/>
      <c r="N691" s="199"/>
      <c r="O691" s="199"/>
      <c r="P691" s="199"/>
      <c r="Q691" s="199"/>
      <c r="R691" s="199"/>
      <c r="S691" s="199"/>
      <c r="T691" s="199"/>
      <c r="U691" s="199"/>
      <c r="V691" s="199"/>
      <c r="W691" s="199"/>
      <c r="X691" s="199"/>
      <c r="Y691" s="199"/>
      <c r="Z691" s="199"/>
      <c r="AA691" s="199"/>
      <c r="AB691" s="199"/>
    </row>
    <row r="692" spans="1:28" ht="12.75">
      <c r="A692" s="199"/>
      <c r="B692" s="199"/>
      <c r="C692" s="199"/>
      <c r="D692" s="199"/>
      <c r="E692" s="199"/>
      <c r="F692" s="199"/>
      <c r="G692" s="244"/>
      <c r="H692" s="199"/>
      <c r="I692" s="199"/>
      <c r="J692" s="199"/>
      <c r="K692" s="199"/>
      <c r="L692" s="199"/>
      <c r="M692" s="199"/>
      <c r="N692" s="199"/>
      <c r="O692" s="199"/>
      <c r="P692" s="199"/>
      <c r="Q692" s="199"/>
      <c r="R692" s="199"/>
      <c r="S692" s="199"/>
      <c r="T692" s="199"/>
      <c r="U692" s="199"/>
      <c r="V692" s="199"/>
      <c r="W692" s="199"/>
      <c r="X692" s="199"/>
      <c r="Y692" s="199"/>
      <c r="Z692" s="199"/>
      <c r="AA692" s="199"/>
      <c r="AB692" s="199"/>
    </row>
    <row r="693" spans="1:28" ht="12.75">
      <c r="A693" s="199"/>
      <c r="B693" s="199"/>
      <c r="C693" s="199"/>
      <c r="D693" s="199"/>
      <c r="E693" s="199"/>
      <c r="F693" s="199"/>
      <c r="G693" s="244"/>
      <c r="H693" s="199"/>
      <c r="I693" s="199"/>
      <c r="J693" s="199"/>
      <c r="K693" s="199"/>
      <c r="L693" s="199"/>
      <c r="M693" s="199"/>
      <c r="N693" s="199"/>
      <c r="O693" s="199"/>
      <c r="P693" s="199"/>
      <c r="Q693" s="199"/>
      <c r="R693" s="199"/>
      <c r="S693" s="199"/>
      <c r="T693" s="199"/>
      <c r="U693" s="199"/>
      <c r="V693" s="199"/>
      <c r="W693" s="199"/>
      <c r="X693" s="199"/>
      <c r="Y693" s="199"/>
      <c r="Z693" s="199"/>
      <c r="AA693" s="199"/>
      <c r="AB693" s="199"/>
    </row>
    <row r="694" spans="1:28" ht="12.75">
      <c r="A694" s="199"/>
      <c r="B694" s="199"/>
      <c r="C694" s="199"/>
      <c r="D694" s="199"/>
      <c r="E694" s="199"/>
      <c r="F694" s="199"/>
      <c r="G694" s="244"/>
      <c r="H694" s="199"/>
      <c r="I694" s="199"/>
      <c r="J694" s="199"/>
      <c r="K694" s="199"/>
      <c r="L694" s="199"/>
      <c r="M694" s="199"/>
      <c r="N694" s="199"/>
      <c r="O694" s="199"/>
      <c r="P694" s="199"/>
      <c r="Q694" s="199"/>
      <c r="R694" s="199"/>
      <c r="S694" s="199"/>
      <c r="T694" s="199"/>
      <c r="U694" s="199"/>
      <c r="V694" s="199"/>
      <c r="W694" s="199"/>
      <c r="X694" s="199"/>
      <c r="Y694" s="199"/>
      <c r="Z694" s="199"/>
      <c r="AA694" s="199"/>
      <c r="AB694" s="199"/>
    </row>
    <row r="695" spans="1:28" ht="12.75">
      <c r="A695" s="199"/>
      <c r="B695" s="199"/>
      <c r="C695" s="199"/>
      <c r="D695" s="199"/>
      <c r="E695" s="199"/>
      <c r="F695" s="199"/>
      <c r="G695" s="244"/>
      <c r="H695" s="199"/>
      <c r="I695" s="199"/>
      <c r="J695" s="199"/>
      <c r="K695" s="199"/>
      <c r="L695" s="199"/>
      <c r="M695" s="199"/>
      <c r="N695" s="199"/>
      <c r="O695" s="199"/>
      <c r="P695" s="199"/>
      <c r="Q695" s="199"/>
      <c r="R695" s="199"/>
      <c r="S695" s="199"/>
      <c r="T695" s="199"/>
      <c r="U695" s="199"/>
      <c r="V695" s="199"/>
      <c r="W695" s="199"/>
      <c r="X695" s="199"/>
      <c r="Y695" s="199"/>
      <c r="Z695" s="199"/>
      <c r="AA695" s="199"/>
      <c r="AB695" s="199"/>
    </row>
    <row r="696" spans="1:28" ht="12.75">
      <c r="A696" s="199"/>
      <c r="B696" s="199"/>
      <c r="C696" s="199"/>
      <c r="D696" s="199"/>
      <c r="E696" s="199"/>
      <c r="F696" s="199"/>
      <c r="G696" s="244"/>
      <c r="H696" s="199"/>
      <c r="I696" s="199"/>
      <c r="J696" s="199"/>
      <c r="K696" s="199"/>
      <c r="L696" s="199"/>
      <c r="M696" s="199"/>
      <c r="N696" s="199"/>
      <c r="O696" s="199"/>
      <c r="P696" s="199"/>
      <c r="Q696" s="199"/>
      <c r="R696" s="199"/>
      <c r="S696" s="199"/>
      <c r="T696" s="199"/>
      <c r="U696" s="199"/>
      <c r="V696" s="199"/>
      <c r="W696" s="199"/>
      <c r="X696" s="199"/>
      <c r="Y696" s="199"/>
      <c r="Z696" s="199"/>
      <c r="AA696" s="199"/>
      <c r="AB696" s="199"/>
    </row>
    <row r="697" spans="1:28" ht="12.75">
      <c r="A697" s="199"/>
      <c r="B697" s="199"/>
      <c r="C697" s="199"/>
      <c r="D697" s="199"/>
      <c r="E697" s="199"/>
      <c r="F697" s="199"/>
      <c r="G697" s="244"/>
      <c r="H697" s="199"/>
      <c r="I697" s="199"/>
      <c r="J697" s="199"/>
      <c r="K697" s="199"/>
      <c r="L697" s="199"/>
      <c r="M697" s="199"/>
      <c r="N697" s="199"/>
      <c r="O697" s="199"/>
      <c r="P697" s="199"/>
      <c r="Q697" s="199"/>
      <c r="R697" s="199"/>
      <c r="S697" s="199"/>
      <c r="T697" s="199"/>
      <c r="U697" s="199"/>
      <c r="V697" s="199"/>
      <c r="W697" s="199"/>
      <c r="X697" s="199"/>
      <c r="Y697" s="199"/>
      <c r="Z697" s="199"/>
      <c r="AA697" s="199"/>
      <c r="AB697" s="199"/>
    </row>
    <row r="698" spans="1:28" ht="12.75">
      <c r="A698" s="199"/>
      <c r="B698" s="199"/>
      <c r="C698" s="199"/>
      <c r="D698" s="199"/>
      <c r="E698" s="199"/>
      <c r="F698" s="199"/>
      <c r="G698" s="244"/>
      <c r="H698" s="199"/>
      <c r="I698" s="199"/>
      <c r="J698" s="199"/>
      <c r="K698" s="199"/>
      <c r="L698" s="199"/>
      <c r="M698" s="199"/>
      <c r="N698" s="199"/>
      <c r="O698" s="199"/>
      <c r="P698" s="199"/>
      <c r="Q698" s="199"/>
      <c r="R698" s="199"/>
      <c r="S698" s="199"/>
      <c r="T698" s="199"/>
      <c r="U698" s="199"/>
      <c r="V698" s="199"/>
      <c r="W698" s="199"/>
      <c r="X698" s="199"/>
      <c r="Y698" s="199"/>
      <c r="Z698" s="199"/>
      <c r="AA698" s="199"/>
      <c r="AB698" s="199"/>
    </row>
    <row r="699" spans="1:28" ht="12.75">
      <c r="A699" s="199"/>
      <c r="B699" s="199"/>
      <c r="C699" s="199"/>
      <c r="D699" s="199"/>
      <c r="E699" s="199"/>
      <c r="F699" s="199"/>
      <c r="G699" s="244"/>
      <c r="H699" s="199"/>
      <c r="I699" s="199"/>
      <c r="J699" s="199"/>
      <c r="K699" s="199"/>
      <c r="L699" s="199"/>
      <c r="M699" s="199"/>
      <c r="N699" s="199"/>
      <c r="O699" s="199"/>
      <c r="P699" s="199"/>
      <c r="Q699" s="199"/>
      <c r="R699" s="199"/>
      <c r="S699" s="199"/>
      <c r="T699" s="199"/>
      <c r="U699" s="199"/>
      <c r="V699" s="199"/>
      <c r="W699" s="199"/>
      <c r="X699" s="199"/>
      <c r="Y699" s="199"/>
      <c r="Z699" s="199"/>
      <c r="AA699" s="199"/>
      <c r="AB699" s="199"/>
    </row>
    <row r="700" spans="1:28" ht="12.75">
      <c r="A700" s="199"/>
      <c r="B700" s="199"/>
      <c r="C700" s="199"/>
      <c r="D700" s="199"/>
      <c r="E700" s="199"/>
      <c r="F700" s="199"/>
      <c r="G700" s="244"/>
      <c r="H700" s="199"/>
      <c r="I700" s="199"/>
      <c r="J700" s="199"/>
      <c r="K700" s="199"/>
      <c r="L700" s="199"/>
      <c r="M700" s="199"/>
      <c r="N700" s="199"/>
      <c r="O700" s="199"/>
      <c r="P700" s="199"/>
      <c r="Q700" s="199"/>
      <c r="R700" s="199"/>
      <c r="S700" s="199"/>
      <c r="T700" s="199"/>
      <c r="U700" s="199"/>
      <c r="V700" s="199"/>
      <c r="W700" s="199"/>
      <c r="X700" s="199"/>
      <c r="Y700" s="199"/>
      <c r="Z700" s="199"/>
      <c r="AA700" s="199"/>
      <c r="AB700" s="199"/>
    </row>
    <row r="701" spans="1:28" ht="12.75">
      <c r="A701" s="199"/>
      <c r="B701" s="199"/>
      <c r="C701" s="199"/>
      <c r="D701" s="199"/>
      <c r="E701" s="199"/>
      <c r="F701" s="199"/>
      <c r="G701" s="244"/>
      <c r="H701" s="199"/>
      <c r="I701" s="199"/>
      <c r="J701" s="199"/>
      <c r="K701" s="199"/>
      <c r="L701" s="199"/>
      <c r="M701" s="199"/>
      <c r="N701" s="199"/>
      <c r="O701" s="199"/>
      <c r="P701" s="199"/>
      <c r="Q701" s="199"/>
      <c r="R701" s="199"/>
      <c r="S701" s="199"/>
      <c r="T701" s="199"/>
      <c r="U701" s="199"/>
      <c r="V701" s="199"/>
      <c r="W701" s="199"/>
      <c r="X701" s="199"/>
      <c r="Y701" s="199"/>
      <c r="Z701" s="199"/>
      <c r="AA701" s="199"/>
      <c r="AB701" s="199"/>
    </row>
    <row r="702" spans="1:28" ht="12.75">
      <c r="A702" s="199"/>
      <c r="B702" s="199"/>
      <c r="C702" s="199"/>
      <c r="D702" s="199"/>
      <c r="E702" s="199"/>
      <c r="F702" s="199"/>
      <c r="G702" s="244"/>
      <c r="H702" s="199"/>
      <c r="I702" s="199"/>
      <c r="J702" s="199"/>
      <c r="K702" s="199"/>
      <c r="L702" s="199"/>
      <c r="M702" s="199"/>
      <c r="N702" s="199"/>
      <c r="O702" s="199"/>
      <c r="P702" s="199"/>
      <c r="Q702" s="199"/>
      <c r="R702" s="199"/>
      <c r="S702" s="199"/>
      <c r="T702" s="199"/>
      <c r="U702" s="199"/>
      <c r="V702" s="199"/>
      <c r="W702" s="199"/>
      <c r="X702" s="199"/>
      <c r="Y702" s="199"/>
      <c r="Z702" s="199"/>
      <c r="AA702" s="199"/>
      <c r="AB702" s="199"/>
    </row>
    <row r="703" spans="1:28" ht="12.75">
      <c r="A703" s="199"/>
      <c r="B703" s="199"/>
      <c r="C703" s="199"/>
      <c r="D703" s="199"/>
      <c r="E703" s="199"/>
      <c r="F703" s="199"/>
      <c r="G703" s="244"/>
      <c r="H703" s="199"/>
      <c r="I703" s="199"/>
      <c r="J703" s="199"/>
      <c r="K703" s="199"/>
      <c r="L703" s="199"/>
      <c r="M703" s="199"/>
      <c r="N703" s="199"/>
      <c r="O703" s="199"/>
      <c r="P703" s="199"/>
      <c r="Q703" s="199"/>
      <c r="R703" s="199"/>
      <c r="S703" s="199"/>
      <c r="T703" s="199"/>
      <c r="U703" s="199"/>
      <c r="V703" s="199"/>
      <c r="W703" s="199"/>
      <c r="X703" s="199"/>
      <c r="Y703" s="199"/>
      <c r="Z703" s="199"/>
      <c r="AA703" s="199"/>
      <c r="AB703" s="199"/>
    </row>
    <row r="704" spans="1:28" ht="12.75">
      <c r="A704" s="199"/>
      <c r="B704" s="199"/>
      <c r="C704" s="199"/>
      <c r="D704" s="199"/>
      <c r="E704" s="199"/>
      <c r="F704" s="199"/>
      <c r="G704" s="244"/>
      <c r="H704" s="199"/>
      <c r="I704" s="199"/>
      <c r="J704" s="199"/>
      <c r="K704" s="199"/>
      <c r="L704" s="199"/>
      <c r="M704" s="199"/>
      <c r="N704" s="199"/>
      <c r="O704" s="199"/>
      <c r="P704" s="199"/>
      <c r="Q704" s="199"/>
      <c r="R704" s="199"/>
      <c r="S704" s="199"/>
      <c r="T704" s="199"/>
      <c r="U704" s="199"/>
      <c r="V704" s="199"/>
      <c r="W704" s="199"/>
      <c r="X704" s="199"/>
      <c r="Y704" s="199"/>
      <c r="Z704" s="199"/>
      <c r="AA704" s="199"/>
      <c r="AB704" s="199"/>
    </row>
    <row r="705" spans="1:28" ht="12.75">
      <c r="A705" s="199"/>
      <c r="B705" s="199"/>
      <c r="C705" s="199"/>
      <c r="D705" s="199"/>
      <c r="E705" s="199"/>
      <c r="F705" s="199"/>
      <c r="G705" s="244"/>
      <c r="H705" s="199"/>
      <c r="I705" s="199"/>
      <c r="J705" s="199"/>
      <c r="K705" s="199"/>
      <c r="L705" s="199"/>
      <c r="M705" s="199"/>
      <c r="N705" s="199"/>
      <c r="O705" s="199"/>
      <c r="P705" s="199"/>
      <c r="Q705" s="199"/>
      <c r="R705" s="199"/>
      <c r="S705" s="199"/>
      <c r="T705" s="199"/>
      <c r="U705" s="199"/>
      <c r="V705" s="199"/>
      <c r="W705" s="199"/>
      <c r="X705" s="199"/>
      <c r="Y705" s="199"/>
      <c r="Z705" s="199"/>
      <c r="AA705" s="199"/>
      <c r="AB705" s="199"/>
    </row>
    <row r="706" spans="1:28" ht="12.75">
      <c r="A706" s="199"/>
      <c r="B706" s="199"/>
      <c r="C706" s="199"/>
      <c r="D706" s="199"/>
      <c r="E706" s="199"/>
      <c r="F706" s="199"/>
      <c r="G706" s="244"/>
      <c r="H706" s="199"/>
      <c r="I706" s="199"/>
      <c r="J706" s="199"/>
      <c r="K706" s="199"/>
      <c r="L706" s="199"/>
      <c r="M706" s="199"/>
      <c r="N706" s="199"/>
      <c r="O706" s="199"/>
      <c r="P706" s="199"/>
      <c r="Q706" s="199"/>
      <c r="R706" s="199"/>
      <c r="S706" s="199"/>
      <c r="T706" s="199"/>
      <c r="U706" s="199"/>
      <c r="V706" s="199"/>
      <c r="W706" s="199"/>
      <c r="X706" s="199"/>
      <c r="Y706" s="199"/>
      <c r="Z706" s="199"/>
      <c r="AA706" s="199"/>
      <c r="AB706" s="199"/>
    </row>
    <row r="707" spans="1:28" ht="12.75">
      <c r="A707" s="199"/>
      <c r="B707" s="199"/>
      <c r="C707" s="199"/>
      <c r="D707" s="199"/>
      <c r="E707" s="199"/>
      <c r="F707" s="199"/>
      <c r="G707" s="244"/>
      <c r="H707" s="199"/>
      <c r="I707" s="199"/>
      <c r="J707" s="199"/>
      <c r="K707" s="199"/>
      <c r="L707" s="199"/>
      <c r="M707" s="199"/>
      <c r="N707" s="199"/>
      <c r="O707" s="199"/>
      <c r="P707" s="199"/>
      <c r="Q707" s="199"/>
      <c r="R707" s="199"/>
      <c r="S707" s="199"/>
      <c r="T707" s="199"/>
      <c r="U707" s="199"/>
      <c r="V707" s="199"/>
      <c r="W707" s="199"/>
      <c r="X707" s="199"/>
      <c r="Y707" s="199"/>
      <c r="Z707" s="199"/>
      <c r="AA707" s="199"/>
      <c r="AB707" s="199"/>
    </row>
    <row r="708" spans="1:28" ht="12.75">
      <c r="A708" s="199"/>
      <c r="B708" s="199"/>
      <c r="C708" s="199"/>
      <c r="D708" s="199"/>
      <c r="E708" s="199"/>
      <c r="F708" s="199"/>
      <c r="G708" s="244"/>
      <c r="H708" s="199"/>
      <c r="I708" s="199"/>
      <c r="J708" s="199"/>
      <c r="K708" s="199"/>
      <c r="L708" s="199"/>
      <c r="M708" s="199"/>
      <c r="N708" s="199"/>
      <c r="O708" s="199"/>
      <c r="P708" s="199"/>
      <c r="Q708" s="199"/>
      <c r="R708" s="199"/>
      <c r="S708" s="199"/>
      <c r="T708" s="199"/>
      <c r="U708" s="199"/>
      <c r="V708" s="199"/>
      <c r="W708" s="199"/>
      <c r="X708" s="199"/>
      <c r="Y708" s="199"/>
      <c r="Z708" s="199"/>
      <c r="AA708" s="199"/>
      <c r="AB708" s="199"/>
    </row>
    <row r="709" spans="1:28" ht="12.75">
      <c r="A709" s="199"/>
      <c r="B709" s="199"/>
      <c r="C709" s="199"/>
      <c r="D709" s="199"/>
      <c r="E709" s="199"/>
      <c r="F709" s="199"/>
      <c r="G709" s="244"/>
      <c r="H709" s="199"/>
      <c r="I709" s="199"/>
      <c r="J709" s="199"/>
      <c r="K709" s="199"/>
      <c r="L709" s="199"/>
      <c r="M709" s="199"/>
      <c r="N709" s="199"/>
      <c r="O709" s="199"/>
      <c r="P709" s="199"/>
      <c r="Q709" s="199"/>
      <c r="R709" s="199"/>
      <c r="S709" s="199"/>
      <c r="T709" s="199"/>
      <c r="U709" s="199"/>
      <c r="V709" s="199"/>
      <c r="W709" s="199"/>
      <c r="X709" s="199"/>
      <c r="Y709" s="199"/>
      <c r="Z709" s="199"/>
      <c r="AA709" s="199"/>
      <c r="AB709" s="199"/>
    </row>
    <row r="710" spans="1:28" ht="12.75">
      <c r="A710" s="199"/>
      <c r="B710" s="199"/>
      <c r="C710" s="199"/>
      <c r="D710" s="199"/>
      <c r="E710" s="199"/>
      <c r="F710" s="199"/>
      <c r="G710" s="244"/>
      <c r="H710" s="199"/>
      <c r="I710" s="199"/>
      <c r="J710" s="199"/>
      <c r="K710" s="199"/>
      <c r="L710" s="199"/>
      <c r="M710" s="199"/>
      <c r="N710" s="199"/>
      <c r="O710" s="199"/>
      <c r="P710" s="199"/>
      <c r="Q710" s="199"/>
      <c r="R710" s="199"/>
      <c r="S710" s="199"/>
      <c r="T710" s="199"/>
      <c r="U710" s="199"/>
      <c r="V710" s="199"/>
      <c r="W710" s="199"/>
      <c r="X710" s="199"/>
      <c r="Y710" s="199"/>
      <c r="Z710" s="199"/>
      <c r="AA710" s="199"/>
      <c r="AB710" s="199"/>
    </row>
    <row r="711" spans="1:28" ht="12.75">
      <c r="A711" s="199"/>
      <c r="B711" s="199"/>
      <c r="C711" s="199"/>
      <c r="D711" s="199"/>
      <c r="E711" s="199"/>
      <c r="F711" s="199"/>
      <c r="G711" s="244"/>
      <c r="H711" s="199"/>
      <c r="I711" s="199"/>
      <c r="J711" s="199"/>
      <c r="K711" s="199"/>
      <c r="L711" s="199"/>
      <c r="M711" s="199"/>
      <c r="N711" s="199"/>
      <c r="O711" s="199"/>
      <c r="P711" s="199"/>
      <c r="Q711" s="199"/>
      <c r="R711" s="199"/>
      <c r="S711" s="199"/>
      <c r="T711" s="199"/>
      <c r="U711" s="199"/>
      <c r="V711" s="199"/>
      <c r="W711" s="199"/>
      <c r="X711" s="199"/>
      <c r="Y711" s="199"/>
      <c r="Z711" s="199"/>
      <c r="AA711" s="199"/>
      <c r="AB711" s="199"/>
    </row>
    <row r="712" spans="1:28" ht="12.75">
      <c r="A712" s="199"/>
      <c r="B712" s="199"/>
      <c r="C712" s="199"/>
      <c r="D712" s="199"/>
      <c r="E712" s="199"/>
      <c r="F712" s="199"/>
      <c r="G712" s="244"/>
      <c r="H712" s="199"/>
      <c r="I712" s="199"/>
      <c r="J712" s="199"/>
      <c r="K712" s="199"/>
      <c r="L712" s="199"/>
      <c r="M712" s="199"/>
      <c r="N712" s="199"/>
      <c r="O712" s="199"/>
      <c r="P712" s="199"/>
      <c r="Q712" s="199"/>
      <c r="R712" s="199"/>
      <c r="S712" s="199"/>
      <c r="T712" s="199"/>
      <c r="U712" s="199"/>
      <c r="V712" s="199"/>
      <c r="W712" s="199"/>
      <c r="X712" s="199"/>
      <c r="Y712" s="199"/>
      <c r="Z712" s="199"/>
      <c r="AA712" s="199"/>
      <c r="AB712" s="199"/>
    </row>
    <row r="713" spans="1:28" ht="12.75">
      <c r="A713" s="199"/>
      <c r="B713" s="199"/>
      <c r="C713" s="199"/>
      <c r="D713" s="199"/>
      <c r="E713" s="199"/>
      <c r="F713" s="199"/>
      <c r="G713" s="244"/>
      <c r="H713" s="199"/>
      <c r="I713" s="199"/>
      <c r="J713" s="199"/>
      <c r="K713" s="199"/>
      <c r="L713" s="199"/>
      <c r="M713" s="199"/>
      <c r="N713" s="199"/>
      <c r="O713" s="199"/>
      <c r="P713" s="199"/>
      <c r="Q713" s="199"/>
      <c r="R713" s="199"/>
      <c r="S713" s="199"/>
      <c r="T713" s="199"/>
      <c r="U713" s="199"/>
      <c r="V713" s="199"/>
      <c r="W713" s="199"/>
      <c r="X713" s="199"/>
      <c r="Y713" s="199"/>
      <c r="Z713" s="199"/>
      <c r="AA713" s="199"/>
      <c r="AB713" s="199"/>
    </row>
    <row r="714" spans="1:28" ht="12.75">
      <c r="A714" s="199"/>
      <c r="B714" s="199"/>
      <c r="C714" s="199"/>
      <c r="D714" s="199"/>
      <c r="E714" s="199"/>
      <c r="F714" s="199"/>
      <c r="G714" s="244"/>
      <c r="H714" s="199"/>
      <c r="I714" s="199"/>
      <c r="J714" s="199"/>
      <c r="K714" s="199"/>
      <c r="L714" s="199"/>
      <c r="M714" s="199"/>
      <c r="N714" s="199"/>
      <c r="O714" s="199"/>
      <c r="P714" s="199"/>
      <c r="Q714" s="199"/>
      <c r="R714" s="199"/>
      <c r="S714" s="199"/>
      <c r="T714" s="199"/>
      <c r="U714" s="199"/>
      <c r="V714" s="199"/>
      <c r="W714" s="199"/>
      <c r="X714" s="199"/>
      <c r="Y714" s="199"/>
      <c r="Z714" s="199"/>
      <c r="AA714" s="199"/>
      <c r="AB714" s="199"/>
    </row>
    <row r="715" spans="1:28" ht="12.75">
      <c r="A715" s="199"/>
      <c r="B715" s="199"/>
      <c r="C715" s="199"/>
      <c r="D715" s="199"/>
      <c r="E715" s="199"/>
      <c r="F715" s="199"/>
      <c r="G715" s="244"/>
      <c r="H715" s="199"/>
      <c r="I715" s="199"/>
      <c r="J715" s="199"/>
      <c r="K715" s="199"/>
      <c r="L715" s="199"/>
      <c r="M715" s="199"/>
      <c r="N715" s="199"/>
      <c r="O715" s="199"/>
      <c r="P715" s="199"/>
      <c r="Q715" s="199"/>
      <c r="R715" s="199"/>
      <c r="S715" s="199"/>
      <c r="T715" s="199"/>
      <c r="U715" s="199"/>
      <c r="V715" s="199"/>
      <c r="W715" s="199"/>
      <c r="X715" s="199"/>
      <c r="Y715" s="199"/>
      <c r="Z715" s="199"/>
      <c r="AA715" s="199"/>
      <c r="AB715" s="199"/>
    </row>
    <row r="716" spans="1:28" ht="12.75">
      <c r="A716" s="199"/>
      <c r="B716" s="199"/>
      <c r="C716" s="199"/>
      <c r="D716" s="199"/>
      <c r="E716" s="199"/>
      <c r="F716" s="199"/>
      <c r="G716" s="244"/>
      <c r="H716" s="199"/>
      <c r="I716" s="199"/>
      <c r="J716" s="199"/>
      <c r="K716" s="199"/>
      <c r="L716" s="199"/>
      <c r="M716" s="199"/>
      <c r="N716" s="199"/>
      <c r="O716" s="199"/>
      <c r="P716" s="199"/>
      <c r="Q716" s="199"/>
      <c r="R716" s="199"/>
      <c r="S716" s="199"/>
      <c r="T716" s="199"/>
      <c r="U716" s="199"/>
      <c r="V716" s="199"/>
      <c r="W716" s="199"/>
      <c r="X716" s="199"/>
      <c r="Y716" s="199"/>
      <c r="Z716" s="199"/>
      <c r="AA716" s="199"/>
      <c r="AB716" s="199"/>
    </row>
    <row r="717" spans="1:28" ht="12.75">
      <c r="A717" s="199"/>
      <c r="B717" s="199"/>
      <c r="C717" s="199"/>
      <c r="D717" s="199"/>
      <c r="E717" s="199"/>
      <c r="F717" s="199"/>
      <c r="G717" s="244"/>
      <c r="H717" s="199"/>
      <c r="I717" s="199"/>
      <c r="J717" s="199"/>
      <c r="K717" s="199"/>
      <c r="L717" s="199"/>
      <c r="M717" s="199"/>
      <c r="N717" s="199"/>
      <c r="O717" s="199"/>
      <c r="P717" s="199"/>
      <c r="Q717" s="199"/>
      <c r="R717" s="199"/>
      <c r="S717" s="199"/>
      <c r="T717" s="199"/>
      <c r="U717" s="199"/>
      <c r="V717" s="199"/>
      <c r="W717" s="199"/>
      <c r="X717" s="199"/>
      <c r="Y717" s="199"/>
      <c r="Z717" s="199"/>
      <c r="AA717" s="199"/>
      <c r="AB717" s="199"/>
    </row>
    <row r="718" spans="1:28" ht="12.75">
      <c r="A718" s="199"/>
      <c r="B718" s="199"/>
      <c r="C718" s="199"/>
      <c r="D718" s="199"/>
      <c r="E718" s="199"/>
      <c r="F718" s="199"/>
      <c r="G718" s="244"/>
      <c r="H718" s="199"/>
      <c r="I718" s="199"/>
      <c r="J718" s="199"/>
      <c r="K718" s="199"/>
      <c r="L718" s="199"/>
      <c r="M718" s="199"/>
      <c r="N718" s="199"/>
      <c r="O718" s="199"/>
      <c r="P718" s="199"/>
      <c r="Q718" s="199"/>
      <c r="R718" s="199"/>
      <c r="S718" s="199"/>
      <c r="T718" s="199"/>
      <c r="U718" s="199"/>
      <c r="V718" s="199"/>
      <c r="W718" s="199"/>
      <c r="X718" s="199"/>
      <c r="Y718" s="199"/>
      <c r="Z718" s="199"/>
      <c r="AA718" s="199"/>
      <c r="AB718" s="199"/>
    </row>
    <row r="719" spans="1:28" ht="12.75">
      <c r="A719" s="199"/>
      <c r="B719" s="199"/>
      <c r="C719" s="199"/>
      <c r="D719" s="199"/>
      <c r="E719" s="199"/>
      <c r="F719" s="199"/>
      <c r="G719" s="244"/>
      <c r="H719" s="199"/>
      <c r="I719" s="199"/>
      <c r="J719" s="199"/>
      <c r="K719" s="199"/>
      <c r="L719" s="199"/>
      <c r="M719" s="199"/>
      <c r="N719" s="199"/>
      <c r="O719" s="199"/>
      <c r="P719" s="199"/>
      <c r="Q719" s="199"/>
      <c r="R719" s="199"/>
      <c r="S719" s="199"/>
      <c r="T719" s="199"/>
      <c r="U719" s="199"/>
      <c r="V719" s="199"/>
      <c r="W719" s="199"/>
      <c r="X719" s="199"/>
      <c r="Y719" s="199"/>
      <c r="Z719" s="199"/>
      <c r="AA719" s="199"/>
      <c r="AB719" s="199"/>
    </row>
    <row r="720" spans="1:28" ht="12.75">
      <c r="A720" s="199"/>
      <c r="B720" s="199"/>
      <c r="C720" s="199"/>
      <c r="D720" s="199"/>
      <c r="E720" s="199"/>
      <c r="F720" s="199"/>
      <c r="G720" s="244"/>
      <c r="H720" s="199"/>
      <c r="I720" s="199"/>
      <c r="J720" s="199"/>
      <c r="K720" s="199"/>
      <c r="L720" s="199"/>
      <c r="M720" s="199"/>
      <c r="N720" s="199"/>
      <c r="O720" s="199"/>
      <c r="P720" s="199"/>
      <c r="Q720" s="199"/>
      <c r="R720" s="199"/>
      <c r="S720" s="199"/>
      <c r="T720" s="199"/>
      <c r="U720" s="199"/>
      <c r="V720" s="199"/>
      <c r="W720" s="199"/>
      <c r="X720" s="199"/>
      <c r="Y720" s="199"/>
      <c r="Z720" s="199"/>
      <c r="AA720" s="199"/>
      <c r="AB720" s="199"/>
    </row>
    <row r="721" spans="1:28" ht="12.75">
      <c r="A721" s="199"/>
      <c r="B721" s="199"/>
      <c r="C721" s="199"/>
      <c r="D721" s="199"/>
      <c r="E721" s="199"/>
      <c r="F721" s="199"/>
      <c r="G721" s="244"/>
      <c r="H721" s="199"/>
      <c r="I721" s="199"/>
      <c r="J721" s="199"/>
      <c r="K721" s="199"/>
      <c r="L721" s="199"/>
      <c r="M721" s="199"/>
      <c r="N721" s="199"/>
      <c r="O721" s="199"/>
      <c r="P721" s="199"/>
      <c r="Q721" s="199"/>
      <c r="R721" s="199"/>
      <c r="S721" s="199"/>
      <c r="T721" s="199"/>
      <c r="U721" s="199"/>
      <c r="V721" s="199"/>
      <c r="W721" s="199"/>
      <c r="X721" s="199"/>
      <c r="Y721" s="199"/>
      <c r="Z721" s="199"/>
      <c r="AA721" s="199"/>
      <c r="AB721" s="199"/>
    </row>
    <row r="722" spans="1:28" ht="12.75">
      <c r="A722" s="199"/>
      <c r="B722" s="199"/>
      <c r="C722" s="199"/>
      <c r="D722" s="199"/>
      <c r="E722" s="199"/>
      <c r="F722" s="199"/>
      <c r="G722" s="244"/>
      <c r="H722" s="199"/>
      <c r="I722" s="199"/>
      <c r="J722" s="199"/>
      <c r="K722" s="199"/>
      <c r="L722" s="199"/>
      <c r="M722" s="199"/>
      <c r="N722" s="199"/>
      <c r="O722" s="199"/>
      <c r="P722" s="199"/>
      <c r="Q722" s="199"/>
      <c r="R722" s="199"/>
      <c r="S722" s="199"/>
      <c r="T722" s="199"/>
      <c r="U722" s="199"/>
      <c r="V722" s="199"/>
      <c r="W722" s="199"/>
      <c r="X722" s="199"/>
      <c r="Y722" s="199"/>
      <c r="Z722" s="199"/>
      <c r="AA722" s="199"/>
      <c r="AB722" s="199"/>
    </row>
    <row r="723" spans="1:28" ht="12.75">
      <c r="A723" s="199"/>
      <c r="B723" s="199"/>
      <c r="C723" s="199"/>
      <c r="D723" s="199"/>
      <c r="E723" s="199"/>
      <c r="F723" s="199"/>
      <c r="G723" s="244"/>
      <c r="H723" s="199"/>
      <c r="I723" s="199"/>
      <c r="J723" s="199"/>
      <c r="K723" s="199"/>
      <c r="L723" s="199"/>
      <c r="M723" s="199"/>
      <c r="N723" s="199"/>
      <c r="O723" s="199"/>
      <c r="P723" s="199"/>
      <c r="Q723" s="199"/>
      <c r="R723" s="199"/>
      <c r="S723" s="199"/>
      <c r="T723" s="199"/>
      <c r="U723" s="199"/>
      <c r="V723" s="199"/>
      <c r="W723" s="199"/>
      <c r="X723" s="199"/>
      <c r="Y723" s="199"/>
      <c r="Z723" s="199"/>
      <c r="AA723" s="199"/>
      <c r="AB723" s="199"/>
    </row>
    <row r="724" spans="1:28" ht="12.75">
      <c r="A724" s="199"/>
      <c r="B724" s="199"/>
      <c r="C724" s="199"/>
      <c r="D724" s="199"/>
      <c r="E724" s="199"/>
      <c r="F724" s="199"/>
      <c r="G724" s="244"/>
      <c r="H724" s="199"/>
      <c r="I724" s="199"/>
      <c r="J724" s="199"/>
      <c r="K724" s="199"/>
      <c r="L724" s="199"/>
      <c r="M724" s="199"/>
      <c r="N724" s="199"/>
      <c r="O724" s="199"/>
      <c r="P724" s="199"/>
      <c r="Q724" s="199"/>
      <c r="R724" s="199"/>
      <c r="S724" s="199"/>
      <c r="T724" s="199"/>
      <c r="U724" s="199"/>
      <c r="V724" s="199"/>
      <c r="W724" s="199"/>
      <c r="X724" s="199"/>
      <c r="Y724" s="199"/>
      <c r="Z724" s="199"/>
      <c r="AA724" s="199"/>
      <c r="AB724" s="199"/>
    </row>
    <row r="725" spans="1:28" ht="12.75">
      <c r="A725" s="199"/>
      <c r="B725" s="199"/>
      <c r="C725" s="199"/>
      <c r="D725" s="199"/>
      <c r="E725" s="199"/>
      <c r="F725" s="199"/>
      <c r="G725" s="244"/>
      <c r="H725" s="199"/>
      <c r="I725" s="199"/>
      <c r="J725" s="199"/>
      <c r="K725" s="199"/>
      <c r="L725" s="199"/>
      <c r="M725" s="199"/>
      <c r="N725" s="199"/>
      <c r="O725" s="199"/>
      <c r="P725" s="199"/>
      <c r="Q725" s="199"/>
      <c r="R725" s="199"/>
      <c r="S725" s="199"/>
      <c r="T725" s="199"/>
      <c r="U725" s="199"/>
      <c r="V725" s="199"/>
      <c r="W725" s="199"/>
      <c r="X725" s="199"/>
      <c r="Y725" s="199"/>
      <c r="Z725" s="199"/>
      <c r="AA725" s="199"/>
      <c r="AB725" s="199"/>
    </row>
    <row r="726" spans="1:28" ht="12.75">
      <c r="A726" s="199"/>
      <c r="B726" s="199"/>
      <c r="C726" s="199"/>
      <c r="D726" s="199"/>
      <c r="E726" s="199"/>
      <c r="F726" s="199"/>
      <c r="G726" s="244"/>
      <c r="H726" s="199"/>
      <c r="I726" s="199"/>
      <c r="J726" s="199"/>
      <c r="K726" s="199"/>
      <c r="L726" s="199"/>
      <c r="M726" s="199"/>
      <c r="N726" s="199"/>
      <c r="O726" s="199"/>
      <c r="P726" s="199"/>
      <c r="Q726" s="199"/>
      <c r="R726" s="199"/>
      <c r="S726" s="199"/>
      <c r="T726" s="199"/>
      <c r="U726" s="199"/>
      <c r="V726" s="199"/>
      <c r="W726" s="199"/>
      <c r="X726" s="199"/>
      <c r="Y726" s="199"/>
      <c r="Z726" s="199"/>
      <c r="AA726" s="199"/>
      <c r="AB726" s="199"/>
    </row>
    <row r="727" spans="1:28" ht="12.75">
      <c r="A727" s="199"/>
      <c r="B727" s="199"/>
      <c r="C727" s="199"/>
      <c r="D727" s="199"/>
      <c r="E727" s="199"/>
      <c r="F727" s="199"/>
      <c r="G727" s="244"/>
      <c r="H727" s="199"/>
      <c r="I727" s="199"/>
      <c r="J727" s="199"/>
      <c r="K727" s="199"/>
      <c r="L727" s="199"/>
      <c r="M727" s="199"/>
      <c r="N727" s="199"/>
      <c r="O727" s="199"/>
      <c r="P727" s="199"/>
      <c r="Q727" s="199"/>
      <c r="R727" s="199"/>
      <c r="S727" s="199"/>
      <c r="T727" s="199"/>
      <c r="U727" s="199"/>
      <c r="V727" s="199"/>
      <c r="W727" s="199"/>
      <c r="X727" s="199"/>
      <c r="Y727" s="199"/>
      <c r="Z727" s="199"/>
      <c r="AA727" s="199"/>
      <c r="AB727" s="199"/>
    </row>
    <row r="728" spans="1:28" ht="12.75">
      <c r="A728" s="199"/>
      <c r="B728" s="199"/>
      <c r="C728" s="199"/>
      <c r="D728" s="199"/>
      <c r="E728" s="199"/>
      <c r="F728" s="199"/>
      <c r="G728" s="244"/>
      <c r="H728" s="199"/>
      <c r="I728" s="199"/>
      <c r="J728" s="199"/>
      <c r="K728" s="199"/>
      <c r="L728" s="199"/>
      <c r="M728" s="199"/>
      <c r="N728" s="199"/>
      <c r="O728" s="199"/>
      <c r="P728" s="199"/>
      <c r="Q728" s="199"/>
      <c r="R728" s="199"/>
      <c r="S728" s="199"/>
      <c r="T728" s="199"/>
      <c r="U728" s="199"/>
      <c r="V728" s="199"/>
      <c r="W728" s="199"/>
      <c r="X728" s="199"/>
      <c r="Y728" s="199"/>
      <c r="Z728" s="199"/>
      <c r="AA728" s="199"/>
      <c r="AB728" s="199"/>
    </row>
    <row r="729" spans="1:28" ht="12.75">
      <c r="A729" s="199"/>
      <c r="B729" s="199"/>
      <c r="C729" s="199"/>
      <c r="D729" s="199"/>
      <c r="E729" s="199"/>
      <c r="F729" s="199"/>
      <c r="G729" s="244"/>
      <c r="H729" s="199"/>
      <c r="I729" s="199"/>
      <c r="J729" s="199"/>
      <c r="K729" s="199"/>
      <c r="L729" s="199"/>
      <c r="M729" s="199"/>
      <c r="N729" s="199"/>
      <c r="O729" s="199"/>
      <c r="P729" s="199"/>
      <c r="Q729" s="199"/>
      <c r="R729" s="199"/>
      <c r="S729" s="199"/>
      <c r="T729" s="199"/>
      <c r="U729" s="199"/>
      <c r="V729" s="199"/>
      <c r="W729" s="199"/>
      <c r="X729" s="199"/>
      <c r="Y729" s="199"/>
      <c r="Z729" s="199"/>
      <c r="AA729" s="199"/>
      <c r="AB729" s="199"/>
    </row>
    <row r="730" spans="1:28" ht="12.75">
      <c r="A730" s="199"/>
      <c r="B730" s="199"/>
      <c r="C730" s="199"/>
      <c r="D730" s="199"/>
      <c r="E730" s="199"/>
      <c r="F730" s="199"/>
      <c r="G730" s="244"/>
      <c r="H730" s="199"/>
      <c r="I730" s="199"/>
      <c r="J730" s="199"/>
      <c r="K730" s="199"/>
      <c r="L730" s="199"/>
      <c r="M730" s="199"/>
      <c r="N730" s="199"/>
      <c r="O730" s="199"/>
      <c r="P730" s="199"/>
      <c r="Q730" s="199"/>
      <c r="R730" s="199"/>
      <c r="S730" s="199"/>
      <c r="T730" s="199"/>
      <c r="U730" s="199"/>
      <c r="V730" s="199"/>
      <c r="W730" s="199"/>
      <c r="X730" s="199"/>
      <c r="Y730" s="199"/>
      <c r="Z730" s="199"/>
      <c r="AA730" s="199"/>
      <c r="AB730" s="199"/>
    </row>
    <row r="731" spans="1:28" ht="12.75">
      <c r="A731" s="199"/>
      <c r="B731" s="199"/>
      <c r="C731" s="199"/>
      <c r="D731" s="199"/>
      <c r="E731" s="199"/>
      <c r="F731" s="199"/>
      <c r="G731" s="244"/>
      <c r="H731" s="199"/>
      <c r="I731" s="199"/>
      <c r="J731" s="199"/>
      <c r="K731" s="199"/>
      <c r="L731" s="199"/>
      <c r="M731" s="199"/>
      <c r="N731" s="199"/>
      <c r="O731" s="199"/>
      <c r="P731" s="199"/>
      <c r="Q731" s="199"/>
      <c r="R731" s="199"/>
      <c r="S731" s="199"/>
      <c r="T731" s="199"/>
      <c r="U731" s="199"/>
      <c r="V731" s="199"/>
      <c r="W731" s="199"/>
      <c r="X731" s="199"/>
      <c r="Y731" s="199"/>
      <c r="Z731" s="199"/>
      <c r="AA731" s="199"/>
      <c r="AB731" s="199"/>
    </row>
    <row r="732" spans="1:28" ht="12.75">
      <c r="A732" s="199"/>
      <c r="B732" s="199"/>
      <c r="C732" s="199"/>
      <c r="D732" s="199"/>
      <c r="E732" s="199"/>
      <c r="F732" s="199"/>
      <c r="G732" s="244"/>
      <c r="H732" s="199"/>
      <c r="I732" s="199"/>
      <c r="J732" s="199"/>
      <c r="K732" s="199"/>
      <c r="L732" s="199"/>
      <c r="M732" s="199"/>
      <c r="N732" s="199"/>
      <c r="O732" s="199"/>
      <c r="P732" s="199"/>
      <c r="Q732" s="199"/>
      <c r="R732" s="199"/>
      <c r="S732" s="199"/>
      <c r="T732" s="199"/>
      <c r="U732" s="199"/>
      <c r="V732" s="199"/>
      <c r="W732" s="199"/>
      <c r="X732" s="199"/>
      <c r="Y732" s="199"/>
      <c r="Z732" s="199"/>
      <c r="AA732" s="199"/>
      <c r="AB732" s="199"/>
    </row>
    <row r="733" spans="1:28" ht="12.75">
      <c r="A733" s="199"/>
      <c r="B733" s="199"/>
      <c r="C733" s="199"/>
      <c r="D733" s="199"/>
      <c r="E733" s="199"/>
      <c r="F733" s="199"/>
      <c r="G733" s="244"/>
      <c r="H733" s="199"/>
      <c r="I733" s="199"/>
      <c r="J733" s="199"/>
      <c r="K733" s="199"/>
      <c r="L733" s="199"/>
      <c r="M733" s="199"/>
      <c r="N733" s="199"/>
      <c r="O733" s="199"/>
      <c r="P733" s="199"/>
      <c r="Q733" s="199"/>
      <c r="R733" s="199"/>
      <c r="S733" s="199"/>
      <c r="T733" s="199"/>
      <c r="U733" s="199"/>
      <c r="V733" s="199"/>
      <c r="W733" s="199"/>
      <c r="X733" s="199"/>
      <c r="Y733" s="199"/>
      <c r="Z733" s="199"/>
      <c r="AA733" s="199"/>
      <c r="AB733" s="199"/>
    </row>
    <row r="734" spans="1:28" ht="12.75">
      <c r="A734" s="199"/>
      <c r="B734" s="199"/>
      <c r="C734" s="199"/>
      <c r="D734" s="199"/>
      <c r="E734" s="199"/>
      <c r="F734" s="199"/>
      <c r="G734" s="244"/>
      <c r="H734" s="199"/>
      <c r="I734" s="199"/>
      <c r="J734" s="199"/>
      <c r="K734" s="199"/>
      <c r="L734" s="199"/>
      <c r="M734" s="199"/>
      <c r="N734" s="199"/>
      <c r="O734" s="199"/>
      <c r="P734" s="199"/>
      <c r="Q734" s="199"/>
      <c r="R734" s="199"/>
      <c r="S734" s="199"/>
      <c r="T734" s="199"/>
      <c r="U734" s="199"/>
      <c r="V734" s="199"/>
      <c r="W734" s="199"/>
      <c r="X734" s="199"/>
      <c r="Y734" s="199"/>
      <c r="Z734" s="199"/>
      <c r="AA734" s="199"/>
      <c r="AB734" s="199"/>
    </row>
    <row r="735" spans="1:28" ht="12.75">
      <c r="A735" s="199"/>
      <c r="B735" s="199"/>
      <c r="C735" s="199"/>
      <c r="D735" s="199"/>
      <c r="E735" s="199"/>
      <c r="F735" s="199"/>
      <c r="G735" s="244"/>
      <c r="H735" s="199"/>
      <c r="I735" s="199"/>
      <c r="J735" s="199"/>
      <c r="K735" s="199"/>
      <c r="L735" s="199"/>
      <c r="M735" s="199"/>
      <c r="N735" s="199"/>
      <c r="O735" s="199"/>
      <c r="P735" s="199"/>
      <c r="Q735" s="199"/>
      <c r="R735" s="199"/>
      <c r="S735" s="199"/>
      <c r="T735" s="199"/>
      <c r="U735" s="199"/>
      <c r="V735" s="199"/>
      <c r="W735" s="199"/>
      <c r="X735" s="199"/>
      <c r="Y735" s="199"/>
      <c r="Z735" s="199"/>
      <c r="AA735" s="199"/>
      <c r="AB735" s="199"/>
    </row>
    <row r="736" spans="1:28" ht="12.75">
      <c r="A736" s="199"/>
      <c r="B736" s="199"/>
      <c r="C736" s="199"/>
      <c r="D736" s="199"/>
      <c r="E736" s="199"/>
      <c r="F736" s="199"/>
      <c r="G736" s="244"/>
      <c r="H736" s="199"/>
      <c r="I736" s="199"/>
      <c r="J736" s="199"/>
      <c r="K736" s="199"/>
      <c r="L736" s="199"/>
      <c r="M736" s="199"/>
      <c r="N736" s="199"/>
      <c r="O736" s="199"/>
      <c r="P736" s="199"/>
      <c r="Q736" s="199"/>
      <c r="R736" s="199"/>
      <c r="S736" s="199"/>
      <c r="T736" s="199"/>
      <c r="U736" s="199"/>
      <c r="V736" s="199"/>
      <c r="W736" s="199"/>
      <c r="X736" s="199"/>
      <c r="Y736" s="199"/>
      <c r="Z736" s="199"/>
      <c r="AA736" s="199"/>
      <c r="AB736" s="199"/>
    </row>
    <row r="737" spans="1:28" ht="12.75">
      <c r="A737" s="199"/>
      <c r="B737" s="199"/>
      <c r="C737" s="199"/>
      <c r="D737" s="199"/>
      <c r="E737" s="199"/>
      <c r="F737" s="199"/>
      <c r="G737" s="244"/>
      <c r="H737" s="199"/>
      <c r="I737" s="199"/>
      <c r="J737" s="199"/>
      <c r="K737" s="199"/>
      <c r="L737" s="199"/>
      <c r="M737" s="199"/>
      <c r="N737" s="199"/>
      <c r="O737" s="199"/>
      <c r="P737" s="199"/>
      <c r="Q737" s="199"/>
      <c r="R737" s="199"/>
      <c r="S737" s="199"/>
      <c r="T737" s="199"/>
      <c r="U737" s="199"/>
      <c r="V737" s="199"/>
      <c r="W737" s="199"/>
      <c r="X737" s="199"/>
      <c r="Y737" s="199"/>
      <c r="Z737" s="199"/>
      <c r="AA737" s="199"/>
      <c r="AB737" s="199"/>
    </row>
    <row r="738" spans="1:28" ht="12.75">
      <c r="A738" s="199"/>
      <c r="B738" s="199"/>
      <c r="C738" s="199"/>
      <c r="D738" s="199"/>
      <c r="E738" s="199"/>
      <c r="F738" s="199"/>
      <c r="G738" s="244"/>
      <c r="H738" s="199"/>
      <c r="I738" s="199"/>
      <c r="J738" s="199"/>
      <c r="K738" s="199"/>
      <c r="L738" s="199"/>
      <c r="M738" s="199"/>
      <c r="N738" s="199"/>
      <c r="O738" s="199"/>
      <c r="P738" s="199"/>
      <c r="Q738" s="199"/>
      <c r="R738" s="199"/>
      <c r="S738" s="199"/>
      <c r="T738" s="199"/>
      <c r="U738" s="199"/>
      <c r="V738" s="199"/>
      <c r="W738" s="199"/>
      <c r="X738" s="199"/>
      <c r="Y738" s="199"/>
      <c r="Z738" s="199"/>
      <c r="AA738" s="199"/>
      <c r="AB738" s="199"/>
    </row>
    <row r="739" spans="1:28" ht="12.75">
      <c r="A739" s="199"/>
      <c r="B739" s="199"/>
      <c r="C739" s="199"/>
      <c r="D739" s="199"/>
      <c r="E739" s="199"/>
      <c r="F739" s="199"/>
      <c r="G739" s="244"/>
      <c r="H739" s="199"/>
      <c r="I739" s="199"/>
      <c r="J739" s="199"/>
      <c r="K739" s="199"/>
      <c r="L739" s="199"/>
      <c r="M739" s="199"/>
      <c r="N739" s="199"/>
      <c r="O739" s="199"/>
      <c r="P739" s="199"/>
      <c r="Q739" s="199"/>
      <c r="R739" s="199"/>
      <c r="S739" s="199"/>
      <c r="T739" s="199"/>
      <c r="U739" s="199"/>
      <c r="V739" s="199"/>
      <c r="W739" s="199"/>
      <c r="X739" s="199"/>
      <c r="Y739" s="199"/>
      <c r="Z739" s="199"/>
      <c r="AA739" s="199"/>
      <c r="AB739" s="199"/>
    </row>
    <row r="740" spans="1:28" ht="12.75">
      <c r="A740" s="199"/>
      <c r="B740" s="199"/>
      <c r="C740" s="199"/>
      <c r="D740" s="199"/>
      <c r="E740" s="199"/>
      <c r="F740" s="199"/>
      <c r="G740" s="244"/>
      <c r="H740" s="199"/>
      <c r="I740" s="199"/>
      <c r="J740" s="199"/>
      <c r="K740" s="199"/>
      <c r="L740" s="199"/>
      <c r="M740" s="199"/>
      <c r="N740" s="199"/>
      <c r="O740" s="199"/>
      <c r="P740" s="199"/>
      <c r="Q740" s="199"/>
      <c r="R740" s="199"/>
      <c r="S740" s="199"/>
      <c r="T740" s="199"/>
      <c r="U740" s="199"/>
      <c r="V740" s="199"/>
      <c r="W740" s="199"/>
      <c r="X740" s="199"/>
      <c r="Y740" s="199"/>
      <c r="Z740" s="199"/>
      <c r="AA740" s="199"/>
      <c r="AB740" s="199"/>
    </row>
    <row r="741" spans="1:28" ht="12.75">
      <c r="A741" s="199"/>
      <c r="B741" s="199"/>
      <c r="C741" s="199"/>
      <c r="D741" s="199"/>
      <c r="E741" s="199"/>
      <c r="F741" s="199"/>
      <c r="G741" s="244"/>
      <c r="H741" s="199"/>
      <c r="I741" s="199"/>
      <c r="J741" s="199"/>
      <c r="K741" s="199"/>
      <c r="L741" s="199"/>
      <c r="M741" s="199"/>
      <c r="N741" s="199"/>
      <c r="O741" s="199"/>
      <c r="P741" s="199"/>
      <c r="Q741" s="199"/>
      <c r="R741" s="199"/>
      <c r="S741" s="199"/>
      <c r="T741" s="199"/>
      <c r="U741" s="199"/>
      <c r="V741" s="199"/>
      <c r="W741" s="199"/>
      <c r="X741" s="199"/>
      <c r="Y741" s="199"/>
      <c r="Z741" s="199"/>
      <c r="AA741" s="199"/>
      <c r="AB741" s="199"/>
    </row>
    <row r="742" spans="1:28" ht="12.75">
      <c r="A742" s="199"/>
      <c r="B742" s="199"/>
      <c r="C742" s="199"/>
      <c r="D742" s="199"/>
      <c r="E742" s="199"/>
      <c r="F742" s="199"/>
      <c r="G742" s="244"/>
      <c r="H742" s="199"/>
      <c r="I742" s="199"/>
      <c r="J742" s="199"/>
      <c r="K742" s="199"/>
      <c r="L742" s="199"/>
      <c r="M742" s="199"/>
      <c r="N742" s="199"/>
      <c r="O742" s="199"/>
      <c r="P742" s="199"/>
      <c r="Q742" s="199"/>
      <c r="R742" s="199"/>
      <c r="S742" s="199"/>
      <c r="T742" s="199"/>
      <c r="U742" s="199"/>
      <c r="V742" s="199"/>
      <c r="W742" s="199"/>
      <c r="X742" s="199"/>
      <c r="Y742" s="199"/>
      <c r="Z742" s="199"/>
      <c r="AA742" s="199"/>
      <c r="AB742" s="199"/>
    </row>
    <row r="743" spans="1:28" ht="12.75">
      <c r="A743" s="199"/>
      <c r="B743" s="199"/>
      <c r="C743" s="199"/>
      <c r="D743" s="199"/>
      <c r="E743" s="199"/>
      <c r="F743" s="199"/>
      <c r="G743" s="244"/>
      <c r="H743" s="199"/>
      <c r="I743" s="199"/>
      <c r="J743" s="199"/>
      <c r="K743" s="199"/>
      <c r="L743" s="199"/>
      <c r="M743" s="199"/>
      <c r="N743" s="199"/>
      <c r="O743" s="199"/>
      <c r="P743" s="199"/>
      <c r="Q743" s="199"/>
      <c r="R743" s="199"/>
      <c r="S743" s="199"/>
      <c r="T743" s="199"/>
      <c r="U743" s="199"/>
      <c r="V743" s="199"/>
      <c r="W743" s="199"/>
      <c r="X743" s="199"/>
      <c r="Y743" s="199"/>
      <c r="Z743" s="199"/>
      <c r="AA743" s="199"/>
      <c r="AB743" s="199"/>
    </row>
    <row r="744" spans="1:28" ht="12.75">
      <c r="A744" s="199"/>
      <c r="B744" s="199"/>
      <c r="C744" s="199"/>
      <c r="D744" s="199"/>
      <c r="E744" s="199"/>
      <c r="F744" s="199"/>
      <c r="G744" s="244"/>
      <c r="H744" s="199"/>
      <c r="I744" s="199"/>
      <c r="J744" s="199"/>
      <c r="K744" s="199"/>
      <c r="L744" s="199"/>
      <c r="M744" s="199"/>
      <c r="N744" s="199"/>
      <c r="O744" s="199"/>
      <c r="P744" s="199"/>
      <c r="Q744" s="199"/>
      <c r="R744" s="199"/>
      <c r="S744" s="199"/>
      <c r="T744" s="199"/>
      <c r="U744" s="199"/>
      <c r="V744" s="199"/>
      <c r="W744" s="199"/>
      <c r="X744" s="199"/>
      <c r="Y744" s="199"/>
      <c r="Z744" s="199"/>
      <c r="AA744" s="199"/>
      <c r="AB744" s="199"/>
    </row>
    <row r="745" spans="1:28" ht="12.75">
      <c r="A745" s="199"/>
      <c r="B745" s="199"/>
      <c r="C745" s="199"/>
      <c r="D745" s="199"/>
      <c r="E745" s="199"/>
      <c r="F745" s="199"/>
      <c r="G745" s="244"/>
      <c r="H745" s="199"/>
      <c r="I745" s="199"/>
      <c r="J745" s="199"/>
      <c r="K745" s="199"/>
      <c r="L745" s="199"/>
      <c r="M745" s="199"/>
      <c r="N745" s="199"/>
      <c r="O745" s="199"/>
      <c r="P745" s="199"/>
      <c r="Q745" s="199"/>
      <c r="R745" s="199"/>
      <c r="S745" s="199"/>
      <c r="T745" s="199"/>
      <c r="U745" s="199"/>
      <c r="V745" s="199"/>
      <c r="W745" s="199"/>
      <c r="X745" s="199"/>
      <c r="Y745" s="199"/>
      <c r="Z745" s="199"/>
      <c r="AA745" s="199"/>
      <c r="AB745" s="199"/>
    </row>
    <row r="746" spans="1:28" ht="12.75">
      <c r="A746" s="199"/>
      <c r="B746" s="199"/>
      <c r="C746" s="199"/>
      <c r="D746" s="199"/>
      <c r="E746" s="199"/>
      <c r="F746" s="199"/>
      <c r="G746" s="244"/>
      <c r="H746" s="199"/>
      <c r="I746" s="199"/>
      <c r="J746" s="199"/>
      <c r="K746" s="199"/>
      <c r="L746" s="199"/>
      <c r="M746" s="199"/>
      <c r="N746" s="199"/>
      <c r="O746" s="199"/>
      <c r="P746" s="199"/>
      <c r="Q746" s="199"/>
      <c r="R746" s="199"/>
      <c r="S746" s="199"/>
      <c r="T746" s="199"/>
      <c r="U746" s="199"/>
      <c r="V746" s="199"/>
      <c r="W746" s="199"/>
      <c r="X746" s="199"/>
      <c r="Y746" s="199"/>
      <c r="Z746" s="199"/>
      <c r="AA746" s="199"/>
      <c r="AB746" s="199"/>
    </row>
    <row r="747" spans="1:28" ht="12.75">
      <c r="A747" s="199"/>
      <c r="B747" s="199"/>
      <c r="C747" s="199"/>
      <c r="D747" s="199"/>
      <c r="E747" s="199"/>
      <c r="F747" s="199"/>
      <c r="G747" s="244"/>
      <c r="H747" s="199"/>
      <c r="I747" s="199"/>
      <c r="J747" s="199"/>
      <c r="K747" s="199"/>
      <c r="L747" s="199"/>
      <c r="M747" s="199"/>
      <c r="N747" s="199"/>
      <c r="O747" s="199"/>
      <c r="P747" s="199"/>
      <c r="Q747" s="199"/>
      <c r="R747" s="199"/>
      <c r="S747" s="199"/>
      <c r="T747" s="199"/>
      <c r="U747" s="199"/>
      <c r="V747" s="199"/>
      <c r="W747" s="199"/>
      <c r="X747" s="199"/>
      <c r="Y747" s="199"/>
      <c r="Z747" s="199"/>
      <c r="AA747" s="199"/>
      <c r="AB747" s="199"/>
    </row>
    <row r="748" spans="1:28" ht="12.75">
      <c r="A748" s="199"/>
      <c r="B748" s="199"/>
      <c r="C748" s="199"/>
      <c r="D748" s="199"/>
      <c r="E748" s="199"/>
      <c r="F748" s="199"/>
      <c r="G748" s="244"/>
      <c r="H748" s="199"/>
      <c r="I748" s="199"/>
      <c r="J748" s="199"/>
      <c r="K748" s="199"/>
      <c r="L748" s="199"/>
      <c r="M748" s="199"/>
      <c r="N748" s="199"/>
      <c r="O748" s="199"/>
      <c r="P748" s="199"/>
      <c r="Q748" s="199"/>
      <c r="R748" s="199"/>
      <c r="S748" s="199"/>
      <c r="T748" s="199"/>
      <c r="U748" s="199"/>
      <c r="V748" s="199"/>
      <c r="W748" s="199"/>
      <c r="X748" s="199"/>
      <c r="Y748" s="199"/>
      <c r="Z748" s="199"/>
      <c r="AA748" s="199"/>
      <c r="AB748" s="199"/>
    </row>
    <row r="749" spans="1:28" ht="12.75">
      <c r="A749" s="199"/>
      <c r="B749" s="199"/>
      <c r="C749" s="199"/>
      <c r="D749" s="199"/>
      <c r="E749" s="199"/>
      <c r="F749" s="199"/>
      <c r="G749" s="244"/>
      <c r="H749" s="199"/>
      <c r="I749" s="199"/>
      <c r="J749" s="199"/>
      <c r="K749" s="199"/>
      <c r="L749" s="199"/>
      <c r="M749" s="199"/>
      <c r="N749" s="199"/>
      <c r="O749" s="199"/>
      <c r="P749" s="199"/>
      <c r="Q749" s="199"/>
      <c r="R749" s="199"/>
      <c r="S749" s="199"/>
      <c r="T749" s="199"/>
      <c r="U749" s="199"/>
      <c r="V749" s="199"/>
      <c r="W749" s="199"/>
      <c r="X749" s="199"/>
      <c r="Y749" s="199"/>
      <c r="Z749" s="199"/>
      <c r="AA749" s="199"/>
      <c r="AB749" s="199"/>
    </row>
    <row r="750" spans="1:28" ht="12.75">
      <c r="A750" s="199"/>
      <c r="B750" s="199"/>
      <c r="C750" s="199"/>
      <c r="D750" s="199"/>
      <c r="E750" s="199"/>
      <c r="F750" s="199"/>
      <c r="G750" s="244"/>
      <c r="H750" s="199"/>
      <c r="I750" s="199"/>
      <c r="J750" s="199"/>
      <c r="K750" s="199"/>
      <c r="L750" s="199"/>
      <c r="M750" s="199"/>
      <c r="N750" s="199"/>
      <c r="O750" s="199"/>
      <c r="P750" s="199"/>
      <c r="Q750" s="199"/>
      <c r="R750" s="199"/>
      <c r="S750" s="199"/>
      <c r="T750" s="199"/>
      <c r="U750" s="199"/>
      <c r="V750" s="199"/>
      <c r="W750" s="199"/>
      <c r="X750" s="199"/>
      <c r="Y750" s="199"/>
      <c r="Z750" s="199"/>
      <c r="AA750" s="199"/>
      <c r="AB750" s="199"/>
    </row>
    <row r="751" spans="1:28" ht="12.75">
      <c r="A751" s="199"/>
      <c r="B751" s="199"/>
      <c r="C751" s="199"/>
      <c r="D751" s="199"/>
      <c r="E751" s="199"/>
      <c r="F751" s="199"/>
      <c r="G751" s="244"/>
      <c r="H751" s="199"/>
      <c r="I751" s="199"/>
      <c r="J751" s="199"/>
      <c r="K751" s="199"/>
      <c r="L751" s="199"/>
      <c r="M751" s="199"/>
      <c r="N751" s="199"/>
      <c r="O751" s="199"/>
      <c r="P751" s="199"/>
      <c r="Q751" s="199"/>
      <c r="R751" s="199"/>
      <c r="S751" s="199"/>
      <c r="T751" s="199"/>
      <c r="U751" s="199"/>
      <c r="V751" s="199"/>
      <c r="W751" s="199"/>
      <c r="X751" s="199"/>
      <c r="Y751" s="199"/>
      <c r="Z751" s="199"/>
      <c r="AA751" s="199"/>
      <c r="AB751" s="199"/>
    </row>
    <row r="752" spans="1:28" ht="12.75">
      <c r="A752" s="199"/>
      <c r="B752" s="199"/>
      <c r="C752" s="199"/>
      <c r="D752" s="199"/>
      <c r="E752" s="199"/>
      <c r="F752" s="199"/>
      <c r="G752" s="244"/>
      <c r="H752" s="199"/>
      <c r="I752" s="199"/>
      <c r="J752" s="199"/>
      <c r="K752" s="199"/>
      <c r="L752" s="199"/>
      <c r="M752" s="199"/>
      <c r="N752" s="199"/>
      <c r="O752" s="199"/>
      <c r="P752" s="199"/>
      <c r="Q752" s="199"/>
      <c r="R752" s="199"/>
      <c r="S752" s="199"/>
      <c r="T752" s="199"/>
      <c r="U752" s="199"/>
      <c r="V752" s="199"/>
      <c r="W752" s="199"/>
      <c r="X752" s="199"/>
      <c r="Y752" s="199"/>
      <c r="Z752" s="199"/>
      <c r="AA752" s="199"/>
      <c r="AB752" s="199"/>
    </row>
    <row r="753" spans="1:28" ht="12.75">
      <c r="A753" s="199"/>
      <c r="B753" s="199"/>
      <c r="C753" s="199"/>
      <c r="D753" s="199"/>
      <c r="E753" s="199"/>
      <c r="F753" s="199"/>
      <c r="G753" s="244"/>
      <c r="H753" s="199"/>
      <c r="I753" s="199"/>
      <c r="J753" s="199"/>
      <c r="K753" s="199"/>
      <c r="L753" s="199"/>
      <c r="M753" s="199"/>
      <c r="N753" s="199"/>
      <c r="O753" s="199"/>
      <c r="P753" s="199"/>
      <c r="Q753" s="199"/>
      <c r="R753" s="199"/>
      <c r="S753" s="199"/>
      <c r="T753" s="199"/>
      <c r="U753" s="199"/>
      <c r="V753" s="199"/>
      <c r="W753" s="199"/>
      <c r="X753" s="199"/>
      <c r="Y753" s="199"/>
      <c r="Z753" s="199"/>
      <c r="AA753" s="199"/>
      <c r="AB753" s="199"/>
    </row>
    <row r="754" spans="1:28" ht="12.75">
      <c r="A754" s="199"/>
      <c r="B754" s="199"/>
      <c r="C754" s="199"/>
      <c r="D754" s="199"/>
      <c r="E754" s="199"/>
      <c r="F754" s="199"/>
      <c r="G754" s="244"/>
      <c r="H754" s="199"/>
      <c r="I754" s="199"/>
      <c r="J754" s="199"/>
      <c r="K754" s="199"/>
      <c r="L754" s="199"/>
      <c r="M754" s="199"/>
      <c r="N754" s="199"/>
      <c r="O754" s="199"/>
      <c r="P754" s="199"/>
      <c r="Q754" s="199"/>
      <c r="R754" s="199"/>
      <c r="S754" s="199"/>
      <c r="T754" s="199"/>
      <c r="U754" s="199"/>
      <c r="V754" s="199"/>
      <c r="W754" s="199"/>
      <c r="X754" s="199"/>
      <c r="Y754" s="199"/>
      <c r="Z754" s="199"/>
      <c r="AA754" s="199"/>
      <c r="AB754" s="199"/>
    </row>
    <row r="755" spans="1:28" ht="12.75">
      <c r="A755" s="199"/>
      <c r="B755" s="199"/>
      <c r="C755" s="199"/>
      <c r="D755" s="199"/>
      <c r="E755" s="199"/>
      <c r="F755" s="199"/>
      <c r="G755" s="244"/>
      <c r="H755" s="199"/>
      <c r="I755" s="199"/>
      <c r="J755" s="199"/>
      <c r="K755" s="199"/>
      <c r="L755" s="199"/>
      <c r="M755" s="199"/>
      <c r="N755" s="199"/>
      <c r="O755" s="199"/>
      <c r="P755" s="199"/>
      <c r="Q755" s="199"/>
      <c r="R755" s="199"/>
      <c r="S755" s="199"/>
      <c r="T755" s="199"/>
      <c r="U755" s="199"/>
      <c r="V755" s="199"/>
      <c r="W755" s="199"/>
      <c r="X755" s="199"/>
      <c r="Y755" s="199"/>
      <c r="Z755" s="199"/>
      <c r="AA755" s="199"/>
      <c r="AB755" s="199"/>
    </row>
    <row r="756" spans="1:28" ht="12.75">
      <c r="A756" s="199"/>
      <c r="B756" s="199"/>
      <c r="C756" s="199"/>
      <c r="D756" s="199"/>
      <c r="E756" s="199"/>
      <c r="F756" s="199"/>
      <c r="G756" s="244"/>
      <c r="H756" s="199"/>
      <c r="I756" s="199"/>
      <c r="J756" s="199"/>
      <c r="K756" s="199"/>
      <c r="L756" s="199"/>
      <c r="M756" s="199"/>
      <c r="N756" s="199"/>
      <c r="O756" s="199"/>
      <c r="P756" s="199"/>
      <c r="Q756" s="199"/>
      <c r="R756" s="199"/>
      <c r="S756" s="199"/>
      <c r="T756" s="199"/>
      <c r="U756" s="199"/>
      <c r="V756" s="199"/>
      <c r="W756" s="199"/>
      <c r="X756" s="199"/>
      <c r="Y756" s="199"/>
      <c r="Z756" s="199"/>
      <c r="AA756" s="199"/>
      <c r="AB756" s="199"/>
    </row>
    <row r="757" spans="1:28" ht="12.75">
      <c r="A757" s="199"/>
      <c r="B757" s="199"/>
      <c r="C757" s="199"/>
      <c r="D757" s="199"/>
      <c r="E757" s="199"/>
      <c r="F757" s="199"/>
      <c r="G757" s="244"/>
      <c r="H757" s="199"/>
      <c r="I757" s="199"/>
      <c r="J757" s="199"/>
      <c r="K757" s="199"/>
      <c r="L757" s="199"/>
      <c r="M757" s="199"/>
      <c r="N757" s="199"/>
      <c r="O757" s="199"/>
      <c r="P757" s="199"/>
      <c r="Q757" s="199"/>
      <c r="R757" s="199"/>
      <c r="S757" s="199"/>
      <c r="T757" s="199"/>
      <c r="U757" s="199"/>
      <c r="V757" s="199"/>
      <c r="W757" s="199"/>
      <c r="X757" s="199"/>
      <c r="Y757" s="199"/>
      <c r="Z757" s="199"/>
      <c r="AA757" s="199"/>
      <c r="AB757" s="199"/>
    </row>
    <row r="758" spans="1:28" ht="12.75">
      <c r="A758" s="199"/>
      <c r="B758" s="199"/>
      <c r="C758" s="199"/>
      <c r="D758" s="199"/>
      <c r="E758" s="199"/>
      <c r="F758" s="199"/>
      <c r="G758" s="244"/>
      <c r="H758" s="199"/>
      <c r="I758" s="199"/>
      <c r="J758" s="199"/>
      <c r="K758" s="199"/>
      <c r="L758" s="199"/>
      <c r="M758" s="199"/>
      <c r="N758" s="199"/>
      <c r="O758" s="199"/>
      <c r="P758" s="199"/>
      <c r="Q758" s="199"/>
      <c r="R758" s="199"/>
      <c r="S758" s="199"/>
      <c r="T758" s="199"/>
      <c r="U758" s="199"/>
      <c r="V758" s="199"/>
      <c r="W758" s="199"/>
      <c r="X758" s="199"/>
      <c r="Y758" s="199"/>
      <c r="Z758" s="199"/>
      <c r="AA758" s="199"/>
      <c r="AB758" s="199"/>
    </row>
    <row r="759" spans="1:28" ht="12.75">
      <c r="A759" s="199"/>
      <c r="B759" s="199"/>
      <c r="C759" s="199"/>
      <c r="D759" s="199"/>
      <c r="E759" s="199"/>
      <c r="F759" s="199"/>
      <c r="G759" s="244"/>
      <c r="H759" s="199"/>
      <c r="I759" s="199"/>
      <c r="J759" s="199"/>
      <c r="K759" s="199"/>
      <c r="L759" s="199"/>
      <c r="M759" s="199"/>
      <c r="N759" s="199"/>
      <c r="O759" s="199"/>
      <c r="P759" s="199"/>
      <c r="Q759" s="199"/>
      <c r="R759" s="199"/>
      <c r="S759" s="199"/>
      <c r="T759" s="199"/>
      <c r="U759" s="199"/>
      <c r="V759" s="199"/>
      <c r="W759" s="199"/>
      <c r="X759" s="199"/>
      <c r="Y759" s="199"/>
      <c r="Z759" s="199"/>
      <c r="AA759" s="199"/>
      <c r="AB759" s="199"/>
    </row>
    <row r="760" spans="1:28" ht="12.75">
      <c r="A760" s="199"/>
      <c r="B760" s="199"/>
      <c r="C760" s="199"/>
      <c r="D760" s="199"/>
      <c r="E760" s="199"/>
      <c r="F760" s="199"/>
      <c r="G760" s="244"/>
      <c r="H760" s="199"/>
      <c r="I760" s="199"/>
      <c r="J760" s="199"/>
      <c r="K760" s="199"/>
      <c r="L760" s="199"/>
      <c r="M760" s="199"/>
      <c r="N760" s="199"/>
      <c r="O760" s="199"/>
      <c r="P760" s="199"/>
      <c r="Q760" s="199"/>
      <c r="R760" s="199"/>
      <c r="S760" s="199"/>
      <c r="T760" s="199"/>
      <c r="U760" s="199"/>
      <c r="V760" s="199"/>
      <c r="W760" s="199"/>
      <c r="X760" s="199"/>
      <c r="Y760" s="199"/>
      <c r="Z760" s="199"/>
      <c r="AA760" s="199"/>
      <c r="AB760" s="199"/>
    </row>
    <row r="761" spans="1:28" ht="12.75">
      <c r="A761" s="199"/>
      <c r="B761" s="199"/>
      <c r="C761" s="199"/>
      <c r="D761" s="199"/>
      <c r="E761" s="199"/>
      <c r="F761" s="199"/>
      <c r="G761" s="244"/>
      <c r="H761" s="199"/>
      <c r="I761" s="199"/>
      <c r="J761" s="199"/>
      <c r="K761" s="199"/>
      <c r="L761" s="199"/>
      <c r="M761" s="199"/>
      <c r="N761" s="199"/>
      <c r="O761" s="199"/>
      <c r="P761" s="199"/>
      <c r="Q761" s="199"/>
      <c r="R761" s="199"/>
      <c r="S761" s="199"/>
      <c r="T761" s="199"/>
      <c r="U761" s="199"/>
      <c r="V761" s="199"/>
      <c r="W761" s="199"/>
      <c r="X761" s="199"/>
      <c r="Y761" s="199"/>
      <c r="Z761" s="199"/>
      <c r="AA761" s="199"/>
      <c r="AB761" s="199"/>
    </row>
    <row r="762" spans="1:28" ht="12.75">
      <c r="A762" s="199"/>
      <c r="B762" s="199"/>
      <c r="C762" s="199"/>
      <c r="D762" s="199"/>
      <c r="E762" s="199"/>
      <c r="F762" s="199"/>
      <c r="G762" s="244"/>
      <c r="H762" s="199"/>
      <c r="I762" s="199"/>
      <c r="J762" s="199"/>
      <c r="K762" s="199"/>
      <c r="L762" s="199"/>
      <c r="M762" s="199"/>
      <c r="N762" s="199"/>
      <c r="O762" s="199"/>
      <c r="P762" s="199"/>
      <c r="Q762" s="199"/>
      <c r="R762" s="199"/>
      <c r="S762" s="199"/>
      <c r="T762" s="199"/>
      <c r="U762" s="199"/>
      <c r="V762" s="199"/>
      <c r="W762" s="199"/>
      <c r="X762" s="199"/>
      <c r="Y762" s="199"/>
      <c r="Z762" s="199"/>
      <c r="AA762" s="199"/>
      <c r="AB762" s="199"/>
    </row>
    <row r="763" spans="1:28" ht="12.75">
      <c r="A763" s="199"/>
      <c r="B763" s="199"/>
      <c r="C763" s="199"/>
      <c r="D763" s="199"/>
      <c r="E763" s="199"/>
      <c r="F763" s="199"/>
      <c r="G763" s="244"/>
      <c r="H763" s="199"/>
      <c r="I763" s="199"/>
      <c r="J763" s="199"/>
      <c r="K763" s="199"/>
      <c r="L763" s="199"/>
      <c r="M763" s="199"/>
      <c r="N763" s="199"/>
      <c r="O763" s="199"/>
      <c r="P763" s="199"/>
      <c r="Q763" s="199"/>
      <c r="R763" s="199"/>
      <c r="S763" s="199"/>
      <c r="T763" s="199"/>
      <c r="U763" s="199"/>
      <c r="V763" s="199"/>
      <c r="W763" s="199"/>
      <c r="X763" s="199"/>
      <c r="Y763" s="199"/>
      <c r="Z763" s="199"/>
      <c r="AA763" s="199"/>
      <c r="AB763" s="199"/>
    </row>
    <row r="764" spans="1:28" ht="12.75">
      <c r="A764" s="199"/>
      <c r="B764" s="199"/>
      <c r="C764" s="199"/>
      <c r="D764" s="199"/>
      <c r="E764" s="199"/>
      <c r="F764" s="199"/>
      <c r="G764" s="244"/>
      <c r="H764" s="199"/>
      <c r="I764" s="199"/>
      <c r="J764" s="199"/>
      <c r="K764" s="199"/>
      <c r="L764" s="199"/>
      <c r="M764" s="199"/>
      <c r="N764" s="199"/>
      <c r="O764" s="199"/>
      <c r="P764" s="199"/>
      <c r="Q764" s="199"/>
      <c r="R764" s="199"/>
      <c r="S764" s="199"/>
      <c r="T764" s="199"/>
      <c r="U764" s="199"/>
      <c r="V764" s="199"/>
      <c r="W764" s="199"/>
      <c r="X764" s="199"/>
      <c r="Y764" s="199"/>
      <c r="Z764" s="199"/>
      <c r="AA764" s="199"/>
      <c r="AB764" s="199"/>
    </row>
    <row r="765" spans="1:28" ht="12.75">
      <c r="A765" s="199"/>
      <c r="B765" s="199"/>
      <c r="C765" s="199"/>
      <c r="D765" s="199"/>
      <c r="E765" s="199"/>
      <c r="F765" s="199"/>
      <c r="G765" s="244"/>
      <c r="H765" s="199"/>
      <c r="I765" s="199"/>
      <c r="J765" s="199"/>
      <c r="K765" s="199"/>
      <c r="L765" s="199"/>
      <c r="M765" s="199"/>
      <c r="N765" s="199"/>
      <c r="O765" s="199"/>
      <c r="P765" s="199"/>
      <c r="Q765" s="199"/>
      <c r="R765" s="199"/>
      <c r="S765" s="199"/>
      <c r="T765" s="199"/>
      <c r="U765" s="199"/>
      <c r="V765" s="199"/>
      <c r="W765" s="199"/>
      <c r="X765" s="199"/>
      <c r="Y765" s="199"/>
      <c r="Z765" s="199"/>
      <c r="AA765" s="199"/>
      <c r="AB765" s="199"/>
    </row>
    <row r="766" spans="1:28" ht="12.75">
      <c r="A766" s="199"/>
      <c r="B766" s="199"/>
      <c r="C766" s="199"/>
      <c r="D766" s="199"/>
      <c r="E766" s="199"/>
      <c r="F766" s="199"/>
      <c r="G766" s="244"/>
      <c r="H766" s="199"/>
      <c r="I766" s="199"/>
      <c r="J766" s="199"/>
      <c r="K766" s="199"/>
      <c r="L766" s="199"/>
      <c r="M766" s="199"/>
      <c r="N766" s="199"/>
      <c r="O766" s="199"/>
      <c r="P766" s="199"/>
      <c r="Q766" s="199"/>
      <c r="R766" s="199"/>
      <c r="S766" s="199"/>
      <c r="T766" s="199"/>
      <c r="U766" s="199"/>
      <c r="V766" s="199"/>
      <c r="W766" s="199"/>
      <c r="X766" s="199"/>
      <c r="Y766" s="199"/>
      <c r="Z766" s="199"/>
      <c r="AA766" s="199"/>
      <c r="AB766" s="199"/>
    </row>
    <row r="767" spans="1:28" ht="12.75">
      <c r="A767" s="199"/>
      <c r="B767" s="199"/>
      <c r="C767" s="199"/>
      <c r="D767" s="199"/>
      <c r="E767" s="199"/>
      <c r="F767" s="199"/>
      <c r="G767" s="244"/>
      <c r="H767" s="199"/>
      <c r="I767" s="199"/>
      <c r="J767" s="199"/>
      <c r="K767" s="199"/>
      <c r="L767" s="199"/>
      <c r="M767" s="199"/>
      <c r="N767" s="199"/>
      <c r="O767" s="199"/>
      <c r="P767" s="199"/>
      <c r="Q767" s="199"/>
      <c r="R767" s="199"/>
      <c r="S767" s="199"/>
      <c r="T767" s="199"/>
      <c r="U767" s="199"/>
      <c r="V767" s="199"/>
      <c r="W767" s="199"/>
      <c r="X767" s="199"/>
      <c r="Y767" s="199"/>
      <c r="Z767" s="199"/>
      <c r="AA767" s="199"/>
      <c r="AB767" s="199"/>
    </row>
    <row r="768" spans="1:28" ht="12.75">
      <c r="A768" s="199"/>
      <c r="B768" s="199"/>
      <c r="C768" s="199"/>
      <c r="D768" s="199"/>
      <c r="E768" s="199"/>
      <c r="F768" s="199"/>
      <c r="G768" s="244"/>
      <c r="H768" s="199"/>
      <c r="I768" s="199"/>
      <c r="J768" s="199"/>
      <c r="K768" s="199"/>
      <c r="L768" s="199"/>
      <c r="M768" s="199"/>
      <c r="N768" s="199"/>
      <c r="O768" s="199"/>
      <c r="P768" s="199"/>
      <c r="Q768" s="199"/>
      <c r="R768" s="199"/>
      <c r="S768" s="199"/>
      <c r="T768" s="199"/>
      <c r="U768" s="199"/>
      <c r="V768" s="199"/>
      <c r="W768" s="199"/>
      <c r="X768" s="199"/>
      <c r="Y768" s="199"/>
      <c r="Z768" s="199"/>
      <c r="AA768" s="199"/>
      <c r="AB768" s="199"/>
    </row>
    <row r="769" spans="1:28" ht="12.75">
      <c r="A769" s="199"/>
      <c r="B769" s="199"/>
      <c r="C769" s="199"/>
      <c r="D769" s="199"/>
      <c r="E769" s="199"/>
      <c r="F769" s="199"/>
      <c r="G769" s="244"/>
      <c r="H769" s="199"/>
      <c r="I769" s="199"/>
      <c r="J769" s="199"/>
      <c r="K769" s="199"/>
      <c r="L769" s="199"/>
      <c r="M769" s="199"/>
      <c r="N769" s="199"/>
      <c r="O769" s="199"/>
      <c r="P769" s="199"/>
      <c r="Q769" s="199"/>
      <c r="R769" s="199"/>
      <c r="S769" s="199"/>
      <c r="T769" s="199"/>
      <c r="U769" s="199"/>
      <c r="V769" s="199"/>
      <c r="W769" s="199"/>
      <c r="X769" s="199"/>
      <c r="Y769" s="199"/>
      <c r="Z769" s="199"/>
      <c r="AA769" s="199"/>
      <c r="AB769" s="199"/>
    </row>
    <row r="770" spans="1:28" ht="12.75">
      <c r="A770" s="199"/>
      <c r="B770" s="199"/>
      <c r="C770" s="199"/>
      <c r="D770" s="199"/>
      <c r="E770" s="199"/>
      <c r="F770" s="199"/>
      <c r="G770" s="244"/>
      <c r="H770" s="199"/>
      <c r="I770" s="199"/>
      <c r="J770" s="199"/>
      <c r="K770" s="199"/>
      <c r="L770" s="199"/>
      <c r="M770" s="199"/>
      <c r="N770" s="199"/>
      <c r="O770" s="199"/>
      <c r="P770" s="199"/>
      <c r="Q770" s="199"/>
      <c r="R770" s="199"/>
      <c r="S770" s="199"/>
      <c r="T770" s="199"/>
      <c r="U770" s="199"/>
      <c r="V770" s="199"/>
      <c r="W770" s="199"/>
      <c r="X770" s="199"/>
      <c r="Y770" s="199"/>
      <c r="Z770" s="199"/>
      <c r="AA770" s="199"/>
      <c r="AB770" s="199"/>
    </row>
    <row r="771" spans="1:28" ht="12.75">
      <c r="A771" s="199"/>
      <c r="B771" s="199"/>
      <c r="C771" s="199"/>
      <c r="D771" s="199"/>
      <c r="E771" s="199"/>
      <c r="F771" s="199"/>
      <c r="G771" s="244"/>
      <c r="H771" s="199"/>
      <c r="I771" s="199"/>
      <c r="J771" s="199"/>
      <c r="K771" s="199"/>
      <c r="L771" s="199"/>
      <c r="M771" s="199"/>
      <c r="N771" s="199"/>
      <c r="O771" s="199"/>
      <c r="P771" s="199"/>
      <c r="Q771" s="199"/>
      <c r="R771" s="199"/>
      <c r="S771" s="199"/>
      <c r="T771" s="199"/>
      <c r="U771" s="199"/>
      <c r="V771" s="199"/>
      <c r="W771" s="199"/>
      <c r="X771" s="199"/>
      <c r="Y771" s="199"/>
      <c r="Z771" s="199"/>
      <c r="AA771" s="199"/>
      <c r="AB771" s="199"/>
    </row>
    <row r="772" spans="1:28" ht="12.75">
      <c r="A772" s="199"/>
      <c r="B772" s="199"/>
      <c r="C772" s="199"/>
      <c r="D772" s="199"/>
      <c r="E772" s="199"/>
      <c r="F772" s="199"/>
      <c r="G772" s="244"/>
      <c r="H772" s="199"/>
      <c r="I772" s="199"/>
      <c r="J772" s="199"/>
      <c r="K772" s="199"/>
      <c r="L772" s="199"/>
      <c r="M772" s="199"/>
      <c r="N772" s="199"/>
      <c r="O772" s="199"/>
      <c r="P772" s="199"/>
      <c r="Q772" s="199"/>
      <c r="R772" s="199"/>
      <c r="S772" s="199"/>
      <c r="T772" s="199"/>
      <c r="U772" s="199"/>
      <c r="V772" s="199"/>
      <c r="W772" s="199"/>
      <c r="X772" s="199"/>
      <c r="Y772" s="199"/>
      <c r="Z772" s="199"/>
      <c r="AA772" s="199"/>
      <c r="AB772" s="199"/>
    </row>
    <row r="773" spans="1:28" ht="12.75">
      <c r="A773" s="199"/>
      <c r="B773" s="199"/>
      <c r="C773" s="199"/>
      <c r="D773" s="199"/>
      <c r="E773" s="199"/>
      <c r="F773" s="199"/>
      <c r="G773" s="244"/>
      <c r="H773" s="199"/>
      <c r="I773" s="199"/>
      <c r="J773" s="199"/>
      <c r="K773" s="199"/>
      <c r="L773" s="199"/>
      <c r="M773" s="199"/>
      <c r="N773" s="199"/>
      <c r="O773" s="199"/>
      <c r="P773" s="199"/>
      <c r="Q773" s="199"/>
      <c r="R773" s="199"/>
      <c r="S773" s="199"/>
      <c r="T773" s="199"/>
      <c r="U773" s="199"/>
      <c r="V773" s="199"/>
      <c r="W773" s="199"/>
      <c r="X773" s="199"/>
      <c r="Y773" s="199"/>
      <c r="Z773" s="199"/>
      <c r="AA773" s="199"/>
      <c r="AB773" s="199"/>
    </row>
    <row r="774" spans="1:28" ht="12.75">
      <c r="A774" s="199"/>
      <c r="B774" s="199"/>
      <c r="C774" s="199"/>
      <c r="D774" s="199"/>
      <c r="E774" s="199"/>
      <c r="F774" s="199"/>
      <c r="G774" s="244"/>
      <c r="H774" s="199"/>
      <c r="I774" s="199"/>
      <c r="J774" s="199"/>
      <c r="K774" s="199"/>
      <c r="L774" s="199"/>
      <c r="M774" s="199"/>
      <c r="N774" s="199"/>
      <c r="O774" s="199"/>
      <c r="P774" s="199"/>
      <c r="Q774" s="199"/>
      <c r="R774" s="199"/>
      <c r="S774" s="199"/>
      <c r="T774" s="199"/>
      <c r="U774" s="199"/>
      <c r="V774" s="199"/>
      <c r="W774" s="199"/>
      <c r="X774" s="199"/>
      <c r="Y774" s="199"/>
      <c r="Z774" s="199"/>
      <c r="AA774" s="199"/>
      <c r="AB774" s="199"/>
    </row>
    <row r="775" spans="1:28" ht="12.75">
      <c r="A775" s="199"/>
      <c r="B775" s="199"/>
      <c r="C775" s="199"/>
      <c r="D775" s="199"/>
      <c r="E775" s="199"/>
      <c r="F775" s="199"/>
      <c r="G775" s="244"/>
      <c r="H775" s="199"/>
      <c r="I775" s="199"/>
      <c r="J775" s="199"/>
      <c r="K775" s="199"/>
      <c r="L775" s="199"/>
      <c r="M775" s="199"/>
      <c r="N775" s="199"/>
      <c r="O775" s="199"/>
      <c r="P775" s="199"/>
      <c r="Q775" s="199"/>
      <c r="R775" s="199"/>
      <c r="S775" s="199"/>
      <c r="T775" s="199"/>
      <c r="U775" s="199"/>
      <c r="V775" s="199"/>
      <c r="W775" s="199"/>
      <c r="X775" s="199"/>
      <c r="Y775" s="199"/>
      <c r="Z775" s="199"/>
      <c r="AA775" s="199"/>
      <c r="AB775" s="199"/>
    </row>
    <row r="776" spans="1:28" ht="12.75">
      <c r="A776" s="199"/>
      <c r="B776" s="199"/>
      <c r="C776" s="199"/>
      <c r="D776" s="199"/>
      <c r="E776" s="199"/>
      <c r="F776" s="199"/>
      <c r="G776" s="244"/>
      <c r="H776" s="199"/>
      <c r="I776" s="199"/>
      <c r="J776" s="199"/>
      <c r="K776" s="199"/>
      <c r="L776" s="199"/>
      <c r="M776" s="199"/>
      <c r="N776" s="199"/>
      <c r="O776" s="199"/>
      <c r="P776" s="199"/>
      <c r="Q776" s="199"/>
      <c r="R776" s="199"/>
      <c r="S776" s="199"/>
      <c r="T776" s="199"/>
      <c r="U776" s="199"/>
      <c r="V776" s="199"/>
      <c r="W776" s="199"/>
      <c r="X776" s="199"/>
      <c r="Y776" s="199"/>
      <c r="Z776" s="199"/>
      <c r="AA776" s="199"/>
      <c r="AB776" s="199"/>
    </row>
    <row r="777" spans="1:28" ht="12.75">
      <c r="A777" s="199"/>
      <c r="B777" s="199"/>
      <c r="C777" s="199"/>
      <c r="D777" s="199"/>
      <c r="E777" s="199"/>
      <c r="F777" s="199"/>
      <c r="G777" s="244"/>
      <c r="H777" s="199"/>
      <c r="I777" s="199"/>
      <c r="J777" s="199"/>
      <c r="K777" s="199"/>
      <c r="L777" s="199"/>
      <c r="M777" s="199"/>
      <c r="N777" s="199"/>
      <c r="O777" s="199"/>
      <c r="P777" s="199"/>
      <c r="Q777" s="199"/>
      <c r="R777" s="199"/>
      <c r="S777" s="199"/>
      <c r="T777" s="199"/>
      <c r="U777" s="199"/>
      <c r="V777" s="199"/>
      <c r="W777" s="199"/>
      <c r="X777" s="199"/>
      <c r="Y777" s="199"/>
      <c r="Z777" s="199"/>
      <c r="AA777" s="199"/>
      <c r="AB777" s="199"/>
    </row>
    <row r="778" spans="1:28" ht="12.75">
      <c r="A778" s="199"/>
      <c r="B778" s="199"/>
      <c r="C778" s="199"/>
      <c r="D778" s="199"/>
      <c r="E778" s="199"/>
      <c r="F778" s="199"/>
      <c r="G778" s="244"/>
      <c r="H778" s="199"/>
      <c r="I778" s="199"/>
      <c r="J778" s="199"/>
      <c r="K778" s="199"/>
      <c r="L778" s="199"/>
      <c r="M778" s="199"/>
      <c r="N778" s="199"/>
      <c r="O778" s="199"/>
      <c r="P778" s="199"/>
      <c r="Q778" s="199"/>
      <c r="R778" s="199"/>
      <c r="S778" s="199"/>
      <c r="T778" s="199"/>
      <c r="U778" s="199"/>
      <c r="V778" s="199"/>
      <c r="W778" s="199"/>
      <c r="X778" s="199"/>
      <c r="Y778" s="199"/>
      <c r="Z778" s="199"/>
      <c r="AA778" s="199"/>
      <c r="AB778" s="199"/>
    </row>
    <row r="779" spans="1:28" ht="12.75">
      <c r="A779" s="199"/>
      <c r="B779" s="199"/>
      <c r="C779" s="199"/>
      <c r="D779" s="199"/>
      <c r="E779" s="199"/>
      <c r="F779" s="199"/>
      <c r="G779" s="244"/>
      <c r="H779" s="199"/>
      <c r="I779" s="199"/>
      <c r="J779" s="199"/>
      <c r="K779" s="199"/>
      <c r="L779" s="199"/>
      <c r="M779" s="199"/>
      <c r="N779" s="199"/>
      <c r="O779" s="199"/>
      <c r="P779" s="199"/>
      <c r="Q779" s="199"/>
      <c r="R779" s="199"/>
      <c r="S779" s="199"/>
      <c r="T779" s="199"/>
      <c r="U779" s="199"/>
      <c r="V779" s="199"/>
      <c r="W779" s="199"/>
      <c r="X779" s="199"/>
      <c r="Y779" s="199"/>
      <c r="Z779" s="199"/>
      <c r="AA779" s="199"/>
      <c r="AB779" s="199"/>
    </row>
    <row r="780" spans="1:28" ht="12.75">
      <c r="A780" s="199"/>
      <c r="B780" s="199"/>
      <c r="C780" s="199"/>
      <c r="D780" s="199"/>
      <c r="E780" s="199"/>
      <c r="F780" s="199"/>
      <c r="G780" s="244"/>
      <c r="H780" s="199"/>
      <c r="I780" s="199"/>
      <c r="J780" s="199"/>
      <c r="K780" s="199"/>
      <c r="L780" s="199"/>
      <c r="M780" s="199"/>
      <c r="N780" s="199"/>
      <c r="O780" s="199"/>
      <c r="P780" s="199"/>
      <c r="Q780" s="199"/>
      <c r="R780" s="199"/>
      <c r="S780" s="199"/>
      <c r="T780" s="199"/>
      <c r="U780" s="199"/>
      <c r="V780" s="199"/>
      <c r="W780" s="199"/>
      <c r="X780" s="199"/>
      <c r="Y780" s="199"/>
      <c r="Z780" s="199"/>
      <c r="AA780" s="199"/>
      <c r="AB780" s="199"/>
    </row>
    <row r="781" spans="1:28" ht="12.75">
      <c r="A781" s="199"/>
      <c r="B781" s="199"/>
      <c r="C781" s="199"/>
      <c r="D781" s="199"/>
      <c r="E781" s="199"/>
      <c r="F781" s="199"/>
      <c r="G781" s="244"/>
      <c r="H781" s="199"/>
      <c r="I781" s="199"/>
      <c r="J781" s="199"/>
      <c r="K781" s="199"/>
      <c r="L781" s="199"/>
      <c r="M781" s="199"/>
      <c r="N781" s="199"/>
      <c r="O781" s="199"/>
      <c r="P781" s="199"/>
      <c r="Q781" s="199"/>
      <c r="R781" s="199"/>
      <c r="S781" s="199"/>
      <c r="T781" s="199"/>
      <c r="U781" s="199"/>
      <c r="V781" s="199"/>
      <c r="W781" s="199"/>
      <c r="X781" s="199"/>
      <c r="Y781" s="199"/>
      <c r="Z781" s="199"/>
      <c r="AA781" s="199"/>
      <c r="AB781" s="199"/>
    </row>
    <row r="782" spans="1:28" ht="12.75">
      <c r="A782" s="199"/>
      <c r="B782" s="199"/>
      <c r="C782" s="199"/>
      <c r="D782" s="199"/>
      <c r="E782" s="199"/>
      <c r="F782" s="199"/>
      <c r="G782" s="244"/>
      <c r="H782" s="199"/>
      <c r="I782" s="199"/>
      <c r="J782" s="199"/>
      <c r="K782" s="199"/>
      <c r="L782" s="199"/>
      <c r="M782" s="199"/>
      <c r="N782" s="199"/>
      <c r="O782" s="199"/>
      <c r="P782" s="199"/>
      <c r="Q782" s="199"/>
      <c r="R782" s="199"/>
      <c r="S782" s="199"/>
      <c r="T782" s="199"/>
      <c r="U782" s="199"/>
      <c r="V782" s="199"/>
      <c r="W782" s="199"/>
      <c r="X782" s="199"/>
      <c r="Y782" s="199"/>
      <c r="Z782" s="199"/>
      <c r="AA782" s="199"/>
      <c r="AB782" s="199"/>
    </row>
    <row r="783" spans="1:28" ht="12.75">
      <c r="A783" s="199"/>
      <c r="B783" s="199"/>
      <c r="C783" s="199"/>
      <c r="D783" s="199"/>
      <c r="E783" s="199"/>
      <c r="F783" s="199"/>
      <c r="G783" s="244"/>
      <c r="H783" s="199"/>
      <c r="I783" s="199"/>
      <c r="J783" s="199"/>
      <c r="K783" s="199"/>
      <c r="L783" s="199"/>
      <c r="M783" s="199"/>
      <c r="N783" s="199"/>
      <c r="O783" s="199"/>
      <c r="P783" s="199"/>
      <c r="Q783" s="199"/>
      <c r="R783" s="199"/>
      <c r="S783" s="199"/>
      <c r="T783" s="199"/>
      <c r="U783" s="199"/>
      <c r="V783" s="199"/>
      <c r="W783" s="199"/>
      <c r="X783" s="199"/>
      <c r="Y783" s="199"/>
      <c r="Z783" s="199"/>
      <c r="AA783" s="199"/>
      <c r="AB783" s="199"/>
    </row>
    <row r="784" spans="1:28" ht="12.75">
      <c r="A784" s="199"/>
      <c r="B784" s="199"/>
      <c r="C784" s="199"/>
      <c r="D784" s="199"/>
      <c r="E784" s="199"/>
      <c r="F784" s="199"/>
      <c r="G784" s="244"/>
      <c r="H784" s="199"/>
      <c r="I784" s="199"/>
      <c r="J784" s="199"/>
      <c r="K784" s="199"/>
      <c r="L784" s="199"/>
      <c r="M784" s="199"/>
      <c r="N784" s="199"/>
      <c r="O784" s="199"/>
      <c r="P784" s="199"/>
      <c r="Q784" s="199"/>
      <c r="R784" s="199"/>
      <c r="S784" s="199"/>
      <c r="T784" s="199"/>
      <c r="U784" s="199"/>
      <c r="V784" s="199"/>
      <c r="W784" s="199"/>
      <c r="X784" s="199"/>
      <c r="Y784" s="199"/>
      <c r="Z784" s="199"/>
      <c r="AA784" s="199"/>
      <c r="AB784" s="199"/>
    </row>
    <row r="785" spans="1:28" ht="12.75">
      <c r="A785" s="199"/>
      <c r="B785" s="199"/>
      <c r="C785" s="199"/>
      <c r="D785" s="199"/>
      <c r="E785" s="199"/>
      <c r="F785" s="199"/>
      <c r="G785" s="244"/>
      <c r="H785" s="199"/>
      <c r="I785" s="199"/>
      <c r="J785" s="199"/>
      <c r="K785" s="199"/>
      <c r="L785" s="199"/>
      <c r="M785" s="199"/>
      <c r="N785" s="199"/>
      <c r="O785" s="199"/>
      <c r="P785" s="199"/>
      <c r="Q785" s="199"/>
      <c r="R785" s="199"/>
      <c r="S785" s="199"/>
      <c r="T785" s="199"/>
      <c r="U785" s="199"/>
      <c r="V785" s="199"/>
      <c r="W785" s="199"/>
      <c r="X785" s="199"/>
      <c r="Y785" s="199"/>
      <c r="Z785" s="199"/>
      <c r="AA785" s="199"/>
      <c r="AB785" s="199"/>
    </row>
    <row r="786" spans="1:28" ht="12.75">
      <c r="A786" s="199"/>
      <c r="B786" s="199"/>
      <c r="C786" s="199"/>
      <c r="D786" s="199"/>
      <c r="E786" s="199"/>
      <c r="F786" s="199"/>
      <c r="G786" s="244"/>
      <c r="H786" s="199"/>
      <c r="I786" s="199"/>
      <c r="J786" s="199"/>
      <c r="K786" s="199"/>
      <c r="L786" s="199"/>
      <c r="M786" s="199"/>
      <c r="N786" s="199"/>
      <c r="O786" s="199"/>
      <c r="P786" s="199"/>
      <c r="Q786" s="199"/>
      <c r="R786" s="199"/>
      <c r="S786" s="199"/>
      <c r="T786" s="199"/>
      <c r="U786" s="199"/>
      <c r="V786" s="199"/>
      <c r="W786" s="199"/>
      <c r="X786" s="199"/>
      <c r="Y786" s="199"/>
      <c r="Z786" s="199"/>
      <c r="AA786" s="199"/>
      <c r="AB786" s="199"/>
    </row>
    <row r="787" spans="1:28" ht="12.75">
      <c r="A787" s="199"/>
      <c r="B787" s="199"/>
      <c r="C787" s="199"/>
      <c r="D787" s="199"/>
      <c r="E787" s="199"/>
      <c r="F787" s="199"/>
      <c r="G787" s="244"/>
      <c r="H787" s="199"/>
      <c r="I787" s="199"/>
      <c r="J787" s="199"/>
      <c r="K787" s="199"/>
      <c r="L787" s="199"/>
      <c r="M787" s="199"/>
      <c r="N787" s="199"/>
      <c r="O787" s="199"/>
      <c r="P787" s="199"/>
      <c r="Q787" s="199"/>
      <c r="R787" s="199"/>
      <c r="S787" s="199"/>
      <c r="T787" s="199"/>
      <c r="U787" s="199"/>
      <c r="V787" s="199"/>
      <c r="W787" s="199"/>
      <c r="X787" s="199"/>
      <c r="Y787" s="199"/>
      <c r="Z787" s="199"/>
      <c r="AA787" s="199"/>
      <c r="AB787" s="199"/>
    </row>
    <row r="788" spans="1:28" ht="12.75">
      <c r="A788" s="199"/>
      <c r="B788" s="199"/>
      <c r="C788" s="199"/>
      <c r="D788" s="199"/>
      <c r="E788" s="199"/>
      <c r="F788" s="199"/>
      <c r="G788" s="244"/>
      <c r="H788" s="199"/>
      <c r="I788" s="199"/>
      <c r="J788" s="199"/>
      <c r="K788" s="199"/>
      <c r="L788" s="199"/>
      <c r="M788" s="199"/>
      <c r="N788" s="199"/>
      <c r="O788" s="199"/>
      <c r="P788" s="199"/>
      <c r="Q788" s="199"/>
      <c r="R788" s="199"/>
      <c r="S788" s="199"/>
      <c r="T788" s="199"/>
      <c r="U788" s="199"/>
      <c r="V788" s="199"/>
      <c r="W788" s="199"/>
      <c r="X788" s="199"/>
      <c r="Y788" s="199"/>
      <c r="Z788" s="199"/>
      <c r="AA788" s="199"/>
      <c r="AB788" s="199"/>
    </row>
    <row r="789" spans="1:28" ht="12.75">
      <c r="A789" s="199"/>
      <c r="B789" s="199"/>
      <c r="C789" s="199"/>
      <c r="D789" s="199"/>
      <c r="E789" s="199"/>
      <c r="F789" s="199"/>
      <c r="G789" s="244"/>
      <c r="H789" s="199"/>
      <c r="I789" s="199"/>
      <c r="J789" s="199"/>
      <c r="K789" s="199"/>
      <c r="L789" s="199"/>
      <c r="M789" s="199"/>
      <c r="N789" s="199"/>
      <c r="O789" s="199"/>
      <c r="P789" s="199"/>
      <c r="Q789" s="199"/>
      <c r="R789" s="199"/>
      <c r="S789" s="199"/>
      <c r="T789" s="199"/>
      <c r="U789" s="199"/>
      <c r="V789" s="199"/>
      <c r="W789" s="199"/>
      <c r="X789" s="199"/>
      <c r="Y789" s="199"/>
      <c r="Z789" s="199"/>
      <c r="AA789" s="199"/>
      <c r="AB789" s="199"/>
    </row>
    <row r="790" spans="1:28" ht="12.75">
      <c r="A790" s="199"/>
      <c r="B790" s="199"/>
      <c r="C790" s="199"/>
      <c r="D790" s="199"/>
      <c r="E790" s="199"/>
      <c r="F790" s="199"/>
      <c r="G790" s="244"/>
      <c r="H790" s="199"/>
      <c r="I790" s="199"/>
      <c r="J790" s="199"/>
      <c r="K790" s="199"/>
      <c r="L790" s="199"/>
      <c r="M790" s="199"/>
      <c r="N790" s="199"/>
      <c r="O790" s="199"/>
      <c r="P790" s="199"/>
      <c r="Q790" s="199"/>
      <c r="R790" s="199"/>
      <c r="S790" s="199"/>
      <c r="T790" s="199"/>
      <c r="U790" s="199"/>
      <c r="V790" s="199"/>
      <c r="W790" s="199"/>
      <c r="X790" s="199"/>
      <c r="Y790" s="199"/>
      <c r="Z790" s="199"/>
      <c r="AA790" s="199"/>
      <c r="AB790" s="199"/>
    </row>
    <row r="791" spans="1:28" ht="12.75">
      <c r="A791" s="199"/>
      <c r="B791" s="199"/>
      <c r="C791" s="199"/>
      <c r="D791" s="199"/>
      <c r="E791" s="199"/>
      <c r="F791" s="199"/>
      <c r="G791" s="244"/>
      <c r="H791" s="199"/>
      <c r="I791" s="199"/>
      <c r="J791" s="199"/>
      <c r="K791" s="199"/>
      <c r="L791" s="199"/>
      <c r="M791" s="199"/>
      <c r="N791" s="199"/>
      <c r="O791" s="199"/>
      <c r="P791" s="199"/>
      <c r="Q791" s="199"/>
      <c r="R791" s="199"/>
      <c r="S791" s="199"/>
      <c r="T791" s="199"/>
      <c r="U791" s="199"/>
      <c r="V791" s="199"/>
      <c r="W791" s="199"/>
      <c r="X791" s="199"/>
      <c r="Y791" s="199"/>
      <c r="Z791" s="199"/>
      <c r="AA791" s="199"/>
      <c r="AB791" s="199"/>
    </row>
    <row r="792" spans="1:28" ht="12.75">
      <c r="A792" s="199"/>
      <c r="B792" s="199"/>
      <c r="C792" s="199"/>
      <c r="D792" s="199"/>
      <c r="E792" s="199"/>
      <c r="F792" s="199"/>
      <c r="G792" s="244"/>
      <c r="H792" s="199"/>
      <c r="I792" s="199"/>
      <c r="J792" s="199"/>
      <c r="K792" s="199"/>
      <c r="L792" s="199"/>
      <c r="M792" s="199"/>
      <c r="N792" s="199"/>
      <c r="O792" s="199"/>
      <c r="P792" s="199"/>
      <c r="Q792" s="199"/>
      <c r="R792" s="199"/>
      <c r="S792" s="199"/>
      <c r="T792" s="199"/>
      <c r="U792" s="199"/>
      <c r="V792" s="199"/>
      <c r="W792" s="199"/>
      <c r="X792" s="199"/>
      <c r="Y792" s="199"/>
      <c r="Z792" s="199"/>
      <c r="AA792" s="199"/>
      <c r="AB792" s="199"/>
    </row>
    <row r="793" spans="1:28" ht="12.75">
      <c r="A793" s="199"/>
      <c r="B793" s="199"/>
      <c r="C793" s="199"/>
      <c r="D793" s="199"/>
      <c r="E793" s="199"/>
      <c r="F793" s="199"/>
      <c r="G793" s="244"/>
      <c r="H793" s="199"/>
      <c r="I793" s="199"/>
      <c r="J793" s="199"/>
      <c r="K793" s="199"/>
      <c r="L793" s="199"/>
      <c r="M793" s="199"/>
      <c r="N793" s="199"/>
      <c r="O793" s="199"/>
      <c r="P793" s="199"/>
      <c r="Q793" s="199"/>
      <c r="R793" s="199"/>
      <c r="S793" s="199"/>
      <c r="T793" s="199"/>
      <c r="U793" s="199"/>
      <c r="V793" s="199"/>
      <c r="W793" s="199"/>
      <c r="X793" s="199"/>
      <c r="Y793" s="199"/>
      <c r="Z793" s="199"/>
      <c r="AA793" s="199"/>
      <c r="AB793" s="199"/>
    </row>
    <row r="794" spans="1:28" ht="12.75">
      <c r="A794" s="199"/>
      <c r="B794" s="199"/>
      <c r="C794" s="199"/>
      <c r="D794" s="199"/>
      <c r="E794" s="199"/>
      <c r="F794" s="199"/>
      <c r="G794" s="244"/>
      <c r="H794" s="199"/>
      <c r="I794" s="199"/>
      <c r="J794" s="199"/>
      <c r="K794" s="199"/>
      <c r="L794" s="199"/>
      <c r="M794" s="199"/>
      <c r="N794" s="199"/>
      <c r="O794" s="199"/>
      <c r="P794" s="199"/>
      <c r="Q794" s="199"/>
      <c r="R794" s="199"/>
      <c r="S794" s="199"/>
      <c r="T794" s="199"/>
      <c r="U794" s="199"/>
      <c r="V794" s="199"/>
      <c r="W794" s="199"/>
      <c r="X794" s="199"/>
      <c r="Y794" s="199"/>
      <c r="Z794" s="199"/>
      <c r="AA794" s="199"/>
      <c r="AB794" s="199"/>
    </row>
    <row r="795" spans="1:28" ht="12.75">
      <c r="A795" s="199"/>
      <c r="B795" s="199"/>
      <c r="C795" s="199"/>
      <c r="D795" s="199"/>
      <c r="E795" s="199"/>
      <c r="F795" s="199"/>
      <c r="G795" s="244"/>
      <c r="H795" s="199"/>
      <c r="I795" s="199"/>
      <c r="J795" s="199"/>
      <c r="K795" s="199"/>
      <c r="L795" s="199"/>
      <c r="M795" s="199"/>
      <c r="N795" s="199"/>
      <c r="O795" s="199"/>
      <c r="P795" s="199"/>
      <c r="Q795" s="199"/>
      <c r="R795" s="199"/>
      <c r="S795" s="199"/>
      <c r="T795" s="199"/>
      <c r="U795" s="199"/>
      <c r="V795" s="199"/>
      <c r="W795" s="199"/>
      <c r="X795" s="199"/>
      <c r="Y795" s="199"/>
      <c r="Z795" s="199"/>
      <c r="AA795" s="199"/>
      <c r="AB795" s="199"/>
    </row>
    <row r="796" spans="1:28" ht="12.75">
      <c r="A796" s="199"/>
      <c r="B796" s="199"/>
      <c r="C796" s="199"/>
      <c r="D796" s="199"/>
      <c r="E796" s="199"/>
      <c r="F796" s="199"/>
      <c r="G796" s="244"/>
      <c r="H796" s="199"/>
      <c r="I796" s="199"/>
      <c r="J796" s="199"/>
      <c r="K796" s="199"/>
      <c r="L796" s="199"/>
      <c r="M796" s="199"/>
      <c r="N796" s="199"/>
      <c r="O796" s="199"/>
      <c r="P796" s="199"/>
      <c r="Q796" s="199"/>
      <c r="R796" s="199"/>
      <c r="S796" s="199"/>
      <c r="T796" s="199"/>
      <c r="U796" s="199"/>
      <c r="V796" s="199"/>
      <c r="W796" s="199"/>
      <c r="X796" s="199"/>
      <c r="Y796" s="199"/>
      <c r="Z796" s="199"/>
      <c r="AA796" s="199"/>
      <c r="AB796" s="199"/>
    </row>
    <row r="797" spans="1:28" ht="12.75">
      <c r="A797" s="199"/>
      <c r="B797" s="199"/>
      <c r="C797" s="199"/>
      <c r="D797" s="199"/>
      <c r="E797" s="199"/>
      <c r="F797" s="199"/>
      <c r="G797" s="244"/>
      <c r="H797" s="199"/>
      <c r="I797" s="199"/>
      <c r="J797" s="199"/>
      <c r="K797" s="199"/>
      <c r="L797" s="199"/>
      <c r="M797" s="199"/>
      <c r="N797" s="199"/>
      <c r="O797" s="199"/>
      <c r="P797" s="199"/>
      <c r="Q797" s="199"/>
      <c r="R797" s="199"/>
      <c r="S797" s="199"/>
      <c r="T797" s="199"/>
      <c r="U797" s="199"/>
      <c r="V797" s="199"/>
      <c r="W797" s="199"/>
      <c r="X797" s="199"/>
      <c r="Y797" s="199"/>
      <c r="Z797" s="199"/>
      <c r="AA797" s="199"/>
      <c r="AB797" s="199"/>
    </row>
    <row r="798" spans="1:28" ht="12.75">
      <c r="A798" s="199"/>
      <c r="B798" s="199"/>
      <c r="C798" s="199"/>
      <c r="D798" s="199"/>
      <c r="E798" s="199"/>
      <c r="F798" s="199"/>
      <c r="G798" s="244"/>
      <c r="H798" s="199"/>
      <c r="I798" s="199"/>
      <c r="J798" s="199"/>
      <c r="K798" s="199"/>
      <c r="L798" s="199"/>
      <c r="M798" s="199"/>
      <c r="N798" s="199"/>
      <c r="O798" s="199"/>
      <c r="P798" s="199"/>
      <c r="Q798" s="199"/>
      <c r="R798" s="199"/>
      <c r="S798" s="199"/>
      <c r="T798" s="199"/>
      <c r="U798" s="199"/>
      <c r="V798" s="199"/>
      <c r="W798" s="199"/>
      <c r="X798" s="199"/>
      <c r="Y798" s="199"/>
      <c r="Z798" s="199"/>
      <c r="AA798" s="199"/>
      <c r="AB798" s="199"/>
    </row>
    <row r="799" spans="1:28" ht="12.75">
      <c r="A799" s="199"/>
      <c r="B799" s="199"/>
      <c r="C799" s="199"/>
      <c r="D799" s="199"/>
      <c r="E799" s="199"/>
      <c r="F799" s="199"/>
      <c r="G799" s="244"/>
      <c r="H799" s="199"/>
      <c r="I799" s="199"/>
      <c r="J799" s="199"/>
      <c r="K799" s="199"/>
      <c r="L799" s="199"/>
      <c r="M799" s="199"/>
      <c r="N799" s="199"/>
      <c r="O799" s="199"/>
      <c r="P799" s="199"/>
      <c r="Q799" s="199"/>
      <c r="R799" s="199"/>
      <c r="S799" s="199"/>
      <c r="T799" s="199"/>
      <c r="U799" s="199"/>
      <c r="V799" s="199"/>
      <c r="W799" s="199"/>
      <c r="X799" s="199"/>
      <c r="Y799" s="199"/>
      <c r="Z799" s="199"/>
      <c r="AA799" s="199"/>
      <c r="AB799" s="199"/>
    </row>
    <row r="800" spans="1:28" ht="12.75">
      <c r="A800" s="199"/>
      <c r="B800" s="199"/>
      <c r="C800" s="199"/>
      <c r="D800" s="199"/>
      <c r="E800" s="199"/>
      <c r="F800" s="199"/>
      <c r="G800" s="244"/>
      <c r="H800" s="199"/>
      <c r="I800" s="199"/>
      <c r="J800" s="199"/>
      <c r="K800" s="199"/>
      <c r="L800" s="199"/>
      <c r="M800" s="199"/>
      <c r="N800" s="199"/>
      <c r="O800" s="199"/>
      <c r="P800" s="199"/>
      <c r="Q800" s="199"/>
      <c r="R800" s="199"/>
      <c r="S800" s="199"/>
      <c r="T800" s="199"/>
      <c r="U800" s="199"/>
      <c r="V800" s="199"/>
      <c r="W800" s="199"/>
      <c r="X800" s="199"/>
      <c r="Y800" s="199"/>
      <c r="Z800" s="199"/>
      <c r="AA800" s="199"/>
      <c r="AB800" s="199"/>
    </row>
    <row r="801" spans="1:28" ht="12.75">
      <c r="A801" s="199"/>
      <c r="B801" s="199"/>
      <c r="C801" s="199"/>
      <c r="D801" s="199"/>
      <c r="E801" s="199"/>
      <c r="F801" s="199"/>
      <c r="G801" s="244"/>
      <c r="H801" s="199"/>
      <c r="I801" s="199"/>
      <c r="J801" s="199"/>
      <c r="K801" s="199"/>
      <c r="L801" s="199"/>
      <c r="M801" s="199"/>
      <c r="N801" s="199"/>
      <c r="O801" s="199"/>
      <c r="P801" s="199"/>
      <c r="Q801" s="199"/>
      <c r="R801" s="199"/>
      <c r="S801" s="199"/>
      <c r="T801" s="199"/>
      <c r="U801" s="199"/>
      <c r="V801" s="199"/>
      <c r="W801" s="199"/>
      <c r="X801" s="199"/>
      <c r="Y801" s="199"/>
      <c r="Z801" s="199"/>
      <c r="AA801" s="199"/>
      <c r="AB801" s="199"/>
    </row>
    <row r="802" spans="1:28" ht="12.75">
      <c r="A802" s="199"/>
      <c r="B802" s="199"/>
      <c r="C802" s="199"/>
      <c r="D802" s="199"/>
      <c r="E802" s="199"/>
      <c r="F802" s="199"/>
      <c r="G802" s="244"/>
      <c r="H802" s="199"/>
      <c r="I802" s="199"/>
      <c r="J802" s="199"/>
      <c r="K802" s="199"/>
      <c r="L802" s="199"/>
      <c r="M802" s="199"/>
      <c r="N802" s="199"/>
      <c r="O802" s="199"/>
      <c r="P802" s="199"/>
      <c r="Q802" s="199"/>
      <c r="R802" s="199"/>
      <c r="S802" s="199"/>
      <c r="T802" s="199"/>
      <c r="U802" s="199"/>
      <c r="V802" s="199"/>
      <c r="W802" s="199"/>
      <c r="X802" s="199"/>
      <c r="Y802" s="199"/>
      <c r="Z802" s="199"/>
      <c r="AA802" s="199"/>
      <c r="AB802" s="199"/>
    </row>
    <row r="803" spans="1:28" ht="12.75">
      <c r="A803" s="199"/>
      <c r="B803" s="199"/>
      <c r="C803" s="199"/>
      <c r="D803" s="199"/>
      <c r="E803" s="199"/>
      <c r="F803" s="199"/>
      <c r="G803" s="244"/>
      <c r="H803" s="199"/>
      <c r="I803" s="199"/>
      <c r="J803" s="199"/>
      <c r="K803" s="199"/>
      <c r="L803" s="199"/>
      <c r="M803" s="199"/>
      <c r="N803" s="199"/>
      <c r="O803" s="199"/>
      <c r="P803" s="199"/>
      <c r="Q803" s="199"/>
      <c r="R803" s="199"/>
      <c r="S803" s="199"/>
      <c r="T803" s="199"/>
      <c r="U803" s="199"/>
      <c r="V803" s="199"/>
      <c r="W803" s="199"/>
      <c r="X803" s="199"/>
      <c r="Y803" s="199"/>
      <c r="Z803" s="199"/>
      <c r="AA803" s="199"/>
      <c r="AB803" s="199"/>
    </row>
    <row r="804" spans="1:28" ht="12.75">
      <c r="A804" s="199"/>
      <c r="B804" s="199"/>
      <c r="C804" s="199"/>
      <c r="D804" s="199"/>
      <c r="E804" s="199"/>
      <c r="F804" s="199"/>
      <c r="G804" s="244"/>
      <c r="H804" s="199"/>
      <c r="I804" s="199"/>
      <c r="J804" s="199"/>
      <c r="K804" s="199"/>
      <c r="L804" s="199"/>
      <c r="M804" s="199"/>
      <c r="N804" s="199"/>
      <c r="O804" s="199"/>
      <c r="P804" s="199"/>
      <c r="Q804" s="199"/>
      <c r="R804" s="199"/>
      <c r="S804" s="199"/>
      <c r="T804" s="199"/>
      <c r="U804" s="199"/>
      <c r="V804" s="199"/>
      <c r="W804" s="199"/>
      <c r="X804" s="199"/>
      <c r="Y804" s="199"/>
      <c r="Z804" s="199"/>
      <c r="AA804" s="199"/>
      <c r="AB804" s="199"/>
    </row>
    <row r="805" spans="1:28" ht="12.75">
      <c r="A805" s="199"/>
      <c r="B805" s="199"/>
      <c r="C805" s="199"/>
      <c r="D805" s="199"/>
      <c r="E805" s="199"/>
      <c r="F805" s="199"/>
      <c r="G805" s="244"/>
      <c r="H805" s="199"/>
      <c r="I805" s="199"/>
      <c r="J805" s="199"/>
      <c r="K805" s="199"/>
      <c r="L805" s="199"/>
      <c r="M805" s="199"/>
      <c r="N805" s="199"/>
      <c r="O805" s="199"/>
      <c r="P805" s="199"/>
      <c r="Q805" s="199"/>
      <c r="R805" s="199"/>
      <c r="S805" s="199"/>
      <c r="T805" s="199"/>
      <c r="U805" s="199"/>
      <c r="V805" s="199"/>
      <c r="W805" s="199"/>
      <c r="X805" s="199"/>
      <c r="Y805" s="199"/>
      <c r="Z805" s="199"/>
      <c r="AA805" s="199"/>
      <c r="AB805" s="199"/>
    </row>
    <row r="806" spans="1:28" ht="12.75">
      <c r="A806" s="199"/>
      <c r="B806" s="199"/>
      <c r="C806" s="199"/>
      <c r="D806" s="199"/>
      <c r="E806" s="199"/>
      <c r="F806" s="199"/>
      <c r="G806" s="244"/>
      <c r="H806" s="199"/>
      <c r="I806" s="199"/>
      <c r="J806" s="199"/>
      <c r="K806" s="199"/>
      <c r="L806" s="199"/>
      <c r="M806" s="199"/>
      <c r="N806" s="199"/>
      <c r="O806" s="199"/>
      <c r="P806" s="199"/>
      <c r="Q806" s="199"/>
      <c r="R806" s="199"/>
      <c r="S806" s="199"/>
      <c r="T806" s="199"/>
      <c r="U806" s="199"/>
      <c r="V806" s="199"/>
      <c r="W806" s="199"/>
      <c r="X806" s="199"/>
      <c r="Y806" s="199"/>
      <c r="Z806" s="199"/>
      <c r="AA806" s="199"/>
      <c r="AB806" s="199"/>
    </row>
    <row r="807" spans="1:28" ht="12.75">
      <c r="A807" s="199"/>
      <c r="B807" s="199"/>
      <c r="C807" s="199"/>
      <c r="D807" s="199"/>
      <c r="E807" s="199"/>
      <c r="F807" s="199"/>
      <c r="G807" s="244"/>
      <c r="H807" s="199"/>
      <c r="I807" s="199"/>
      <c r="J807" s="199"/>
      <c r="K807" s="199"/>
      <c r="L807" s="199"/>
      <c r="M807" s="199"/>
      <c r="N807" s="199"/>
      <c r="O807" s="199"/>
      <c r="P807" s="199"/>
      <c r="Q807" s="199"/>
      <c r="R807" s="199"/>
      <c r="S807" s="199"/>
      <c r="T807" s="199"/>
      <c r="U807" s="199"/>
      <c r="V807" s="199"/>
      <c r="W807" s="199"/>
      <c r="X807" s="199"/>
      <c r="Y807" s="199"/>
      <c r="Z807" s="199"/>
      <c r="AA807" s="199"/>
      <c r="AB807" s="199"/>
    </row>
    <row r="808" spans="1:28" ht="12.75">
      <c r="A808" s="199"/>
      <c r="B808" s="199"/>
      <c r="C808" s="199"/>
      <c r="D808" s="199"/>
      <c r="E808" s="199"/>
      <c r="F808" s="199"/>
      <c r="G808" s="244"/>
      <c r="H808" s="199"/>
      <c r="I808" s="199"/>
      <c r="J808" s="199"/>
      <c r="K808" s="199"/>
      <c r="L808" s="199"/>
      <c r="M808" s="199"/>
      <c r="N808" s="199"/>
      <c r="O808" s="199"/>
      <c r="P808" s="199"/>
      <c r="Q808" s="199"/>
      <c r="R808" s="199"/>
      <c r="S808" s="199"/>
      <c r="T808" s="199"/>
      <c r="U808" s="199"/>
      <c r="V808" s="199"/>
      <c r="W808" s="199"/>
      <c r="X808" s="199"/>
      <c r="Y808" s="199"/>
      <c r="Z808" s="199"/>
      <c r="AA808" s="199"/>
      <c r="AB808" s="199"/>
    </row>
    <row r="809" spans="1:28" ht="12.75">
      <c r="A809" s="199"/>
      <c r="B809" s="199"/>
      <c r="C809" s="199"/>
      <c r="D809" s="199"/>
      <c r="E809" s="199"/>
      <c r="F809" s="199"/>
      <c r="G809" s="244"/>
      <c r="H809" s="199"/>
      <c r="I809" s="199"/>
      <c r="J809" s="199"/>
      <c r="K809" s="199"/>
      <c r="L809" s="199"/>
      <c r="M809" s="199"/>
      <c r="N809" s="199"/>
      <c r="O809" s="199"/>
      <c r="P809" s="199"/>
      <c r="Q809" s="199"/>
      <c r="R809" s="199"/>
      <c r="S809" s="199"/>
      <c r="T809" s="199"/>
      <c r="U809" s="199"/>
      <c r="V809" s="199"/>
      <c r="W809" s="199"/>
      <c r="X809" s="199"/>
      <c r="Y809" s="199"/>
      <c r="Z809" s="199"/>
      <c r="AA809" s="199"/>
      <c r="AB809" s="199"/>
    </row>
    <row r="810" spans="1:28" ht="12.75">
      <c r="A810" s="199"/>
      <c r="B810" s="199"/>
      <c r="C810" s="199"/>
      <c r="D810" s="199"/>
      <c r="E810" s="199"/>
      <c r="F810" s="199"/>
      <c r="G810" s="244"/>
      <c r="H810" s="199"/>
      <c r="I810" s="199"/>
      <c r="J810" s="199"/>
      <c r="K810" s="199"/>
      <c r="L810" s="199"/>
      <c r="M810" s="199"/>
      <c r="N810" s="199"/>
      <c r="O810" s="199"/>
      <c r="P810" s="199"/>
      <c r="Q810" s="199"/>
      <c r="R810" s="199"/>
      <c r="S810" s="199"/>
      <c r="T810" s="199"/>
      <c r="U810" s="199"/>
      <c r="V810" s="199"/>
      <c r="W810" s="199"/>
      <c r="X810" s="199"/>
      <c r="Y810" s="199"/>
      <c r="Z810" s="199"/>
      <c r="AA810" s="199"/>
      <c r="AB810" s="199"/>
    </row>
    <row r="811" spans="1:28" ht="12.75">
      <c r="A811" s="199"/>
      <c r="B811" s="199"/>
      <c r="C811" s="199"/>
      <c r="D811" s="199"/>
      <c r="E811" s="199"/>
      <c r="F811" s="199"/>
      <c r="G811" s="244"/>
      <c r="H811" s="199"/>
      <c r="I811" s="199"/>
      <c r="J811" s="199"/>
      <c r="K811" s="199"/>
      <c r="L811" s="199"/>
      <c r="M811" s="199"/>
      <c r="N811" s="199"/>
      <c r="O811" s="199"/>
      <c r="P811" s="199"/>
      <c r="Q811" s="199"/>
      <c r="R811" s="199"/>
      <c r="S811" s="199"/>
      <c r="T811" s="199"/>
      <c r="U811" s="199"/>
      <c r="V811" s="199"/>
      <c r="W811" s="199"/>
      <c r="X811" s="199"/>
      <c r="Y811" s="199"/>
      <c r="Z811" s="199"/>
      <c r="AA811" s="199"/>
      <c r="AB811" s="199"/>
    </row>
    <row r="812" spans="1:28" ht="12.75">
      <c r="A812" s="199"/>
      <c r="B812" s="199"/>
      <c r="C812" s="199"/>
      <c r="D812" s="199"/>
      <c r="E812" s="199"/>
      <c r="F812" s="199"/>
      <c r="G812" s="244"/>
      <c r="H812" s="199"/>
      <c r="I812" s="199"/>
      <c r="J812" s="199"/>
      <c r="K812" s="199"/>
      <c r="L812" s="199"/>
      <c r="M812" s="199"/>
      <c r="N812" s="199"/>
      <c r="O812" s="199"/>
      <c r="P812" s="199"/>
      <c r="Q812" s="199"/>
      <c r="R812" s="199"/>
      <c r="S812" s="199"/>
      <c r="T812" s="199"/>
      <c r="U812" s="199"/>
      <c r="V812" s="199"/>
      <c r="W812" s="199"/>
      <c r="X812" s="199"/>
      <c r="Y812" s="199"/>
      <c r="Z812" s="199"/>
      <c r="AA812" s="199"/>
      <c r="AB812" s="199"/>
    </row>
    <row r="813" spans="1:28" ht="12.75">
      <c r="A813" s="199"/>
      <c r="B813" s="199"/>
      <c r="C813" s="199"/>
      <c r="D813" s="199"/>
      <c r="E813" s="199"/>
      <c r="F813" s="199"/>
      <c r="G813" s="244"/>
      <c r="H813" s="199"/>
      <c r="I813" s="199"/>
      <c r="J813" s="199"/>
      <c r="K813" s="199"/>
      <c r="L813" s="199"/>
      <c r="M813" s="199"/>
      <c r="N813" s="199"/>
      <c r="O813" s="199"/>
      <c r="P813" s="199"/>
      <c r="Q813" s="199"/>
      <c r="R813" s="199"/>
      <c r="S813" s="199"/>
      <c r="T813" s="199"/>
      <c r="U813" s="199"/>
      <c r="V813" s="199"/>
      <c r="W813" s="199"/>
      <c r="X813" s="199"/>
      <c r="Y813" s="199"/>
      <c r="Z813" s="199"/>
      <c r="AA813" s="199"/>
      <c r="AB813" s="199"/>
    </row>
    <row r="814" spans="1:28" ht="12.75">
      <c r="A814" s="199"/>
      <c r="B814" s="199"/>
      <c r="C814" s="199"/>
      <c r="D814" s="199"/>
      <c r="E814" s="199"/>
      <c r="F814" s="199"/>
      <c r="G814" s="244"/>
      <c r="H814" s="199"/>
      <c r="I814" s="199"/>
      <c r="J814" s="199"/>
      <c r="K814" s="199"/>
      <c r="L814" s="199"/>
      <c r="M814" s="199"/>
      <c r="N814" s="199"/>
      <c r="O814" s="199"/>
      <c r="P814" s="199"/>
      <c r="Q814" s="199"/>
      <c r="R814" s="199"/>
      <c r="S814" s="199"/>
      <c r="T814" s="199"/>
      <c r="U814" s="199"/>
      <c r="V814" s="199"/>
      <c r="W814" s="199"/>
      <c r="X814" s="199"/>
      <c r="Y814" s="199"/>
      <c r="Z814" s="199"/>
      <c r="AA814" s="199"/>
      <c r="AB814" s="199"/>
    </row>
    <row r="815" spans="1:28" ht="12.75">
      <c r="A815" s="199"/>
      <c r="B815" s="199"/>
      <c r="C815" s="199"/>
      <c r="D815" s="199"/>
      <c r="E815" s="199"/>
      <c r="F815" s="199"/>
      <c r="G815" s="244"/>
      <c r="H815" s="199"/>
      <c r="I815" s="199"/>
      <c r="J815" s="199"/>
      <c r="K815" s="199"/>
      <c r="L815" s="199"/>
      <c r="M815" s="199"/>
      <c r="N815" s="199"/>
      <c r="O815" s="199"/>
      <c r="P815" s="199"/>
      <c r="Q815" s="199"/>
      <c r="R815" s="199"/>
      <c r="S815" s="199"/>
      <c r="T815" s="199"/>
      <c r="U815" s="199"/>
      <c r="V815" s="199"/>
      <c r="W815" s="199"/>
      <c r="X815" s="199"/>
      <c r="Y815" s="199"/>
      <c r="Z815" s="199"/>
      <c r="AA815" s="199"/>
      <c r="AB815" s="199"/>
    </row>
    <row r="816" spans="1:28" ht="12.75">
      <c r="A816" s="199"/>
      <c r="B816" s="199"/>
      <c r="C816" s="199"/>
      <c r="D816" s="199"/>
      <c r="E816" s="199"/>
      <c r="F816" s="199"/>
      <c r="G816" s="244"/>
      <c r="H816" s="199"/>
      <c r="I816" s="199"/>
      <c r="J816" s="199"/>
      <c r="K816" s="199"/>
      <c r="L816" s="199"/>
      <c r="M816" s="199"/>
      <c r="N816" s="199"/>
      <c r="O816" s="199"/>
      <c r="P816" s="199"/>
      <c r="Q816" s="199"/>
      <c r="R816" s="199"/>
      <c r="S816" s="199"/>
      <c r="T816" s="199"/>
      <c r="U816" s="199"/>
      <c r="V816" s="199"/>
      <c r="W816" s="199"/>
      <c r="X816" s="199"/>
      <c r="Y816" s="199"/>
      <c r="Z816" s="199"/>
      <c r="AA816" s="199"/>
      <c r="AB816" s="199"/>
    </row>
    <row r="817" spans="1:28" ht="12.75">
      <c r="A817" s="199"/>
      <c r="B817" s="199"/>
      <c r="C817" s="199"/>
      <c r="D817" s="199"/>
      <c r="E817" s="199"/>
      <c r="F817" s="199"/>
      <c r="G817" s="244"/>
      <c r="H817" s="199"/>
      <c r="I817" s="199"/>
      <c r="J817" s="199"/>
      <c r="K817" s="199"/>
      <c r="L817" s="199"/>
      <c r="M817" s="199"/>
      <c r="N817" s="199"/>
      <c r="O817" s="199"/>
      <c r="P817" s="199"/>
      <c r="Q817" s="199"/>
      <c r="R817" s="199"/>
      <c r="S817" s="199"/>
      <c r="T817" s="199"/>
      <c r="U817" s="199"/>
      <c r="V817" s="199"/>
      <c r="W817" s="199"/>
      <c r="X817" s="199"/>
      <c r="Y817" s="199"/>
      <c r="Z817" s="199"/>
      <c r="AA817" s="199"/>
      <c r="AB817" s="199"/>
    </row>
    <row r="818" spans="1:28" ht="12.75">
      <c r="A818" s="199"/>
      <c r="B818" s="199"/>
      <c r="C818" s="199"/>
      <c r="D818" s="199"/>
      <c r="E818" s="199"/>
      <c r="F818" s="199"/>
      <c r="G818" s="244"/>
      <c r="H818" s="199"/>
      <c r="I818" s="199"/>
      <c r="J818" s="199"/>
      <c r="K818" s="199"/>
      <c r="L818" s="199"/>
      <c r="M818" s="199"/>
      <c r="N818" s="199"/>
      <c r="O818" s="199"/>
      <c r="P818" s="199"/>
      <c r="Q818" s="199"/>
      <c r="R818" s="199"/>
      <c r="S818" s="199"/>
      <c r="T818" s="199"/>
      <c r="U818" s="199"/>
      <c r="V818" s="199"/>
      <c r="W818" s="199"/>
      <c r="X818" s="199"/>
      <c r="Y818" s="199"/>
      <c r="Z818" s="199"/>
      <c r="AA818" s="199"/>
      <c r="AB818" s="199"/>
    </row>
    <row r="819" spans="1:28" ht="12.75">
      <c r="A819" s="199"/>
      <c r="B819" s="199"/>
      <c r="C819" s="199"/>
      <c r="D819" s="199"/>
      <c r="E819" s="199"/>
      <c r="F819" s="199"/>
      <c r="G819" s="244"/>
      <c r="H819" s="199"/>
      <c r="I819" s="199"/>
      <c r="J819" s="199"/>
      <c r="K819" s="199"/>
      <c r="L819" s="199"/>
      <c r="M819" s="199"/>
      <c r="N819" s="199"/>
      <c r="O819" s="199"/>
      <c r="P819" s="199"/>
      <c r="Q819" s="199"/>
      <c r="R819" s="199"/>
      <c r="S819" s="199"/>
      <c r="T819" s="199"/>
      <c r="U819" s="199"/>
      <c r="V819" s="199"/>
      <c r="W819" s="199"/>
      <c r="X819" s="199"/>
      <c r="Y819" s="199"/>
      <c r="Z819" s="199"/>
      <c r="AA819" s="199"/>
      <c r="AB819" s="199"/>
    </row>
    <row r="820" spans="1:28" ht="12.75">
      <c r="A820" s="199"/>
      <c r="B820" s="199"/>
      <c r="C820" s="199"/>
      <c r="D820" s="199"/>
      <c r="E820" s="199"/>
      <c r="F820" s="199"/>
      <c r="G820" s="244"/>
      <c r="H820" s="199"/>
      <c r="I820" s="199"/>
      <c r="J820" s="199"/>
      <c r="K820" s="199"/>
      <c r="L820" s="199"/>
      <c r="M820" s="199"/>
      <c r="N820" s="199"/>
      <c r="O820" s="199"/>
      <c r="P820" s="199"/>
      <c r="Q820" s="199"/>
      <c r="R820" s="199"/>
      <c r="S820" s="199"/>
      <c r="T820" s="199"/>
      <c r="U820" s="199"/>
      <c r="V820" s="199"/>
      <c r="W820" s="199"/>
      <c r="X820" s="199"/>
      <c r="Y820" s="199"/>
      <c r="Z820" s="199"/>
      <c r="AA820" s="199"/>
      <c r="AB820" s="199"/>
    </row>
    <row r="821" spans="1:28" ht="12.75">
      <c r="A821" s="199"/>
      <c r="B821" s="199"/>
      <c r="C821" s="199"/>
      <c r="D821" s="199"/>
      <c r="E821" s="199"/>
      <c r="F821" s="199"/>
      <c r="G821" s="244"/>
      <c r="H821" s="199"/>
      <c r="I821" s="199"/>
      <c r="J821" s="199"/>
      <c r="K821" s="199"/>
      <c r="L821" s="199"/>
      <c r="M821" s="199"/>
      <c r="N821" s="199"/>
      <c r="O821" s="199"/>
      <c r="P821" s="199"/>
      <c r="Q821" s="199"/>
      <c r="R821" s="199"/>
      <c r="S821" s="199"/>
      <c r="T821" s="199"/>
      <c r="U821" s="199"/>
      <c r="V821" s="199"/>
      <c r="W821" s="199"/>
      <c r="X821" s="199"/>
      <c r="Y821" s="199"/>
      <c r="Z821" s="199"/>
      <c r="AA821" s="199"/>
      <c r="AB821" s="199"/>
    </row>
    <row r="822" spans="1:28" ht="12.75">
      <c r="A822" s="199"/>
      <c r="B822" s="199"/>
      <c r="C822" s="199"/>
      <c r="D822" s="199"/>
      <c r="E822" s="199"/>
      <c r="F822" s="199"/>
      <c r="G822" s="244"/>
      <c r="H822" s="199"/>
      <c r="I822" s="199"/>
      <c r="J822" s="199"/>
      <c r="K822" s="199"/>
      <c r="L822" s="199"/>
      <c r="M822" s="199"/>
      <c r="N822" s="199"/>
      <c r="O822" s="199"/>
      <c r="P822" s="199"/>
      <c r="Q822" s="199"/>
      <c r="R822" s="199"/>
      <c r="S822" s="199"/>
      <c r="T822" s="199"/>
      <c r="U822" s="199"/>
      <c r="V822" s="199"/>
      <c r="W822" s="199"/>
      <c r="X822" s="199"/>
      <c r="Y822" s="199"/>
      <c r="Z822" s="199"/>
      <c r="AA822" s="199"/>
      <c r="AB822" s="199"/>
    </row>
    <row r="823" spans="1:28" ht="12.75">
      <c r="A823" s="199"/>
      <c r="B823" s="199"/>
      <c r="C823" s="199"/>
      <c r="D823" s="199"/>
      <c r="E823" s="199"/>
      <c r="F823" s="199"/>
      <c r="G823" s="244"/>
      <c r="H823" s="199"/>
      <c r="I823" s="199"/>
      <c r="J823" s="199"/>
      <c r="K823" s="199"/>
      <c r="L823" s="199"/>
      <c r="M823" s="199"/>
      <c r="N823" s="199"/>
      <c r="O823" s="199"/>
      <c r="P823" s="199"/>
      <c r="Q823" s="199"/>
      <c r="R823" s="199"/>
      <c r="S823" s="199"/>
      <c r="T823" s="199"/>
      <c r="U823" s="199"/>
      <c r="V823" s="199"/>
      <c r="W823" s="199"/>
      <c r="X823" s="199"/>
      <c r="Y823" s="199"/>
      <c r="Z823" s="199"/>
      <c r="AA823" s="199"/>
      <c r="AB823" s="199"/>
    </row>
    <row r="824" spans="1:28" ht="12.75">
      <c r="A824" s="199"/>
      <c r="B824" s="199"/>
      <c r="C824" s="199"/>
      <c r="D824" s="199"/>
      <c r="E824" s="199"/>
      <c r="F824" s="199"/>
      <c r="G824" s="244"/>
      <c r="H824" s="199"/>
      <c r="I824" s="199"/>
      <c r="J824" s="199"/>
      <c r="K824" s="199"/>
      <c r="L824" s="199"/>
      <c r="M824" s="199"/>
      <c r="N824" s="199"/>
      <c r="O824" s="199"/>
      <c r="P824" s="199"/>
      <c r="Q824" s="199"/>
      <c r="R824" s="199"/>
      <c r="S824" s="199"/>
      <c r="T824" s="199"/>
      <c r="U824" s="199"/>
      <c r="V824" s="199"/>
      <c r="W824" s="199"/>
      <c r="X824" s="199"/>
      <c r="Y824" s="199"/>
      <c r="Z824" s="199"/>
      <c r="AA824" s="199"/>
      <c r="AB824" s="199"/>
    </row>
    <row r="825" spans="1:28" ht="12.75">
      <c r="A825" s="199"/>
      <c r="B825" s="199"/>
      <c r="C825" s="199"/>
      <c r="D825" s="199"/>
      <c r="E825" s="199"/>
      <c r="F825" s="199"/>
      <c r="G825" s="244"/>
      <c r="H825" s="199"/>
      <c r="I825" s="199"/>
      <c r="J825" s="199"/>
      <c r="K825" s="199"/>
      <c r="L825" s="199"/>
      <c r="M825" s="199"/>
      <c r="N825" s="199"/>
      <c r="O825" s="199"/>
      <c r="P825" s="199"/>
      <c r="Q825" s="199"/>
      <c r="R825" s="199"/>
      <c r="S825" s="199"/>
      <c r="T825" s="199"/>
      <c r="U825" s="199"/>
      <c r="V825" s="199"/>
      <c r="W825" s="199"/>
      <c r="X825" s="199"/>
      <c r="Y825" s="199"/>
      <c r="Z825" s="199"/>
      <c r="AA825" s="199"/>
      <c r="AB825" s="199"/>
    </row>
    <row r="826" spans="1:28" ht="12.75">
      <c r="A826" s="199"/>
      <c r="B826" s="199"/>
      <c r="C826" s="199"/>
      <c r="D826" s="199"/>
      <c r="E826" s="199"/>
      <c r="F826" s="199"/>
      <c r="G826" s="244"/>
      <c r="H826" s="199"/>
      <c r="I826" s="199"/>
      <c r="J826" s="199"/>
      <c r="K826" s="199"/>
      <c r="L826" s="199"/>
      <c r="M826" s="199"/>
      <c r="N826" s="199"/>
      <c r="O826" s="199"/>
      <c r="P826" s="199"/>
      <c r="Q826" s="199"/>
      <c r="R826" s="199"/>
      <c r="S826" s="199"/>
      <c r="T826" s="199"/>
      <c r="U826" s="199"/>
      <c r="V826" s="199"/>
      <c r="W826" s="199"/>
      <c r="X826" s="199"/>
      <c r="Y826" s="199"/>
      <c r="Z826" s="199"/>
      <c r="AA826" s="199"/>
      <c r="AB826" s="199"/>
    </row>
    <row r="827" spans="1:28" ht="12.75">
      <c r="A827" s="199"/>
      <c r="B827" s="199"/>
      <c r="C827" s="199"/>
      <c r="D827" s="199"/>
      <c r="E827" s="199"/>
      <c r="F827" s="199"/>
      <c r="G827" s="244"/>
      <c r="H827" s="199"/>
      <c r="I827" s="199"/>
      <c r="J827" s="199"/>
      <c r="K827" s="199"/>
      <c r="L827" s="199"/>
      <c r="M827" s="199"/>
      <c r="N827" s="199"/>
      <c r="O827" s="199"/>
      <c r="P827" s="199"/>
      <c r="Q827" s="199"/>
      <c r="R827" s="199"/>
      <c r="S827" s="199"/>
      <c r="T827" s="199"/>
      <c r="U827" s="199"/>
      <c r="V827" s="199"/>
      <c r="W827" s="199"/>
      <c r="X827" s="199"/>
      <c r="Y827" s="199"/>
      <c r="Z827" s="199"/>
      <c r="AA827" s="199"/>
      <c r="AB827" s="199"/>
    </row>
    <row r="828" spans="1:28" ht="12.75">
      <c r="A828" s="199"/>
      <c r="B828" s="199"/>
      <c r="C828" s="199"/>
      <c r="D828" s="199"/>
      <c r="E828" s="199"/>
      <c r="F828" s="199"/>
      <c r="G828" s="244"/>
      <c r="H828" s="199"/>
      <c r="I828" s="199"/>
      <c r="J828" s="199"/>
      <c r="K828" s="199"/>
      <c r="L828" s="199"/>
      <c r="M828" s="199"/>
      <c r="N828" s="199"/>
      <c r="O828" s="199"/>
      <c r="P828" s="199"/>
      <c r="Q828" s="199"/>
      <c r="R828" s="199"/>
      <c r="S828" s="199"/>
      <c r="T828" s="199"/>
      <c r="U828" s="199"/>
      <c r="V828" s="199"/>
      <c r="W828" s="199"/>
      <c r="X828" s="199"/>
      <c r="Y828" s="199"/>
      <c r="Z828" s="199"/>
      <c r="AA828" s="199"/>
      <c r="AB828" s="199"/>
    </row>
    <row r="829" spans="1:28" ht="12.75">
      <c r="A829" s="199"/>
      <c r="B829" s="199"/>
      <c r="C829" s="199"/>
      <c r="D829" s="199"/>
      <c r="E829" s="199"/>
      <c r="F829" s="199"/>
      <c r="G829" s="244"/>
      <c r="H829" s="199"/>
      <c r="I829" s="199"/>
      <c r="J829" s="199"/>
      <c r="K829" s="199"/>
      <c r="L829" s="199"/>
      <c r="M829" s="199"/>
      <c r="N829" s="199"/>
      <c r="O829" s="199"/>
      <c r="P829" s="199"/>
      <c r="Q829" s="199"/>
      <c r="R829" s="199"/>
      <c r="S829" s="199"/>
      <c r="T829" s="199"/>
      <c r="U829" s="199"/>
      <c r="V829" s="199"/>
      <c r="W829" s="199"/>
      <c r="X829" s="199"/>
      <c r="Y829" s="199"/>
      <c r="Z829" s="199"/>
      <c r="AA829" s="199"/>
      <c r="AB829" s="199"/>
    </row>
    <row r="830" spans="1:28" ht="12.75">
      <c r="A830" s="199"/>
      <c r="B830" s="199"/>
      <c r="C830" s="199"/>
      <c r="D830" s="199"/>
      <c r="E830" s="199"/>
      <c r="F830" s="199"/>
      <c r="G830" s="244"/>
      <c r="H830" s="199"/>
      <c r="I830" s="199"/>
      <c r="J830" s="199"/>
      <c r="K830" s="199"/>
      <c r="L830" s="199"/>
      <c r="M830" s="199"/>
      <c r="N830" s="199"/>
      <c r="O830" s="199"/>
      <c r="P830" s="199"/>
      <c r="Q830" s="199"/>
      <c r="R830" s="199"/>
      <c r="S830" s="199"/>
      <c r="T830" s="199"/>
      <c r="U830" s="199"/>
      <c r="V830" s="199"/>
      <c r="W830" s="199"/>
      <c r="X830" s="199"/>
      <c r="Y830" s="199"/>
      <c r="Z830" s="199"/>
      <c r="AA830" s="199"/>
      <c r="AB830" s="199"/>
    </row>
    <row r="831" spans="1:28" ht="12.75">
      <c r="A831" s="199"/>
      <c r="B831" s="199"/>
      <c r="C831" s="199"/>
      <c r="D831" s="199"/>
      <c r="E831" s="199"/>
      <c r="F831" s="199"/>
      <c r="G831" s="244"/>
      <c r="H831" s="199"/>
      <c r="I831" s="199"/>
      <c r="J831" s="199"/>
      <c r="K831" s="199"/>
      <c r="L831" s="199"/>
      <c r="M831" s="199"/>
      <c r="N831" s="199"/>
      <c r="O831" s="199"/>
      <c r="P831" s="199"/>
      <c r="Q831" s="199"/>
      <c r="R831" s="199"/>
      <c r="S831" s="199"/>
      <c r="T831" s="199"/>
      <c r="U831" s="199"/>
      <c r="V831" s="199"/>
      <c r="W831" s="199"/>
      <c r="X831" s="199"/>
      <c r="Y831" s="199"/>
      <c r="Z831" s="199"/>
      <c r="AA831" s="199"/>
      <c r="AB831" s="199"/>
    </row>
    <row r="832" spans="1:28" ht="12.75">
      <c r="A832" s="199"/>
      <c r="B832" s="199"/>
      <c r="C832" s="199"/>
      <c r="D832" s="199"/>
      <c r="E832" s="199"/>
      <c r="F832" s="199"/>
      <c r="G832" s="244"/>
      <c r="H832" s="199"/>
      <c r="I832" s="199"/>
      <c r="J832" s="199"/>
      <c r="K832" s="199"/>
      <c r="L832" s="199"/>
      <c r="M832" s="199"/>
      <c r="N832" s="199"/>
      <c r="O832" s="199"/>
      <c r="P832" s="199"/>
      <c r="Q832" s="199"/>
      <c r="R832" s="199"/>
      <c r="S832" s="199"/>
      <c r="T832" s="199"/>
      <c r="U832" s="199"/>
      <c r="V832" s="199"/>
      <c r="W832" s="199"/>
      <c r="X832" s="199"/>
      <c r="Y832" s="199"/>
      <c r="Z832" s="199"/>
      <c r="AA832" s="199"/>
      <c r="AB832" s="199"/>
    </row>
    <row r="833" spans="1:28" ht="12.75">
      <c r="A833" s="199"/>
      <c r="B833" s="199"/>
      <c r="C833" s="199"/>
      <c r="D833" s="199"/>
      <c r="E833" s="199"/>
      <c r="F833" s="199"/>
      <c r="G833" s="244"/>
      <c r="H833" s="199"/>
      <c r="I833" s="199"/>
      <c r="J833" s="199"/>
      <c r="K833" s="199"/>
      <c r="L833" s="199"/>
      <c r="M833" s="199"/>
      <c r="N833" s="199"/>
      <c r="O833" s="199"/>
      <c r="P833" s="199"/>
      <c r="Q833" s="199"/>
      <c r="R833" s="199"/>
      <c r="S833" s="199"/>
      <c r="T833" s="199"/>
      <c r="U833" s="199"/>
      <c r="V833" s="199"/>
      <c r="W833" s="199"/>
      <c r="X833" s="199"/>
      <c r="Y833" s="199"/>
      <c r="Z833" s="199"/>
      <c r="AA833" s="199"/>
      <c r="AB833" s="199"/>
    </row>
    <row r="834" spans="1:28" ht="12.75">
      <c r="A834" s="199"/>
      <c r="B834" s="199"/>
      <c r="C834" s="199"/>
      <c r="D834" s="199"/>
      <c r="E834" s="199"/>
      <c r="F834" s="199"/>
      <c r="G834" s="244"/>
      <c r="H834" s="199"/>
      <c r="I834" s="199"/>
      <c r="J834" s="199"/>
      <c r="K834" s="199"/>
      <c r="L834" s="199"/>
      <c r="M834" s="199"/>
      <c r="N834" s="199"/>
      <c r="O834" s="199"/>
      <c r="P834" s="199"/>
      <c r="Q834" s="199"/>
      <c r="R834" s="199"/>
      <c r="S834" s="199"/>
      <c r="T834" s="199"/>
      <c r="U834" s="199"/>
      <c r="V834" s="199"/>
      <c r="W834" s="199"/>
      <c r="X834" s="199"/>
      <c r="Y834" s="199"/>
      <c r="Z834" s="199"/>
      <c r="AA834" s="199"/>
      <c r="AB834" s="199"/>
    </row>
    <row r="835" spans="1:28" ht="12.75">
      <c r="A835" s="199"/>
      <c r="B835" s="199"/>
      <c r="C835" s="199"/>
      <c r="D835" s="199"/>
      <c r="E835" s="199"/>
      <c r="F835" s="199"/>
      <c r="G835" s="244"/>
      <c r="H835" s="199"/>
      <c r="I835" s="199"/>
      <c r="J835" s="199"/>
      <c r="K835" s="199"/>
      <c r="L835" s="199"/>
      <c r="M835" s="199"/>
      <c r="N835" s="199"/>
      <c r="O835" s="199"/>
      <c r="P835" s="199"/>
      <c r="Q835" s="199"/>
      <c r="R835" s="199"/>
      <c r="S835" s="199"/>
      <c r="T835" s="199"/>
      <c r="U835" s="199"/>
      <c r="V835" s="199"/>
      <c r="W835" s="199"/>
      <c r="X835" s="199"/>
      <c r="Y835" s="199"/>
      <c r="Z835" s="199"/>
      <c r="AA835" s="199"/>
      <c r="AB835" s="199"/>
    </row>
    <row r="836" spans="1:28" ht="12.75">
      <c r="A836" s="199"/>
      <c r="B836" s="199"/>
      <c r="C836" s="199"/>
      <c r="D836" s="199"/>
      <c r="E836" s="199"/>
      <c r="F836" s="199"/>
      <c r="G836" s="244"/>
      <c r="H836" s="199"/>
      <c r="I836" s="199"/>
      <c r="J836" s="199"/>
      <c r="K836" s="199"/>
      <c r="L836" s="199"/>
      <c r="M836" s="199"/>
      <c r="N836" s="199"/>
      <c r="O836" s="199"/>
      <c r="P836" s="199"/>
      <c r="Q836" s="199"/>
      <c r="R836" s="199"/>
      <c r="S836" s="199"/>
      <c r="T836" s="199"/>
      <c r="U836" s="199"/>
      <c r="V836" s="199"/>
      <c r="W836" s="199"/>
      <c r="X836" s="199"/>
      <c r="Y836" s="199"/>
      <c r="Z836" s="199"/>
      <c r="AA836" s="199"/>
      <c r="AB836" s="199"/>
    </row>
    <row r="837" spans="1:28" ht="12.75">
      <c r="A837" s="199"/>
      <c r="B837" s="199"/>
      <c r="C837" s="199"/>
      <c r="D837" s="199"/>
      <c r="E837" s="199"/>
      <c r="F837" s="199"/>
      <c r="G837" s="244"/>
      <c r="H837" s="199"/>
      <c r="I837" s="199"/>
      <c r="J837" s="199"/>
      <c r="K837" s="199"/>
      <c r="L837" s="199"/>
      <c r="M837" s="199"/>
      <c r="N837" s="199"/>
      <c r="O837" s="199"/>
      <c r="P837" s="199"/>
      <c r="Q837" s="199"/>
      <c r="R837" s="199"/>
      <c r="S837" s="199"/>
      <c r="T837" s="199"/>
      <c r="U837" s="199"/>
      <c r="V837" s="199"/>
      <c r="W837" s="199"/>
      <c r="X837" s="199"/>
      <c r="Y837" s="199"/>
      <c r="Z837" s="199"/>
      <c r="AA837" s="199"/>
      <c r="AB837" s="199"/>
    </row>
    <row r="838" spans="1:28" ht="12.75">
      <c r="A838" s="199"/>
      <c r="B838" s="199"/>
      <c r="C838" s="199"/>
      <c r="D838" s="199"/>
      <c r="E838" s="199"/>
      <c r="F838" s="199"/>
      <c r="G838" s="244"/>
      <c r="H838" s="199"/>
      <c r="I838" s="199"/>
      <c r="J838" s="199"/>
      <c r="K838" s="199"/>
      <c r="L838" s="199"/>
      <c r="M838" s="199"/>
      <c r="N838" s="199"/>
      <c r="O838" s="199"/>
      <c r="P838" s="199"/>
      <c r="Q838" s="199"/>
      <c r="R838" s="199"/>
      <c r="S838" s="199"/>
      <c r="T838" s="199"/>
      <c r="U838" s="199"/>
      <c r="V838" s="199"/>
      <c r="W838" s="199"/>
      <c r="X838" s="199"/>
      <c r="Y838" s="199"/>
      <c r="Z838" s="199"/>
      <c r="AA838" s="199"/>
      <c r="AB838" s="199"/>
    </row>
    <row r="839" spans="1:28" ht="12.75">
      <c r="A839" s="199"/>
      <c r="B839" s="199"/>
      <c r="C839" s="199"/>
      <c r="D839" s="199"/>
      <c r="E839" s="199"/>
      <c r="F839" s="199"/>
      <c r="G839" s="244"/>
      <c r="H839" s="199"/>
      <c r="I839" s="199"/>
      <c r="J839" s="199"/>
      <c r="K839" s="199"/>
      <c r="L839" s="199"/>
      <c r="M839" s="199"/>
      <c r="N839" s="199"/>
      <c r="O839" s="199"/>
      <c r="P839" s="199"/>
      <c r="Q839" s="199"/>
      <c r="R839" s="199"/>
      <c r="S839" s="199"/>
      <c r="T839" s="199"/>
      <c r="U839" s="199"/>
      <c r="V839" s="199"/>
      <c r="W839" s="199"/>
      <c r="X839" s="199"/>
      <c r="Y839" s="199"/>
      <c r="Z839" s="199"/>
      <c r="AA839" s="199"/>
      <c r="AB839" s="199"/>
    </row>
    <row r="840" spans="1:28" ht="12.75">
      <c r="A840" s="199"/>
      <c r="B840" s="199"/>
      <c r="C840" s="199"/>
      <c r="D840" s="199"/>
      <c r="E840" s="199"/>
      <c r="F840" s="199"/>
      <c r="G840" s="244"/>
      <c r="H840" s="199"/>
      <c r="I840" s="199"/>
      <c r="J840" s="199"/>
      <c r="K840" s="199"/>
      <c r="L840" s="199"/>
      <c r="M840" s="199"/>
      <c r="N840" s="199"/>
      <c r="O840" s="199"/>
      <c r="P840" s="199"/>
      <c r="Q840" s="199"/>
      <c r="R840" s="199"/>
      <c r="S840" s="199"/>
      <c r="T840" s="199"/>
      <c r="U840" s="199"/>
      <c r="V840" s="199"/>
      <c r="W840" s="199"/>
      <c r="X840" s="199"/>
      <c r="Y840" s="199"/>
      <c r="Z840" s="199"/>
      <c r="AA840" s="199"/>
      <c r="AB840" s="199"/>
    </row>
    <row r="841" spans="1:28" ht="12.75">
      <c r="A841" s="199"/>
      <c r="B841" s="199"/>
      <c r="C841" s="199"/>
      <c r="D841" s="199"/>
      <c r="E841" s="199"/>
      <c r="F841" s="199"/>
      <c r="G841" s="244"/>
      <c r="H841" s="199"/>
      <c r="I841" s="199"/>
      <c r="J841" s="199"/>
      <c r="K841" s="199"/>
      <c r="L841" s="199"/>
      <c r="M841" s="199"/>
      <c r="N841" s="199"/>
      <c r="O841" s="199"/>
      <c r="P841" s="199"/>
      <c r="Q841" s="199"/>
      <c r="R841" s="199"/>
      <c r="S841" s="199"/>
      <c r="T841" s="199"/>
      <c r="U841" s="199"/>
      <c r="V841" s="199"/>
      <c r="W841" s="199"/>
      <c r="X841" s="199"/>
      <c r="Y841" s="199"/>
      <c r="Z841" s="199"/>
      <c r="AA841" s="199"/>
      <c r="AB841" s="199"/>
    </row>
    <row r="842" spans="1:28" ht="12.75">
      <c r="A842" s="199"/>
      <c r="B842" s="199"/>
      <c r="C842" s="199"/>
      <c r="D842" s="199"/>
      <c r="E842" s="199"/>
      <c r="F842" s="199"/>
      <c r="G842" s="244"/>
      <c r="H842" s="199"/>
      <c r="I842" s="199"/>
      <c r="J842" s="199"/>
      <c r="K842" s="199"/>
      <c r="L842" s="199"/>
      <c r="M842" s="199"/>
      <c r="N842" s="199"/>
      <c r="O842" s="199"/>
      <c r="P842" s="199"/>
      <c r="Q842" s="199"/>
      <c r="R842" s="199"/>
      <c r="S842" s="199"/>
      <c r="T842" s="199"/>
      <c r="U842" s="199"/>
      <c r="V842" s="199"/>
      <c r="W842" s="199"/>
      <c r="X842" s="199"/>
      <c r="Y842" s="199"/>
      <c r="Z842" s="199"/>
      <c r="AA842" s="199"/>
      <c r="AB842" s="199"/>
    </row>
    <row r="843" spans="1:28" ht="12.75">
      <c r="A843" s="199"/>
      <c r="B843" s="199"/>
      <c r="C843" s="199"/>
      <c r="D843" s="199"/>
      <c r="E843" s="199"/>
      <c r="F843" s="199"/>
      <c r="G843" s="244"/>
      <c r="H843" s="199"/>
      <c r="I843" s="199"/>
      <c r="J843" s="199"/>
      <c r="K843" s="199"/>
      <c r="L843" s="199"/>
      <c r="M843" s="199"/>
      <c r="N843" s="199"/>
      <c r="O843" s="199"/>
      <c r="P843" s="199"/>
      <c r="Q843" s="199"/>
      <c r="R843" s="199"/>
      <c r="S843" s="199"/>
      <c r="T843" s="199"/>
      <c r="U843" s="199"/>
      <c r="V843" s="199"/>
      <c r="W843" s="199"/>
      <c r="X843" s="199"/>
      <c r="Y843" s="199"/>
      <c r="Z843" s="199"/>
      <c r="AA843" s="199"/>
      <c r="AB843" s="199"/>
    </row>
    <row r="844" spans="1:28" ht="12.75">
      <c r="A844" s="199"/>
      <c r="B844" s="199"/>
      <c r="C844" s="199"/>
      <c r="D844" s="199"/>
      <c r="E844" s="199"/>
      <c r="F844" s="199"/>
      <c r="G844" s="244"/>
      <c r="H844" s="199"/>
      <c r="I844" s="199"/>
      <c r="J844" s="199"/>
      <c r="K844" s="199"/>
      <c r="L844" s="199"/>
      <c r="M844" s="199"/>
      <c r="N844" s="199"/>
      <c r="O844" s="199"/>
      <c r="P844" s="199"/>
      <c r="Q844" s="199"/>
      <c r="R844" s="199"/>
      <c r="S844" s="199"/>
      <c r="T844" s="199"/>
      <c r="U844" s="199"/>
      <c r="V844" s="199"/>
      <c r="W844" s="199"/>
      <c r="X844" s="199"/>
      <c r="Y844" s="199"/>
      <c r="Z844" s="199"/>
      <c r="AA844" s="199"/>
      <c r="AB844" s="199"/>
    </row>
    <row r="845" spans="1:28" ht="12.75">
      <c r="A845" s="199"/>
      <c r="B845" s="199"/>
      <c r="C845" s="199"/>
      <c r="D845" s="199"/>
      <c r="E845" s="199"/>
      <c r="F845" s="199"/>
      <c r="G845" s="244"/>
      <c r="H845" s="199"/>
      <c r="I845" s="199"/>
      <c r="J845" s="199"/>
      <c r="K845" s="199"/>
      <c r="L845" s="199"/>
      <c r="M845" s="199"/>
      <c r="N845" s="199"/>
      <c r="O845" s="199"/>
      <c r="P845" s="199"/>
      <c r="Q845" s="199"/>
      <c r="R845" s="199"/>
      <c r="S845" s="199"/>
      <c r="T845" s="199"/>
      <c r="U845" s="199"/>
      <c r="V845" s="199"/>
      <c r="W845" s="199"/>
      <c r="X845" s="199"/>
      <c r="Y845" s="199"/>
      <c r="Z845" s="199"/>
      <c r="AA845" s="199"/>
      <c r="AB845" s="199"/>
    </row>
    <row r="846" spans="1:28" ht="12.75">
      <c r="A846" s="199"/>
      <c r="B846" s="199"/>
      <c r="C846" s="199"/>
      <c r="D846" s="199"/>
      <c r="E846" s="199"/>
      <c r="F846" s="199"/>
      <c r="G846" s="244"/>
      <c r="H846" s="199"/>
      <c r="I846" s="199"/>
      <c r="J846" s="199"/>
      <c r="K846" s="199"/>
      <c r="L846" s="199"/>
      <c r="M846" s="199"/>
      <c r="N846" s="199"/>
      <c r="O846" s="199"/>
      <c r="P846" s="199"/>
      <c r="Q846" s="199"/>
      <c r="R846" s="199"/>
      <c r="S846" s="199"/>
      <c r="T846" s="199"/>
      <c r="U846" s="199"/>
      <c r="V846" s="199"/>
      <c r="W846" s="199"/>
      <c r="X846" s="199"/>
      <c r="Y846" s="199"/>
      <c r="Z846" s="199"/>
      <c r="AA846" s="199"/>
      <c r="AB846" s="199"/>
    </row>
    <row r="847" spans="1:28" ht="12.75">
      <c r="A847" s="199"/>
      <c r="B847" s="199"/>
      <c r="C847" s="199"/>
      <c r="D847" s="199"/>
      <c r="E847" s="199"/>
      <c r="F847" s="199"/>
      <c r="G847" s="244"/>
      <c r="H847" s="199"/>
      <c r="I847" s="199"/>
      <c r="J847" s="199"/>
      <c r="K847" s="199"/>
      <c r="L847" s="199"/>
      <c r="M847" s="199"/>
      <c r="N847" s="199"/>
      <c r="O847" s="199"/>
      <c r="P847" s="199"/>
      <c r="Q847" s="199"/>
      <c r="R847" s="199"/>
      <c r="S847" s="199"/>
      <c r="T847" s="199"/>
      <c r="U847" s="199"/>
      <c r="V847" s="199"/>
      <c r="W847" s="199"/>
      <c r="X847" s="199"/>
      <c r="Y847" s="199"/>
      <c r="Z847" s="199"/>
      <c r="AA847" s="199"/>
      <c r="AB847" s="199"/>
    </row>
    <row r="848" spans="1:28" ht="12.75">
      <c r="A848" s="199"/>
      <c r="B848" s="199"/>
      <c r="C848" s="199"/>
      <c r="D848" s="199"/>
      <c r="E848" s="199"/>
      <c r="F848" s="199"/>
      <c r="G848" s="244"/>
      <c r="H848" s="199"/>
      <c r="I848" s="199"/>
      <c r="J848" s="199"/>
      <c r="K848" s="199"/>
      <c r="L848" s="199"/>
      <c r="M848" s="199"/>
      <c r="N848" s="199"/>
      <c r="O848" s="199"/>
      <c r="P848" s="199"/>
      <c r="Q848" s="199"/>
      <c r="R848" s="199"/>
      <c r="S848" s="199"/>
      <c r="T848" s="199"/>
      <c r="U848" s="199"/>
      <c r="V848" s="199"/>
      <c r="W848" s="199"/>
      <c r="X848" s="199"/>
      <c r="Y848" s="199"/>
      <c r="Z848" s="199"/>
      <c r="AA848" s="199"/>
      <c r="AB848" s="199"/>
    </row>
    <row r="849" spans="1:28" ht="12.75">
      <c r="A849" s="199"/>
      <c r="B849" s="199"/>
      <c r="C849" s="199"/>
      <c r="D849" s="199"/>
      <c r="E849" s="199"/>
      <c r="F849" s="199"/>
      <c r="G849" s="244"/>
      <c r="H849" s="199"/>
      <c r="I849" s="199"/>
      <c r="J849" s="199"/>
      <c r="K849" s="199"/>
      <c r="L849" s="199"/>
      <c r="M849" s="199"/>
      <c r="N849" s="199"/>
      <c r="O849" s="199"/>
      <c r="P849" s="199"/>
      <c r="Q849" s="199"/>
      <c r="R849" s="199"/>
      <c r="S849" s="199"/>
      <c r="T849" s="199"/>
      <c r="U849" s="199"/>
      <c r="V849" s="199"/>
      <c r="W849" s="199"/>
      <c r="X849" s="199"/>
      <c r="Y849" s="199"/>
      <c r="Z849" s="199"/>
      <c r="AA849" s="199"/>
      <c r="AB849" s="199"/>
    </row>
    <row r="850" spans="1:28" ht="12.75">
      <c r="A850" s="199"/>
      <c r="B850" s="199"/>
      <c r="C850" s="199"/>
      <c r="D850" s="199"/>
      <c r="E850" s="199"/>
      <c r="F850" s="199"/>
      <c r="G850" s="244"/>
      <c r="H850" s="199"/>
      <c r="I850" s="199"/>
      <c r="J850" s="199"/>
      <c r="K850" s="199"/>
      <c r="L850" s="199"/>
      <c r="M850" s="199"/>
      <c r="N850" s="199"/>
      <c r="O850" s="199"/>
      <c r="P850" s="199"/>
      <c r="Q850" s="199"/>
      <c r="R850" s="199"/>
      <c r="S850" s="199"/>
      <c r="T850" s="199"/>
      <c r="U850" s="199"/>
      <c r="V850" s="199"/>
      <c r="W850" s="199"/>
      <c r="X850" s="199"/>
      <c r="Y850" s="199"/>
      <c r="Z850" s="199"/>
      <c r="AA850" s="199"/>
      <c r="AB850" s="199"/>
    </row>
    <row r="851" spans="1:28" ht="12.75">
      <c r="A851" s="199"/>
      <c r="B851" s="199"/>
      <c r="C851" s="199"/>
      <c r="D851" s="199"/>
      <c r="E851" s="199"/>
      <c r="F851" s="199"/>
      <c r="G851" s="244"/>
      <c r="H851" s="199"/>
      <c r="I851" s="199"/>
      <c r="J851" s="199"/>
      <c r="K851" s="199"/>
      <c r="L851" s="199"/>
      <c r="M851" s="199"/>
      <c r="N851" s="199"/>
      <c r="O851" s="199"/>
      <c r="P851" s="199"/>
      <c r="Q851" s="199"/>
      <c r="R851" s="199"/>
      <c r="S851" s="199"/>
      <c r="T851" s="199"/>
      <c r="U851" s="199"/>
      <c r="V851" s="199"/>
      <c r="W851" s="199"/>
      <c r="X851" s="199"/>
      <c r="Y851" s="199"/>
      <c r="Z851" s="199"/>
      <c r="AA851" s="199"/>
      <c r="AB851" s="199"/>
    </row>
    <row r="852" spans="1:28" ht="12.75">
      <c r="A852" s="199"/>
      <c r="B852" s="199"/>
      <c r="C852" s="199"/>
      <c r="D852" s="199"/>
      <c r="E852" s="199"/>
      <c r="F852" s="199"/>
      <c r="G852" s="244"/>
      <c r="H852" s="199"/>
      <c r="I852" s="199"/>
      <c r="J852" s="199"/>
      <c r="K852" s="199"/>
      <c r="L852" s="199"/>
      <c r="M852" s="199"/>
      <c r="N852" s="199"/>
      <c r="O852" s="199"/>
      <c r="P852" s="199"/>
      <c r="Q852" s="199"/>
      <c r="R852" s="199"/>
      <c r="S852" s="199"/>
      <c r="T852" s="199"/>
      <c r="U852" s="199"/>
      <c r="V852" s="199"/>
      <c r="W852" s="199"/>
      <c r="X852" s="199"/>
      <c r="Y852" s="199"/>
      <c r="Z852" s="199"/>
      <c r="AA852" s="199"/>
      <c r="AB852" s="199"/>
    </row>
    <row r="853" spans="1:28" ht="12.75">
      <c r="A853" s="199"/>
      <c r="B853" s="199"/>
      <c r="C853" s="199"/>
      <c r="D853" s="199"/>
      <c r="E853" s="199"/>
      <c r="F853" s="199"/>
      <c r="G853" s="244"/>
      <c r="H853" s="199"/>
      <c r="I853" s="199"/>
      <c r="J853" s="199"/>
      <c r="K853" s="199"/>
      <c r="L853" s="199"/>
      <c r="M853" s="199"/>
      <c r="N853" s="199"/>
      <c r="O853" s="199"/>
      <c r="P853" s="199"/>
      <c r="Q853" s="199"/>
      <c r="R853" s="199"/>
      <c r="S853" s="199"/>
      <c r="T853" s="199"/>
      <c r="U853" s="199"/>
      <c r="V853" s="199"/>
      <c r="W853" s="199"/>
      <c r="X853" s="199"/>
      <c r="Y853" s="199"/>
      <c r="Z853" s="199"/>
      <c r="AA853" s="199"/>
      <c r="AB853" s="199"/>
    </row>
    <row r="854" spans="1:28" ht="12.75">
      <c r="A854" s="199"/>
      <c r="B854" s="199"/>
      <c r="C854" s="199"/>
      <c r="D854" s="199"/>
      <c r="E854" s="199"/>
      <c r="F854" s="199"/>
      <c r="G854" s="244"/>
      <c r="H854" s="199"/>
      <c r="I854" s="199"/>
      <c r="J854" s="199"/>
      <c r="K854" s="199"/>
      <c r="L854" s="199"/>
      <c r="M854" s="199"/>
      <c r="N854" s="199"/>
      <c r="O854" s="199"/>
      <c r="P854" s="199"/>
      <c r="Q854" s="199"/>
      <c r="R854" s="199"/>
      <c r="S854" s="199"/>
      <c r="T854" s="199"/>
      <c r="U854" s="199"/>
      <c r="V854" s="199"/>
      <c r="W854" s="199"/>
      <c r="X854" s="199"/>
      <c r="Y854" s="199"/>
      <c r="Z854" s="199"/>
      <c r="AA854" s="199"/>
      <c r="AB854" s="199"/>
    </row>
    <row r="855" spans="1:28" ht="12.75">
      <c r="A855" s="199"/>
      <c r="B855" s="199"/>
      <c r="C855" s="199"/>
      <c r="D855" s="199"/>
      <c r="E855" s="199"/>
      <c r="F855" s="199"/>
      <c r="G855" s="244"/>
      <c r="H855" s="199"/>
      <c r="I855" s="199"/>
      <c r="J855" s="199"/>
      <c r="K855" s="199"/>
      <c r="L855" s="199"/>
      <c r="M855" s="199"/>
      <c r="N855" s="199"/>
      <c r="O855" s="199"/>
      <c r="P855" s="199"/>
      <c r="Q855" s="199"/>
      <c r="R855" s="199"/>
      <c r="S855" s="199"/>
      <c r="T855" s="199"/>
      <c r="U855" s="199"/>
      <c r="V855" s="199"/>
      <c r="W855" s="199"/>
      <c r="X855" s="199"/>
      <c r="Y855" s="199"/>
      <c r="Z855" s="199"/>
      <c r="AA855" s="199"/>
      <c r="AB855" s="199"/>
    </row>
    <row r="856" spans="1:28" ht="12.75">
      <c r="A856" s="199"/>
      <c r="B856" s="199"/>
      <c r="C856" s="199"/>
      <c r="D856" s="199"/>
      <c r="E856" s="199"/>
      <c r="F856" s="199"/>
      <c r="G856" s="244"/>
      <c r="H856" s="199"/>
      <c r="I856" s="199"/>
      <c r="J856" s="199"/>
      <c r="K856" s="199"/>
      <c r="L856" s="199"/>
      <c r="M856" s="199"/>
      <c r="N856" s="199"/>
      <c r="O856" s="199"/>
      <c r="P856" s="199"/>
      <c r="Q856" s="199"/>
      <c r="R856" s="199"/>
      <c r="S856" s="199"/>
      <c r="T856" s="199"/>
      <c r="U856" s="199"/>
      <c r="V856" s="199"/>
      <c r="W856" s="199"/>
      <c r="X856" s="199"/>
      <c r="Y856" s="199"/>
      <c r="Z856" s="199"/>
      <c r="AA856" s="199"/>
      <c r="AB856" s="199"/>
    </row>
    <row r="857" spans="1:28" ht="12.75">
      <c r="A857" s="199"/>
      <c r="B857" s="199"/>
      <c r="C857" s="199"/>
      <c r="D857" s="199"/>
      <c r="E857" s="199"/>
      <c r="F857" s="199"/>
      <c r="G857" s="244"/>
      <c r="H857" s="199"/>
      <c r="I857" s="199"/>
      <c r="J857" s="199"/>
      <c r="K857" s="199"/>
      <c r="L857" s="199"/>
      <c r="M857" s="199"/>
      <c r="N857" s="199"/>
      <c r="O857" s="199"/>
      <c r="P857" s="199"/>
      <c r="Q857" s="199"/>
      <c r="R857" s="199"/>
      <c r="S857" s="199"/>
      <c r="T857" s="199"/>
      <c r="U857" s="199"/>
      <c r="V857" s="199"/>
      <c r="W857" s="199"/>
      <c r="X857" s="199"/>
      <c r="Y857" s="199"/>
      <c r="Z857" s="199"/>
      <c r="AA857" s="199"/>
      <c r="AB857" s="199"/>
    </row>
    <row r="858" spans="1:28" ht="12.75">
      <c r="A858" s="199"/>
      <c r="B858" s="199"/>
      <c r="C858" s="199"/>
      <c r="D858" s="199"/>
      <c r="E858" s="199"/>
      <c r="F858" s="199"/>
      <c r="G858" s="244"/>
      <c r="H858" s="199"/>
      <c r="I858" s="199"/>
      <c r="J858" s="199"/>
      <c r="K858" s="199"/>
      <c r="L858" s="199"/>
      <c r="M858" s="199"/>
      <c r="N858" s="199"/>
      <c r="O858" s="199"/>
      <c r="P858" s="199"/>
      <c r="Q858" s="199"/>
      <c r="R858" s="199"/>
      <c r="S858" s="199"/>
      <c r="T858" s="199"/>
      <c r="U858" s="199"/>
      <c r="V858" s="199"/>
      <c r="W858" s="199"/>
      <c r="X858" s="199"/>
      <c r="Y858" s="199"/>
      <c r="Z858" s="199"/>
      <c r="AA858" s="199"/>
      <c r="AB858" s="199"/>
    </row>
    <row r="859" spans="1:28" ht="12.75">
      <c r="A859" s="199"/>
      <c r="B859" s="199"/>
      <c r="C859" s="199"/>
      <c r="D859" s="199"/>
      <c r="E859" s="199"/>
      <c r="F859" s="199"/>
      <c r="G859" s="244"/>
      <c r="H859" s="199"/>
      <c r="I859" s="199"/>
      <c r="J859" s="199"/>
      <c r="K859" s="199"/>
      <c r="L859" s="199"/>
      <c r="M859" s="199"/>
      <c r="N859" s="199"/>
      <c r="O859" s="199"/>
      <c r="P859" s="199"/>
      <c r="Q859" s="199"/>
      <c r="R859" s="199"/>
      <c r="S859" s="199"/>
      <c r="T859" s="199"/>
      <c r="U859" s="199"/>
      <c r="V859" s="199"/>
      <c r="W859" s="199"/>
      <c r="X859" s="199"/>
      <c r="Y859" s="199"/>
      <c r="Z859" s="199"/>
      <c r="AA859" s="199"/>
      <c r="AB859" s="199"/>
    </row>
    <row r="860" spans="1:28" ht="12.75">
      <c r="A860" s="199"/>
      <c r="B860" s="199"/>
      <c r="C860" s="199"/>
      <c r="D860" s="199"/>
      <c r="E860" s="199"/>
      <c r="F860" s="199"/>
      <c r="G860" s="244"/>
      <c r="H860" s="199"/>
      <c r="I860" s="199"/>
      <c r="J860" s="199"/>
      <c r="K860" s="199"/>
      <c r="L860" s="199"/>
      <c r="M860" s="199"/>
      <c r="N860" s="199"/>
      <c r="O860" s="199"/>
      <c r="P860" s="199"/>
      <c r="Q860" s="199"/>
      <c r="R860" s="199"/>
      <c r="S860" s="199"/>
      <c r="T860" s="199"/>
      <c r="U860" s="199"/>
      <c r="V860" s="199"/>
      <c r="W860" s="199"/>
      <c r="X860" s="199"/>
      <c r="Y860" s="199"/>
      <c r="Z860" s="199"/>
      <c r="AA860" s="199"/>
      <c r="AB860" s="199"/>
    </row>
    <row r="861" spans="1:28" ht="12.75">
      <c r="A861" s="199"/>
      <c r="B861" s="199"/>
      <c r="C861" s="199"/>
      <c r="D861" s="199"/>
      <c r="E861" s="199"/>
      <c r="F861" s="199"/>
      <c r="G861" s="244"/>
      <c r="H861" s="199"/>
      <c r="I861" s="199"/>
      <c r="J861" s="199"/>
      <c r="K861" s="199"/>
      <c r="L861" s="199"/>
      <c r="M861" s="199"/>
      <c r="N861" s="199"/>
      <c r="O861" s="199"/>
      <c r="P861" s="199"/>
      <c r="Q861" s="199"/>
      <c r="R861" s="199"/>
      <c r="S861" s="199"/>
      <c r="T861" s="199"/>
      <c r="U861" s="199"/>
      <c r="V861" s="199"/>
      <c r="W861" s="199"/>
      <c r="X861" s="199"/>
      <c r="Y861" s="199"/>
      <c r="Z861" s="199"/>
      <c r="AA861" s="199"/>
      <c r="AB861" s="199"/>
    </row>
    <row r="862" spans="1:28" ht="12.75">
      <c r="A862" s="199"/>
      <c r="B862" s="199"/>
      <c r="C862" s="199"/>
      <c r="D862" s="199"/>
      <c r="E862" s="199"/>
      <c r="F862" s="199"/>
      <c r="G862" s="244"/>
      <c r="H862" s="199"/>
      <c r="I862" s="199"/>
      <c r="J862" s="199"/>
      <c r="K862" s="199"/>
      <c r="L862" s="199"/>
      <c r="M862" s="199"/>
      <c r="N862" s="199"/>
      <c r="O862" s="199"/>
      <c r="P862" s="199"/>
      <c r="Q862" s="199"/>
      <c r="R862" s="199"/>
      <c r="S862" s="199"/>
      <c r="T862" s="199"/>
      <c r="U862" s="199"/>
      <c r="V862" s="199"/>
      <c r="W862" s="199"/>
      <c r="X862" s="199"/>
      <c r="Y862" s="199"/>
      <c r="Z862" s="199"/>
      <c r="AA862" s="199"/>
      <c r="AB862" s="199"/>
    </row>
    <row r="863" spans="1:28" ht="12.75">
      <c r="A863" s="199"/>
      <c r="B863" s="199"/>
      <c r="C863" s="199"/>
      <c r="D863" s="199"/>
      <c r="E863" s="199"/>
      <c r="F863" s="199"/>
      <c r="G863" s="244"/>
      <c r="H863" s="199"/>
      <c r="I863" s="199"/>
      <c r="J863" s="199"/>
      <c r="K863" s="199"/>
      <c r="L863" s="199"/>
      <c r="M863" s="199"/>
      <c r="N863" s="199"/>
      <c r="O863" s="199"/>
      <c r="P863" s="199"/>
      <c r="Q863" s="199"/>
      <c r="R863" s="199"/>
      <c r="S863" s="199"/>
      <c r="T863" s="199"/>
      <c r="U863" s="199"/>
      <c r="V863" s="199"/>
      <c r="W863" s="199"/>
      <c r="X863" s="199"/>
      <c r="Y863" s="199"/>
      <c r="Z863" s="199"/>
      <c r="AA863" s="199"/>
      <c r="AB863" s="199"/>
    </row>
    <row r="864" spans="1:28" ht="12.75">
      <c r="A864" s="199"/>
      <c r="B864" s="199"/>
      <c r="C864" s="199"/>
      <c r="D864" s="199"/>
      <c r="E864" s="199"/>
      <c r="F864" s="199"/>
      <c r="G864" s="244"/>
      <c r="H864" s="199"/>
      <c r="I864" s="199"/>
      <c r="J864" s="199"/>
      <c r="K864" s="199"/>
      <c r="L864" s="199"/>
      <c r="M864" s="199"/>
      <c r="N864" s="199"/>
      <c r="O864" s="199"/>
      <c r="P864" s="199"/>
      <c r="Q864" s="199"/>
      <c r="R864" s="199"/>
      <c r="S864" s="199"/>
      <c r="T864" s="199"/>
      <c r="U864" s="199"/>
      <c r="V864" s="199"/>
      <c r="W864" s="199"/>
      <c r="X864" s="199"/>
      <c r="Y864" s="199"/>
      <c r="Z864" s="199"/>
      <c r="AA864" s="199"/>
      <c r="AB864" s="199"/>
    </row>
    <row r="865" spans="1:28" ht="12.75">
      <c r="A865" s="199"/>
      <c r="B865" s="199"/>
      <c r="C865" s="199"/>
      <c r="D865" s="199"/>
      <c r="E865" s="199"/>
      <c r="F865" s="199"/>
      <c r="G865" s="244"/>
      <c r="H865" s="199"/>
      <c r="I865" s="199"/>
      <c r="J865" s="199"/>
      <c r="K865" s="199"/>
      <c r="L865" s="199"/>
      <c r="M865" s="199"/>
      <c r="N865" s="199"/>
      <c r="O865" s="199"/>
      <c r="P865" s="199"/>
      <c r="Q865" s="199"/>
      <c r="R865" s="199"/>
      <c r="S865" s="199"/>
      <c r="T865" s="199"/>
      <c r="U865" s="199"/>
      <c r="V865" s="199"/>
      <c r="W865" s="199"/>
      <c r="X865" s="199"/>
      <c r="Y865" s="199"/>
      <c r="Z865" s="199"/>
      <c r="AA865" s="199"/>
      <c r="AB865" s="199"/>
    </row>
    <row r="866" spans="1:28" ht="12.75">
      <c r="A866" s="199"/>
      <c r="B866" s="199"/>
      <c r="C866" s="199"/>
      <c r="D866" s="199"/>
      <c r="E866" s="199"/>
      <c r="F866" s="199"/>
      <c r="G866" s="244"/>
      <c r="H866" s="199"/>
      <c r="I866" s="199"/>
      <c r="J866" s="199"/>
      <c r="K866" s="199"/>
      <c r="L866" s="199"/>
      <c r="M866" s="199"/>
      <c r="N866" s="199"/>
      <c r="O866" s="199"/>
      <c r="P866" s="199"/>
      <c r="Q866" s="199"/>
      <c r="R866" s="199"/>
      <c r="S866" s="199"/>
      <c r="T866" s="199"/>
      <c r="U866" s="199"/>
      <c r="V866" s="199"/>
      <c r="W866" s="199"/>
      <c r="X866" s="199"/>
      <c r="Y866" s="199"/>
      <c r="Z866" s="199"/>
      <c r="AA866" s="199"/>
      <c r="AB866" s="199"/>
    </row>
    <row r="867" spans="1:28" ht="12.75">
      <c r="A867" s="199"/>
      <c r="B867" s="199"/>
      <c r="C867" s="199"/>
      <c r="D867" s="199"/>
      <c r="E867" s="199"/>
      <c r="F867" s="199"/>
      <c r="G867" s="244"/>
      <c r="H867" s="199"/>
      <c r="I867" s="199"/>
      <c r="J867" s="199"/>
      <c r="K867" s="199"/>
      <c r="L867" s="199"/>
      <c r="M867" s="199"/>
      <c r="N867" s="199"/>
      <c r="O867" s="199"/>
      <c r="P867" s="199"/>
      <c r="Q867" s="199"/>
      <c r="R867" s="199"/>
      <c r="S867" s="199"/>
      <c r="T867" s="199"/>
      <c r="U867" s="199"/>
      <c r="V867" s="199"/>
      <c r="W867" s="199"/>
      <c r="X867" s="199"/>
      <c r="Y867" s="199"/>
      <c r="Z867" s="199"/>
      <c r="AA867" s="199"/>
      <c r="AB867" s="199"/>
    </row>
    <row r="868" spans="1:28" ht="12.75">
      <c r="A868" s="199"/>
      <c r="B868" s="199"/>
      <c r="C868" s="199"/>
      <c r="D868" s="199"/>
      <c r="E868" s="199"/>
      <c r="F868" s="199"/>
      <c r="G868" s="244"/>
      <c r="H868" s="199"/>
      <c r="I868" s="199"/>
      <c r="J868" s="199"/>
      <c r="K868" s="199"/>
      <c r="L868" s="199"/>
      <c r="M868" s="199"/>
      <c r="N868" s="199"/>
      <c r="O868" s="199"/>
      <c r="P868" s="199"/>
      <c r="Q868" s="199"/>
      <c r="R868" s="199"/>
      <c r="S868" s="199"/>
      <c r="T868" s="199"/>
      <c r="U868" s="199"/>
      <c r="V868" s="199"/>
      <c r="W868" s="199"/>
      <c r="X868" s="199"/>
      <c r="Y868" s="199"/>
      <c r="Z868" s="199"/>
      <c r="AA868" s="199"/>
      <c r="AB868" s="199"/>
    </row>
    <row r="869" spans="1:28" ht="12.75">
      <c r="A869" s="199"/>
      <c r="B869" s="199"/>
      <c r="C869" s="199"/>
      <c r="D869" s="199"/>
      <c r="E869" s="199"/>
      <c r="F869" s="199"/>
      <c r="G869" s="244"/>
      <c r="H869" s="199"/>
      <c r="I869" s="199"/>
      <c r="J869" s="199"/>
      <c r="K869" s="199"/>
      <c r="L869" s="199"/>
      <c r="M869" s="199"/>
      <c r="N869" s="199"/>
      <c r="O869" s="199"/>
      <c r="P869" s="199"/>
      <c r="Q869" s="199"/>
      <c r="R869" s="199"/>
      <c r="S869" s="199"/>
      <c r="T869" s="199"/>
      <c r="U869" s="199"/>
      <c r="V869" s="199"/>
      <c r="W869" s="199"/>
      <c r="X869" s="199"/>
      <c r="Y869" s="199"/>
      <c r="Z869" s="199"/>
      <c r="AA869" s="199"/>
      <c r="AB869" s="199"/>
    </row>
    <row r="870" spans="1:28" ht="12.75">
      <c r="A870" s="199"/>
      <c r="B870" s="199"/>
      <c r="C870" s="199"/>
      <c r="D870" s="199"/>
      <c r="E870" s="199"/>
      <c r="F870" s="199"/>
      <c r="G870" s="244"/>
      <c r="H870" s="199"/>
      <c r="I870" s="199"/>
      <c r="J870" s="199"/>
      <c r="K870" s="199"/>
      <c r="L870" s="199"/>
      <c r="M870" s="199"/>
      <c r="N870" s="199"/>
      <c r="O870" s="199"/>
      <c r="P870" s="199"/>
      <c r="Q870" s="199"/>
      <c r="R870" s="199"/>
      <c r="S870" s="199"/>
      <c r="T870" s="199"/>
      <c r="U870" s="199"/>
      <c r="V870" s="199"/>
      <c r="W870" s="199"/>
      <c r="X870" s="199"/>
      <c r="Y870" s="199"/>
      <c r="Z870" s="199"/>
      <c r="AA870" s="199"/>
      <c r="AB870" s="199"/>
    </row>
    <row r="871" spans="1:28" ht="12.75">
      <c r="A871" s="199"/>
      <c r="B871" s="199"/>
      <c r="C871" s="199"/>
      <c r="D871" s="199"/>
      <c r="E871" s="199"/>
      <c r="F871" s="199"/>
      <c r="G871" s="244"/>
      <c r="H871" s="199"/>
      <c r="I871" s="199"/>
      <c r="J871" s="199"/>
      <c r="K871" s="199"/>
      <c r="L871" s="199"/>
      <c r="M871" s="199"/>
      <c r="N871" s="199"/>
      <c r="O871" s="199"/>
      <c r="P871" s="199"/>
      <c r="Q871" s="199"/>
      <c r="R871" s="199"/>
      <c r="S871" s="199"/>
      <c r="T871" s="199"/>
      <c r="U871" s="199"/>
      <c r="V871" s="199"/>
      <c r="W871" s="199"/>
      <c r="X871" s="199"/>
      <c r="Y871" s="199"/>
      <c r="Z871" s="199"/>
      <c r="AA871" s="199"/>
      <c r="AB871" s="199"/>
    </row>
    <row r="872" spans="1:28" ht="12.75">
      <c r="A872" s="199"/>
      <c r="B872" s="199"/>
      <c r="C872" s="199"/>
      <c r="D872" s="199"/>
      <c r="E872" s="199"/>
      <c r="F872" s="199"/>
      <c r="G872" s="244"/>
      <c r="H872" s="199"/>
      <c r="I872" s="199"/>
      <c r="J872" s="199"/>
      <c r="K872" s="199"/>
      <c r="L872" s="199"/>
      <c r="M872" s="199"/>
      <c r="N872" s="199"/>
      <c r="O872" s="199"/>
      <c r="P872" s="199"/>
      <c r="Q872" s="199"/>
      <c r="R872" s="199"/>
      <c r="S872" s="199"/>
      <c r="T872" s="199"/>
      <c r="U872" s="199"/>
      <c r="V872" s="199"/>
      <c r="W872" s="199"/>
      <c r="X872" s="199"/>
      <c r="Y872" s="199"/>
      <c r="Z872" s="199"/>
      <c r="AA872" s="199"/>
      <c r="AB872" s="199"/>
    </row>
    <row r="873" spans="1:28" ht="12.75">
      <c r="A873" s="199"/>
      <c r="B873" s="199"/>
      <c r="C873" s="199"/>
      <c r="D873" s="199"/>
      <c r="E873" s="199"/>
      <c r="F873" s="199"/>
      <c r="G873" s="244"/>
      <c r="H873" s="199"/>
      <c r="I873" s="199"/>
      <c r="J873" s="199"/>
      <c r="K873" s="199"/>
      <c r="L873" s="199"/>
      <c r="M873" s="199"/>
      <c r="N873" s="199"/>
      <c r="O873" s="199"/>
      <c r="P873" s="199"/>
      <c r="Q873" s="199"/>
      <c r="R873" s="199"/>
      <c r="S873" s="199"/>
      <c r="T873" s="199"/>
      <c r="U873" s="199"/>
      <c r="V873" s="199"/>
      <c r="W873" s="199"/>
      <c r="X873" s="199"/>
      <c r="Y873" s="199"/>
      <c r="Z873" s="199"/>
      <c r="AA873" s="199"/>
      <c r="AB873" s="199"/>
    </row>
    <row r="874" spans="1:28" ht="12.75">
      <c r="A874" s="199"/>
      <c r="B874" s="199"/>
      <c r="C874" s="199"/>
      <c r="D874" s="199"/>
      <c r="E874" s="199"/>
      <c r="F874" s="199"/>
      <c r="G874" s="244"/>
      <c r="H874" s="199"/>
      <c r="I874" s="199"/>
      <c r="J874" s="199"/>
      <c r="K874" s="199"/>
      <c r="L874" s="199"/>
      <c r="M874" s="199"/>
      <c r="N874" s="199"/>
      <c r="O874" s="199"/>
      <c r="P874" s="199"/>
      <c r="Q874" s="199"/>
      <c r="R874" s="199"/>
      <c r="S874" s="199"/>
      <c r="T874" s="199"/>
      <c r="U874" s="199"/>
      <c r="V874" s="199"/>
      <c r="W874" s="199"/>
      <c r="X874" s="199"/>
      <c r="Y874" s="199"/>
      <c r="Z874" s="199"/>
      <c r="AA874" s="199"/>
      <c r="AB874" s="199"/>
    </row>
    <row r="875" spans="1:28" ht="12.75">
      <c r="A875" s="199"/>
      <c r="B875" s="199"/>
      <c r="C875" s="199"/>
      <c r="D875" s="199"/>
      <c r="E875" s="199"/>
      <c r="F875" s="199"/>
      <c r="G875" s="244"/>
      <c r="H875" s="199"/>
      <c r="I875" s="199"/>
      <c r="J875" s="199"/>
      <c r="K875" s="199"/>
      <c r="L875" s="199"/>
      <c r="M875" s="199"/>
      <c r="N875" s="199"/>
      <c r="O875" s="199"/>
      <c r="P875" s="199"/>
      <c r="Q875" s="199"/>
      <c r="R875" s="199"/>
      <c r="S875" s="199"/>
      <c r="T875" s="199"/>
      <c r="U875" s="199"/>
      <c r="V875" s="199"/>
      <c r="W875" s="199"/>
      <c r="X875" s="199"/>
      <c r="Y875" s="199"/>
      <c r="Z875" s="199"/>
      <c r="AA875" s="199"/>
      <c r="AB875" s="199"/>
    </row>
    <row r="876" spans="1:28" ht="12.75">
      <c r="A876" s="199"/>
      <c r="B876" s="199"/>
      <c r="C876" s="199"/>
      <c r="D876" s="199"/>
      <c r="E876" s="199"/>
      <c r="F876" s="199"/>
      <c r="G876" s="244"/>
      <c r="H876" s="199"/>
      <c r="I876" s="199"/>
      <c r="J876" s="199"/>
      <c r="K876" s="199"/>
      <c r="L876" s="199"/>
      <c r="M876" s="199"/>
      <c r="N876" s="199"/>
      <c r="O876" s="199"/>
      <c r="P876" s="199"/>
      <c r="Q876" s="199"/>
      <c r="R876" s="199"/>
      <c r="S876" s="199"/>
      <c r="T876" s="199"/>
      <c r="U876" s="199"/>
      <c r="V876" s="199"/>
      <c r="W876" s="199"/>
      <c r="X876" s="199"/>
      <c r="Y876" s="199"/>
      <c r="Z876" s="199"/>
      <c r="AA876" s="199"/>
      <c r="AB876" s="199"/>
    </row>
    <row r="877" spans="1:28" ht="12.75">
      <c r="A877" s="199"/>
      <c r="B877" s="199"/>
      <c r="C877" s="199"/>
      <c r="D877" s="199"/>
      <c r="E877" s="199"/>
      <c r="F877" s="199"/>
      <c r="G877" s="244"/>
      <c r="H877" s="199"/>
      <c r="I877" s="199"/>
      <c r="J877" s="199"/>
      <c r="K877" s="199"/>
      <c r="L877" s="199"/>
      <c r="M877" s="199"/>
      <c r="N877" s="199"/>
      <c r="O877" s="199"/>
      <c r="P877" s="199"/>
      <c r="Q877" s="199"/>
      <c r="R877" s="199"/>
      <c r="S877" s="199"/>
      <c r="T877" s="199"/>
      <c r="U877" s="199"/>
      <c r="V877" s="199"/>
      <c r="W877" s="199"/>
      <c r="X877" s="199"/>
      <c r="Y877" s="199"/>
      <c r="Z877" s="199"/>
      <c r="AA877" s="199"/>
      <c r="AB877" s="199"/>
    </row>
    <row r="878" spans="1:28" ht="12.75">
      <c r="A878" s="199"/>
      <c r="B878" s="199"/>
      <c r="C878" s="199"/>
      <c r="D878" s="199"/>
      <c r="E878" s="199"/>
      <c r="F878" s="199"/>
      <c r="G878" s="244"/>
      <c r="H878" s="199"/>
      <c r="I878" s="199"/>
      <c r="J878" s="199"/>
      <c r="K878" s="199"/>
      <c r="L878" s="199"/>
      <c r="M878" s="199"/>
      <c r="N878" s="199"/>
      <c r="O878" s="199"/>
      <c r="P878" s="199"/>
      <c r="Q878" s="199"/>
      <c r="R878" s="199"/>
      <c r="S878" s="199"/>
      <c r="T878" s="199"/>
      <c r="U878" s="199"/>
      <c r="V878" s="199"/>
      <c r="W878" s="199"/>
      <c r="X878" s="199"/>
      <c r="Y878" s="199"/>
      <c r="Z878" s="199"/>
      <c r="AA878" s="199"/>
      <c r="AB878" s="199"/>
    </row>
    <row r="879" spans="1:28" ht="12.75">
      <c r="A879" s="199"/>
      <c r="B879" s="199"/>
      <c r="C879" s="199"/>
      <c r="D879" s="199"/>
      <c r="E879" s="199"/>
      <c r="F879" s="199"/>
      <c r="G879" s="244"/>
      <c r="H879" s="199"/>
      <c r="I879" s="199"/>
      <c r="J879" s="199"/>
      <c r="K879" s="199"/>
      <c r="L879" s="199"/>
      <c r="M879" s="199"/>
      <c r="N879" s="199"/>
      <c r="O879" s="199"/>
      <c r="P879" s="199"/>
      <c r="Q879" s="199"/>
      <c r="R879" s="199"/>
      <c r="S879" s="199"/>
      <c r="T879" s="199"/>
      <c r="U879" s="199"/>
      <c r="V879" s="199"/>
      <c r="W879" s="199"/>
      <c r="X879" s="199"/>
      <c r="Y879" s="199"/>
      <c r="Z879" s="199"/>
      <c r="AA879" s="199"/>
      <c r="AB879" s="199"/>
    </row>
    <row r="880" spans="1:28" ht="12.75">
      <c r="A880" s="199"/>
      <c r="B880" s="199"/>
      <c r="C880" s="199"/>
      <c r="D880" s="199"/>
      <c r="E880" s="199"/>
      <c r="F880" s="199"/>
      <c r="G880" s="244"/>
      <c r="H880" s="199"/>
      <c r="I880" s="199"/>
      <c r="J880" s="199"/>
      <c r="K880" s="199"/>
      <c r="L880" s="199"/>
      <c r="M880" s="199"/>
      <c r="N880" s="199"/>
      <c r="O880" s="199"/>
      <c r="P880" s="199"/>
      <c r="Q880" s="199"/>
      <c r="R880" s="199"/>
      <c r="S880" s="199"/>
      <c r="T880" s="199"/>
      <c r="U880" s="199"/>
      <c r="V880" s="199"/>
      <c r="W880" s="199"/>
      <c r="X880" s="199"/>
      <c r="Y880" s="199"/>
      <c r="Z880" s="199"/>
      <c r="AA880" s="199"/>
      <c r="AB880" s="199"/>
    </row>
    <row r="881" spans="1:28" ht="12.75">
      <c r="A881" s="199"/>
      <c r="B881" s="199"/>
      <c r="C881" s="199"/>
      <c r="D881" s="199"/>
      <c r="E881" s="199"/>
      <c r="F881" s="199"/>
      <c r="G881" s="244"/>
      <c r="H881" s="199"/>
      <c r="I881" s="199"/>
      <c r="J881" s="199"/>
      <c r="K881" s="199"/>
      <c r="L881" s="199"/>
      <c r="M881" s="199"/>
      <c r="N881" s="199"/>
      <c r="O881" s="199"/>
      <c r="P881" s="199"/>
      <c r="Q881" s="199"/>
      <c r="R881" s="199"/>
      <c r="S881" s="199"/>
      <c r="T881" s="199"/>
      <c r="U881" s="199"/>
      <c r="V881" s="199"/>
      <c r="W881" s="199"/>
      <c r="X881" s="199"/>
      <c r="Y881" s="199"/>
      <c r="Z881" s="199"/>
      <c r="AA881" s="199"/>
      <c r="AB881" s="199"/>
    </row>
    <row r="882" spans="1:28" ht="12.75">
      <c r="A882" s="199"/>
      <c r="B882" s="199"/>
      <c r="C882" s="199"/>
      <c r="D882" s="199"/>
      <c r="E882" s="199"/>
      <c r="F882" s="199"/>
      <c r="G882" s="244"/>
      <c r="H882" s="199"/>
      <c r="I882" s="199"/>
      <c r="J882" s="199"/>
      <c r="K882" s="199"/>
      <c r="L882" s="199"/>
      <c r="M882" s="199"/>
      <c r="N882" s="199"/>
      <c r="O882" s="199"/>
      <c r="P882" s="199"/>
      <c r="Q882" s="199"/>
      <c r="R882" s="199"/>
      <c r="S882" s="199"/>
      <c r="T882" s="199"/>
      <c r="U882" s="199"/>
      <c r="V882" s="199"/>
      <c r="W882" s="199"/>
      <c r="X882" s="199"/>
      <c r="Y882" s="199"/>
      <c r="Z882" s="199"/>
      <c r="AA882" s="199"/>
      <c r="AB882" s="199"/>
    </row>
    <row r="883" spans="1:28" ht="12.75">
      <c r="A883" s="199"/>
      <c r="B883" s="199"/>
      <c r="C883" s="199"/>
      <c r="D883" s="199"/>
      <c r="E883" s="199"/>
      <c r="F883" s="199"/>
      <c r="G883" s="244"/>
      <c r="H883" s="199"/>
      <c r="I883" s="199"/>
      <c r="J883" s="199"/>
      <c r="K883" s="199"/>
      <c r="L883" s="199"/>
      <c r="M883" s="199"/>
      <c r="N883" s="199"/>
      <c r="O883" s="199"/>
      <c r="P883" s="199"/>
      <c r="Q883" s="199"/>
      <c r="R883" s="199"/>
      <c r="S883" s="199"/>
      <c r="T883" s="199"/>
      <c r="U883" s="199"/>
      <c r="V883" s="199"/>
      <c r="W883" s="199"/>
      <c r="X883" s="199"/>
      <c r="Y883" s="199"/>
      <c r="Z883" s="199"/>
      <c r="AA883" s="199"/>
      <c r="AB883" s="199"/>
    </row>
    <row r="884" spans="1:28" ht="12.75">
      <c r="A884" s="199"/>
      <c r="B884" s="199"/>
      <c r="C884" s="199"/>
      <c r="D884" s="199"/>
      <c r="E884" s="199"/>
      <c r="F884" s="199"/>
      <c r="G884" s="244"/>
      <c r="H884" s="199"/>
      <c r="I884" s="199"/>
      <c r="J884" s="199"/>
      <c r="K884" s="199"/>
      <c r="L884" s="199"/>
      <c r="M884" s="199"/>
      <c r="N884" s="199"/>
      <c r="O884" s="199"/>
      <c r="P884" s="199"/>
      <c r="Q884" s="199"/>
      <c r="R884" s="199"/>
      <c r="S884" s="199"/>
      <c r="T884" s="199"/>
      <c r="U884" s="199"/>
      <c r="V884" s="199"/>
      <c r="W884" s="199"/>
      <c r="X884" s="199"/>
      <c r="Y884" s="199"/>
      <c r="Z884" s="199"/>
      <c r="AA884" s="199"/>
      <c r="AB884" s="199"/>
    </row>
    <row r="885" spans="1:28" ht="12.75">
      <c r="A885" s="199"/>
      <c r="B885" s="199"/>
      <c r="C885" s="199"/>
      <c r="D885" s="199"/>
      <c r="E885" s="199"/>
      <c r="F885" s="199"/>
      <c r="G885" s="244"/>
      <c r="H885" s="199"/>
      <c r="I885" s="199"/>
      <c r="J885" s="199"/>
      <c r="K885" s="199"/>
      <c r="L885" s="199"/>
      <c r="M885" s="199"/>
      <c r="N885" s="199"/>
      <c r="O885" s="199"/>
      <c r="P885" s="199"/>
      <c r="Q885" s="199"/>
      <c r="R885" s="199"/>
      <c r="S885" s="199"/>
      <c r="T885" s="199"/>
      <c r="U885" s="199"/>
      <c r="V885" s="199"/>
      <c r="W885" s="199"/>
      <c r="X885" s="199"/>
      <c r="Y885" s="199"/>
      <c r="Z885" s="199"/>
      <c r="AA885" s="199"/>
      <c r="AB885" s="199"/>
    </row>
    <row r="886" spans="1:28" ht="12.75">
      <c r="A886" s="199"/>
      <c r="B886" s="199"/>
      <c r="C886" s="199"/>
      <c r="D886" s="199"/>
      <c r="E886" s="199"/>
      <c r="F886" s="199"/>
      <c r="G886" s="244"/>
      <c r="H886" s="199"/>
      <c r="I886" s="199"/>
      <c r="J886" s="199"/>
      <c r="K886" s="199"/>
      <c r="L886" s="199"/>
      <c r="M886" s="199"/>
      <c r="N886" s="199"/>
      <c r="O886" s="199"/>
      <c r="P886" s="199"/>
      <c r="Q886" s="199"/>
      <c r="R886" s="199"/>
      <c r="S886" s="199"/>
      <c r="T886" s="199"/>
      <c r="U886" s="199"/>
      <c r="V886" s="199"/>
      <c r="W886" s="199"/>
      <c r="X886" s="199"/>
      <c r="Y886" s="199"/>
      <c r="Z886" s="199"/>
      <c r="AA886" s="199"/>
      <c r="AB886" s="199"/>
    </row>
    <row r="887" spans="1:28" ht="12.75">
      <c r="A887" s="199"/>
      <c r="B887" s="199"/>
      <c r="C887" s="199"/>
      <c r="D887" s="199"/>
      <c r="E887" s="199"/>
      <c r="F887" s="199"/>
      <c r="G887" s="244"/>
      <c r="H887" s="199"/>
      <c r="I887" s="199"/>
      <c r="J887" s="199"/>
      <c r="K887" s="199"/>
      <c r="L887" s="199"/>
      <c r="M887" s="199"/>
      <c r="N887" s="199"/>
      <c r="O887" s="199"/>
      <c r="P887" s="199"/>
      <c r="Q887" s="199"/>
      <c r="R887" s="199"/>
      <c r="S887" s="199"/>
      <c r="T887" s="199"/>
      <c r="U887" s="199"/>
      <c r="V887" s="199"/>
      <c r="W887" s="199"/>
      <c r="X887" s="199"/>
      <c r="Y887" s="199"/>
      <c r="Z887" s="199"/>
      <c r="AA887" s="199"/>
      <c r="AB887" s="199"/>
    </row>
    <row r="888" spans="1:28" ht="12.75">
      <c r="A888" s="199"/>
      <c r="B888" s="199"/>
      <c r="C888" s="199"/>
      <c r="D888" s="199"/>
      <c r="E888" s="199"/>
      <c r="F888" s="199"/>
      <c r="G888" s="244"/>
      <c r="H888" s="199"/>
      <c r="I888" s="199"/>
      <c r="J888" s="199"/>
      <c r="K888" s="199"/>
      <c r="L888" s="199"/>
      <c r="M888" s="199"/>
      <c r="N888" s="199"/>
      <c r="O888" s="199"/>
      <c r="P888" s="199"/>
      <c r="Q888" s="199"/>
      <c r="R888" s="199"/>
      <c r="S888" s="199"/>
      <c r="T888" s="199"/>
      <c r="U888" s="199"/>
      <c r="V888" s="199"/>
      <c r="W888" s="199"/>
      <c r="X888" s="199"/>
      <c r="Y888" s="199"/>
      <c r="Z888" s="199"/>
      <c r="AA888" s="199"/>
      <c r="AB888" s="199"/>
    </row>
    <row r="889" spans="1:28" ht="12.75">
      <c r="A889" s="199"/>
      <c r="B889" s="199"/>
      <c r="C889" s="199"/>
      <c r="D889" s="199"/>
      <c r="E889" s="199"/>
      <c r="F889" s="199"/>
      <c r="G889" s="244"/>
      <c r="H889" s="199"/>
      <c r="I889" s="199"/>
      <c r="J889" s="199"/>
      <c r="K889" s="199"/>
      <c r="L889" s="199"/>
      <c r="M889" s="199"/>
      <c r="N889" s="199"/>
      <c r="O889" s="199"/>
      <c r="P889" s="199"/>
      <c r="Q889" s="199"/>
      <c r="R889" s="199"/>
      <c r="S889" s="199"/>
      <c r="T889" s="199"/>
      <c r="U889" s="199"/>
      <c r="V889" s="199"/>
      <c r="W889" s="199"/>
      <c r="X889" s="199"/>
      <c r="Y889" s="199"/>
      <c r="Z889" s="199"/>
      <c r="AA889" s="199"/>
      <c r="AB889" s="199"/>
    </row>
    <row r="890" spans="1:28" ht="12.75">
      <c r="A890" s="199"/>
      <c r="B890" s="199"/>
      <c r="C890" s="199"/>
      <c r="D890" s="199"/>
      <c r="E890" s="199"/>
      <c r="F890" s="199"/>
      <c r="G890" s="244"/>
      <c r="H890" s="199"/>
      <c r="I890" s="199"/>
      <c r="J890" s="199"/>
      <c r="K890" s="199"/>
      <c r="L890" s="199"/>
      <c r="M890" s="199"/>
      <c r="N890" s="199"/>
      <c r="O890" s="199"/>
      <c r="P890" s="199"/>
      <c r="Q890" s="199"/>
      <c r="R890" s="199"/>
      <c r="S890" s="199"/>
      <c r="T890" s="199"/>
      <c r="U890" s="199"/>
      <c r="V890" s="199"/>
      <c r="W890" s="199"/>
      <c r="X890" s="199"/>
      <c r="Y890" s="199"/>
      <c r="Z890" s="199"/>
      <c r="AA890" s="199"/>
      <c r="AB890" s="199"/>
    </row>
    <row r="891" spans="1:28" ht="12.75">
      <c r="A891" s="199"/>
      <c r="B891" s="199"/>
      <c r="C891" s="199"/>
      <c r="D891" s="199"/>
      <c r="E891" s="199"/>
      <c r="F891" s="199"/>
      <c r="G891" s="244"/>
      <c r="H891" s="199"/>
      <c r="I891" s="199"/>
      <c r="J891" s="199"/>
      <c r="K891" s="199"/>
      <c r="L891" s="199"/>
      <c r="M891" s="199"/>
      <c r="N891" s="199"/>
      <c r="O891" s="199"/>
      <c r="P891" s="199"/>
      <c r="Q891" s="199"/>
      <c r="R891" s="199"/>
      <c r="S891" s="199"/>
      <c r="T891" s="199"/>
      <c r="U891" s="199"/>
      <c r="V891" s="199"/>
      <c r="W891" s="199"/>
      <c r="X891" s="199"/>
      <c r="Y891" s="199"/>
      <c r="Z891" s="199"/>
      <c r="AA891" s="199"/>
      <c r="AB891" s="199"/>
    </row>
    <row r="892" spans="1:28" ht="12.75">
      <c r="A892" s="199"/>
      <c r="B892" s="199"/>
      <c r="C892" s="199"/>
      <c r="D892" s="199"/>
      <c r="E892" s="199"/>
      <c r="F892" s="199"/>
      <c r="G892" s="244"/>
      <c r="H892" s="199"/>
      <c r="I892" s="199"/>
      <c r="J892" s="199"/>
      <c r="K892" s="199"/>
      <c r="L892" s="199"/>
      <c r="M892" s="199"/>
      <c r="N892" s="199"/>
      <c r="O892" s="199"/>
      <c r="P892" s="199"/>
      <c r="Q892" s="199"/>
      <c r="R892" s="199"/>
      <c r="S892" s="199"/>
      <c r="T892" s="199"/>
      <c r="U892" s="199"/>
      <c r="V892" s="199"/>
      <c r="W892" s="199"/>
      <c r="X892" s="199"/>
      <c r="Y892" s="199"/>
      <c r="Z892" s="199"/>
      <c r="AA892" s="199"/>
      <c r="AB892" s="199"/>
    </row>
    <row r="893" spans="1:28" ht="12.75">
      <c r="A893" s="199"/>
      <c r="B893" s="199"/>
      <c r="C893" s="199"/>
      <c r="D893" s="199"/>
      <c r="E893" s="199"/>
      <c r="F893" s="199"/>
      <c r="G893" s="244"/>
      <c r="H893" s="199"/>
      <c r="I893" s="199"/>
      <c r="J893" s="199"/>
      <c r="K893" s="199"/>
      <c r="L893" s="199"/>
      <c r="M893" s="199"/>
      <c r="N893" s="199"/>
      <c r="O893" s="199"/>
      <c r="P893" s="199"/>
      <c r="Q893" s="199"/>
      <c r="R893" s="199"/>
      <c r="S893" s="199"/>
      <c r="T893" s="199"/>
      <c r="U893" s="199"/>
      <c r="V893" s="199"/>
      <c r="W893" s="199"/>
      <c r="X893" s="199"/>
      <c r="Y893" s="199"/>
      <c r="Z893" s="199"/>
      <c r="AA893" s="199"/>
      <c r="AB893" s="199"/>
    </row>
    <row r="894" spans="1:28" ht="12.75">
      <c r="A894" s="199"/>
      <c r="B894" s="199"/>
      <c r="C894" s="199"/>
      <c r="D894" s="199"/>
      <c r="E894" s="199"/>
      <c r="F894" s="199"/>
      <c r="G894" s="244"/>
      <c r="H894" s="199"/>
      <c r="I894" s="199"/>
      <c r="J894" s="199"/>
      <c r="K894" s="199"/>
      <c r="L894" s="199"/>
      <c r="M894" s="199"/>
      <c r="N894" s="199"/>
      <c r="O894" s="199"/>
      <c r="P894" s="199"/>
      <c r="Q894" s="199"/>
      <c r="R894" s="199"/>
      <c r="S894" s="199"/>
      <c r="T894" s="199"/>
      <c r="U894" s="199"/>
      <c r="V894" s="199"/>
      <c r="W894" s="199"/>
      <c r="X894" s="199"/>
      <c r="Y894" s="199"/>
      <c r="Z894" s="199"/>
      <c r="AA894" s="199"/>
      <c r="AB894" s="199"/>
    </row>
    <row r="895" spans="1:28" ht="12.75">
      <c r="A895" s="199"/>
      <c r="B895" s="199"/>
      <c r="C895" s="199"/>
      <c r="D895" s="199"/>
      <c r="E895" s="199"/>
      <c r="F895" s="199"/>
      <c r="G895" s="244"/>
      <c r="H895" s="199"/>
      <c r="I895" s="199"/>
      <c r="J895" s="199"/>
      <c r="K895" s="199"/>
      <c r="L895" s="199"/>
      <c r="M895" s="199"/>
      <c r="N895" s="199"/>
      <c r="O895" s="199"/>
      <c r="P895" s="199"/>
      <c r="Q895" s="199"/>
      <c r="R895" s="199"/>
      <c r="S895" s="199"/>
      <c r="T895" s="199"/>
      <c r="U895" s="199"/>
      <c r="V895" s="199"/>
      <c r="W895" s="199"/>
      <c r="X895" s="199"/>
      <c r="Y895" s="199"/>
      <c r="Z895" s="199"/>
      <c r="AA895" s="199"/>
      <c r="AB895" s="199"/>
    </row>
    <row r="896" spans="1:28" ht="12.75">
      <c r="A896" s="199"/>
      <c r="B896" s="199"/>
      <c r="C896" s="199"/>
      <c r="D896" s="199"/>
      <c r="E896" s="199"/>
      <c r="F896" s="199"/>
      <c r="G896" s="244"/>
      <c r="H896" s="199"/>
      <c r="I896" s="199"/>
      <c r="J896" s="199"/>
      <c r="K896" s="199"/>
      <c r="L896" s="199"/>
      <c r="M896" s="199"/>
      <c r="N896" s="199"/>
      <c r="O896" s="199"/>
      <c r="P896" s="199"/>
      <c r="Q896" s="199"/>
      <c r="R896" s="199"/>
      <c r="S896" s="199"/>
      <c r="T896" s="199"/>
      <c r="U896" s="199"/>
      <c r="V896" s="199"/>
      <c r="W896" s="199"/>
      <c r="X896" s="199"/>
      <c r="Y896" s="199"/>
      <c r="Z896" s="199"/>
      <c r="AA896" s="199"/>
      <c r="AB896" s="199"/>
    </row>
    <row r="897" spans="1:28" ht="12.75">
      <c r="A897" s="199"/>
      <c r="B897" s="199"/>
      <c r="C897" s="199"/>
      <c r="D897" s="199"/>
      <c r="E897" s="199"/>
      <c r="F897" s="199"/>
      <c r="G897" s="244"/>
      <c r="H897" s="199"/>
      <c r="I897" s="199"/>
      <c r="J897" s="199"/>
      <c r="K897" s="199"/>
      <c r="L897" s="199"/>
      <c r="M897" s="199"/>
      <c r="N897" s="199"/>
      <c r="O897" s="199"/>
      <c r="P897" s="199"/>
      <c r="Q897" s="199"/>
      <c r="R897" s="199"/>
      <c r="S897" s="199"/>
      <c r="T897" s="199"/>
      <c r="U897" s="199"/>
      <c r="V897" s="199"/>
      <c r="W897" s="199"/>
      <c r="X897" s="199"/>
      <c r="Y897" s="199"/>
      <c r="Z897" s="199"/>
      <c r="AA897" s="199"/>
      <c r="AB897" s="199"/>
    </row>
    <row r="898" spans="1:28" ht="12.75">
      <c r="A898" s="199"/>
      <c r="B898" s="199"/>
      <c r="C898" s="199"/>
      <c r="D898" s="199"/>
      <c r="E898" s="199"/>
      <c r="F898" s="199"/>
      <c r="G898" s="244"/>
      <c r="H898" s="199"/>
      <c r="I898" s="199"/>
      <c r="J898" s="199"/>
      <c r="K898" s="199"/>
      <c r="L898" s="199"/>
      <c r="M898" s="199"/>
      <c r="N898" s="199"/>
      <c r="O898" s="199"/>
      <c r="P898" s="199"/>
      <c r="Q898" s="199"/>
      <c r="R898" s="199"/>
      <c r="S898" s="199"/>
      <c r="T898" s="199"/>
      <c r="U898" s="199"/>
      <c r="V898" s="199"/>
      <c r="W898" s="199"/>
      <c r="X898" s="199"/>
      <c r="Y898" s="199"/>
      <c r="Z898" s="199"/>
      <c r="AA898" s="199"/>
      <c r="AB898" s="199"/>
    </row>
    <row r="899" spans="1:28" ht="12.75">
      <c r="A899" s="199"/>
      <c r="B899" s="199"/>
      <c r="C899" s="199"/>
      <c r="D899" s="199"/>
      <c r="E899" s="199"/>
      <c r="F899" s="199"/>
      <c r="G899" s="244"/>
      <c r="H899" s="199"/>
      <c r="I899" s="199"/>
      <c r="J899" s="199"/>
      <c r="K899" s="199"/>
      <c r="L899" s="199"/>
      <c r="M899" s="199"/>
      <c r="N899" s="199"/>
      <c r="O899" s="199"/>
      <c r="P899" s="199"/>
      <c r="Q899" s="199"/>
      <c r="R899" s="199"/>
      <c r="S899" s="199"/>
      <c r="T899" s="199"/>
      <c r="U899" s="199"/>
      <c r="V899" s="199"/>
      <c r="W899" s="199"/>
      <c r="X899" s="199"/>
      <c r="Y899" s="199"/>
      <c r="Z899" s="199"/>
      <c r="AA899" s="199"/>
      <c r="AB899" s="199"/>
    </row>
    <row r="900" spans="1:28" ht="12.75">
      <c r="A900" s="199"/>
      <c r="B900" s="199"/>
      <c r="C900" s="199"/>
      <c r="D900" s="199"/>
      <c r="E900" s="199"/>
      <c r="F900" s="199"/>
      <c r="G900" s="244"/>
      <c r="H900" s="199"/>
      <c r="I900" s="199"/>
      <c r="J900" s="199"/>
      <c r="K900" s="199"/>
      <c r="L900" s="199"/>
      <c r="M900" s="199"/>
      <c r="N900" s="199"/>
      <c r="O900" s="199"/>
      <c r="P900" s="199"/>
      <c r="Q900" s="199"/>
      <c r="R900" s="199"/>
      <c r="S900" s="199"/>
      <c r="T900" s="199"/>
      <c r="U900" s="199"/>
      <c r="V900" s="199"/>
      <c r="W900" s="199"/>
      <c r="X900" s="199"/>
      <c r="Y900" s="199"/>
      <c r="Z900" s="199"/>
      <c r="AA900" s="199"/>
      <c r="AB900" s="199"/>
    </row>
    <row r="901" spans="1:28" ht="12.75">
      <c r="A901" s="199"/>
      <c r="B901" s="199"/>
      <c r="C901" s="199"/>
      <c r="D901" s="199"/>
      <c r="E901" s="199"/>
      <c r="F901" s="199"/>
      <c r="G901" s="244"/>
      <c r="H901" s="199"/>
      <c r="I901" s="199"/>
      <c r="J901" s="199"/>
      <c r="K901" s="199"/>
      <c r="L901" s="199"/>
      <c r="M901" s="199"/>
      <c r="N901" s="199"/>
      <c r="O901" s="199"/>
      <c r="P901" s="199"/>
      <c r="Q901" s="199"/>
      <c r="R901" s="199"/>
      <c r="S901" s="199"/>
      <c r="T901" s="199"/>
      <c r="U901" s="199"/>
      <c r="V901" s="199"/>
      <c r="W901" s="199"/>
      <c r="X901" s="199"/>
      <c r="Y901" s="199"/>
      <c r="Z901" s="199"/>
      <c r="AA901" s="199"/>
      <c r="AB901" s="199"/>
    </row>
    <row r="902" spans="1:28" ht="12.75">
      <c r="A902" s="199"/>
      <c r="B902" s="199"/>
      <c r="C902" s="199"/>
      <c r="D902" s="199"/>
      <c r="E902" s="199"/>
      <c r="F902" s="199"/>
      <c r="G902" s="244"/>
      <c r="H902" s="199"/>
      <c r="I902" s="199"/>
      <c r="J902" s="199"/>
      <c r="K902" s="199"/>
      <c r="L902" s="199"/>
      <c r="M902" s="199"/>
      <c r="N902" s="199"/>
      <c r="O902" s="199"/>
      <c r="P902" s="199"/>
      <c r="Q902" s="199"/>
      <c r="R902" s="199"/>
      <c r="S902" s="199"/>
      <c r="T902" s="199"/>
      <c r="U902" s="199"/>
      <c r="V902" s="199"/>
      <c r="W902" s="199"/>
      <c r="X902" s="199"/>
      <c r="Y902" s="199"/>
      <c r="Z902" s="199"/>
      <c r="AA902" s="199"/>
      <c r="AB902" s="199"/>
    </row>
    <row r="903" spans="1:28" ht="12.75">
      <c r="A903" s="199"/>
      <c r="B903" s="199"/>
      <c r="C903" s="199"/>
      <c r="D903" s="199"/>
      <c r="E903" s="199"/>
      <c r="F903" s="199"/>
      <c r="G903" s="244"/>
      <c r="H903" s="199"/>
      <c r="I903" s="199"/>
      <c r="J903" s="199"/>
      <c r="K903" s="199"/>
      <c r="L903" s="199"/>
      <c r="M903" s="199"/>
      <c r="N903" s="199"/>
      <c r="O903" s="199"/>
      <c r="P903" s="199"/>
      <c r="Q903" s="199"/>
      <c r="R903" s="199"/>
      <c r="S903" s="199"/>
      <c r="T903" s="199"/>
      <c r="U903" s="199"/>
      <c r="V903" s="199"/>
      <c r="W903" s="199"/>
      <c r="X903" s="199"/>
      <c r="Y903" s="199"/>
      <c r="Z903" s="199"/>
      <c r="AA903" s="199"/>
      <c r="AB903" s="199"/>
    </row>
    <row r="904" spans="1:28" ht="12.75">
      <c r="A904" s="199"/>
      <c r="B904" s="199"/>
      <c r="C904" s="199"/>
      <c r="D904" s="199"/>
      <c r="E904" s="199"/>
      <c r="F904" s="199"/>
      <c r="G904" s="244"/>
      <c r="H904" s="199"/>
      <c r="I904" s="199"/>
      <c r="J904" s="199"/>
      <c r="K904" s="199"/>
      <c r="L904" s="199"/>
      <c r="M904" s="199"/>
      <c r="N904" s="199"/>
      <c r="O904" s="199"/>
      <c r="P904" s="199"/>
      <c r="Q904" s="199"/>
      <c r="R904" s="199"/>
      <c r="S904" s="199"/>
      <c r="T904" s="199"/>
      <c r="U904" s="199"/>
      <c r="V904" s="199"/>
      <c r="W904" s="199"/>
      <c r="X904" s="199"/>
      <c r="Y904" s="199"/>
      <c r="Z904" s="199"/>
      <c r="AA904" s="199"/>
      <c r="AB904" s="199"/>
    </row>
    <row r="905" spans="1:28" ht="12.75">
      <c r="A905" s="199"/>
      <c r="B905" s="199"/>
      <c r="C905" s="199"/>
      <c r="D905" s="199"/>
      <c r="E905" s="199"/>
      <c r="F905" s="199"/>
      <c r="G905" s="244"/>
      <c r="H905" s="199"/>
      <c r="I905" s="199"/>
      <c r="J905" s="199"/>
      <c r="K905" s="199"/>
      <c r="L905" s="199"/>
      <c r="M905" s="199"/>
      <c r="N905" s="199"/>
      <c r="O905" s="199"/>
      <c r="P905" s="199"/>
      <c r="Q905" s="199"/>
      <c r="R905" s="199"/>
      <c r="S905" s="199"/>
      <c r="T905" s="199"/>
      <c r="U905" s="199"/>
      <c r="V905" s="199"/>
      <c r="W905" s="199"/>
      <c r="X905" s="199"/>
      <c r="Y905" s="199"/>
      <c r="Z905" s="199"/>
      <c r="AA905" s="199"/>
      <c r="AB905" s="199"/>
    </row>
    <row r="906" spans="1:28" ht="12.75">
      <c r="A906" s="199"/>
      <c r="B906" s="199"/>
      <c r="C906" s="199"/>
      <c r="D906" s="199"/>
      <c r="E906" s="199"/>
      <c r="F906" s="199"/>
      <c r="G906" s="244"/>
      <c r="H906" s="199"/>
      <c r="I906" s="199"/>
      <c r="J906" s="199"/>
      <c r="K906" s="199"/>
      <c r="L906" s="199"/>
      <c r="M906" s="199"/>
      <c r="N906" s="199"/>
      <c r="O906" s="199"/>
      <c r="P906" s="199"/>
      <c r="Q906" s="199"/>
      <c r="R906" s="199"/>
      <c r="S906" s="199"/>
      <c r="T906" s="199"/>
      <c r="U906" s="199"/>
      <c r="V906" s="199"/>
      <c r="W906" s="199"/>
      <c r="X906" s="199"/>
      <c r="Y906" s="199"/>
      <c r="Z906" s="199"/>
      <c r="AA906" s="199"/>
      <c r="AB906" s="199"/>
    </row>
    <row r="907" spans="1:28" ht="12.75">
      <c r="A907" s="199"/>
      <c r="B907" s="199"/>
      <c r="C907" s="199"/>
      <c r="D907" s="199"/>
      <c r="E907" s="199"/>
      <c r="F907" s="199"/>
      <c r="G907" s="244"/>
      <c r="H907" s="199"/>
      <c r="I907" s="199"/>
      <c r="J907" s="199"/>
      <c r="K907" s="199"/>
      <c r="L907" s="199"/>
      <c r="M907" s="199"/>
      <c r="N907" s="199"/>
      <c r="O907" s="199"/>
      <c r="P907" s="199"/>
      <c r="Q907" s="199"/>
      <c r="R907" s="199"/>
      <c r="S907" s="199"/>
      <c r="T907" s="199"/>
      <c r="U907" s="199"/>
      <c r="V907" s="199"/>
      <c r="W907" s="199"/>
      <c r="X907" s="199"/>
      <c r="Y907" s="199"/>
      <c r="Z907" s="199"/>
      <c r="AA907" s="199"/>
      <c r="AB907" s="199"/>
    </row>
    <row r="908" spans="1:28" ht="12.75">
      <c r="A908" s="199"/>
      <c r="B908" s="199"/>
      <c r="C908" s="199"/>
      <c r="D908" s="199"/>
      <c r="E908" s="199"/>
      <c r="F908" s="199"/>
      <c r="G908" s="244"/>
      <c r="H908" s="199"/>
      <c r="I908" s="199"/>
      <c r="J908" s="199"/>
      <c r="K908" s="199"/>
      <c r="L908" s="199"/>
      <c r="M908" s="199"/>
      <c r="N908" s="199"/>
      <c r="O908" s="199"/>
      <c r="P908" s="199"/>
      <c r="Q908" s="199"/>
      <c r="R908" s="199"/>
      <c r="S908" s="199"/>
      <c r="T908" s="199"/>
      <c r="U908" s="199"/>
      <c r="V908" s="199"/>
      <c r="W908" s="199"/>
      <c r="X908" s="199"/>
      <c r="Y908" s="199"/>
      <c r="Z908" s="199"/>
      <c r="AA908" s="199"/>
      <c r="AB908" s="199"/>
    </row>
    <row r="909" spans="1:28" ht="12.75">
      <c r="A909" s="199"/>
      <c r="B909" s="199"/>
      <c r="C909" s="199"/>
      <c r="D909" s="199"/>
      <c r="E909" s="199"/>
      <c r="F909" s="199"/>
      <c r="G909" s="244"/>
      <c r="H909" s="199"/>
      <c r="I909" s="199"/>
      <c r="J909" s="199"/>
      <c r="K909" s="199"/>
      <c r="L909" s="199"/>
      <c r="M909" s="199"/>
      <c r="N909" s="199"/>
      <c r="O909" s="199"/>
      <c r="P909" s="199"/>
      <c r="Q909" s="199"/>
      <c r="R909" s="199"/>
      <c r="S909" s="199"/>
      <c r="T909" s="199"/>
      <c r="U909" s="199"/>
      <c r="V909" s="199"/>
      <c r="W909" s="199"/>
      <c r="X909" s="199"/>
      <c r="Y909" s="199"/>
      <c r="Z909" s="199"/>
      <c r="AA909" s="199"/>
      <c r="AB909" s="199"/>
    </row>
    <row r="910" spans="1:28" ht="12.75">
      <c r="A910" s="199"/>
      <c r="B910" s="199"/>
      <c r="C910" s="199"/>
      <c r="D910" s="199"/>
      <c r="E910" s="199"/>
      <c r="F910" s="199"/>
      <c r="G910" s="244"/>
      <c r="H910" s="199"/>
      <c r="I910" s="199"/>
      <c r="J910" s="199"/>
      <c r="K910" s="199"/>
      <c r="L910" s="199"/>
      <c r="M910" s="199"/>
      <c r="N910" s="199"/>
      <c r="O910" s="199"/>
      <c r="P910" s="199"/>
      <c r="Q910" s="199"/>
      <c r="R910" s="199"/>
      <c r="S910" s="199"/>
      <c r="T910" s="199"/>
      <c r="U910" s="199"/>
      <c r="V910" s="199"/>
      <c r="W910" s="199"/>
      <c r="X910" s="199"/>
      <c r="Y910" s="199"/>
      <c r="Z910" s="199"/>
      <c r="AA910" s="199"/>
      <c r="AB910" s="199"/>
    </row>
    <row r="911" spans="1:28" ht="12.75">
      <c r="A911" s="199"/>
      <c r="B911" s="199"/>
      <c r="C911" s="199"/>
      <c r="D911" s="199"/>
      <c r="E911" s="199"/>
      <c r="F911" s="199"/>
      <c r="G911" s="244"/>
      <c r="H911" s="199"/>
      <c r="I911" s="199"/>
      <c r="J911" s="199"/>
      <c r="K911" s="199"/>
      <c r="L911" s="199"/>
      <c r="M911" s="199"/>
      <c r="N911" s="199"/>
      <c r="O911" s="199"/>
      <c r="P911" s="199"/>
      <c r="Q911" s="199"/>
      <c r="R911" s="199"/>
      <c r="S911" s="199"/>
      <c r="T911" s="199"/>
      <c r="U911" s="199"/>
      <c r="V911" s="199"/>
      <c r="W911" s="199"/>
      <c r="X911" s="199"/>
      <c r="Y911" s="199"/>
      <c r="Z911" s="199"/>
      <c r="AA911" s="199"/>
      <c r="AB911" s="199"/>
    </row>
    <row r="912" spans="1:28" ht="12.75">
      <c r="A912" s="199"/>
      <c r="B912" s="199"/>
      <c r="C912" s="199"/>
      <c r="D912" s="199"/>
      <c r="E912" s="199"/>
      <c r="F912" s="199"/>
      <c r="G912" s="244"/>
      <c r="H912" s="199"/>
      <c r="I912" s="199"/>
      <c r="J912" s="199"/>
      <c r="K912" s="199"/>
      <c r="L912" s="199"/>
      <c r="M912" s="199"/>
      <c r="N912" s="199"/>
      <c r="O912" s="199"/>
      <c r="P912" s="199"/>
      <c r="Q912" s="199"/>
      <c r="R912" s="199"/>
      <c r="S912" s="199"/>
      <c r="T912" s="199"/>
      <c r="U912" s="199"/>
      <c r="V912" s="199"/>
      <c r="W912" s="199"/>
      <c r="X912" s="199"/>
      <c r="Y912" s="199"/>
      <c r="Z912" s="199"/>
      <c r="AA912" s="199"/>
      <c r="AB912" s="199"/>
    </row>
    <row r="913" spans="1:28" ht="12.75">
      <c r="A913" s="199"/>
      <c r="B913" s="199"/>
      <c r="C913" s="199"/>
      <c r="D913" s="199"/>
      <c r="E913" s="199"/>
      <c r="F913" s="199"/>
      <c r="G913" s="244"/>
      <c r="H913" s="199"/>
      <c r="I913" s="199"/>
      <c r="J913" s="199"/>
      <c r="K913" s="199"/>
      <c r="L913" s="199"/>
      <c r="M913" s="199"/>
      <c r="N913" s="199"/>
      <c r="O913" s="199"/>
      <c r="P913" s="199"/>
      <c r="Q913" s="199"/>
      <c r="R913" s="199"/>
      <c r="S913" s="199"/>
      <c r="T913" s="199"/>
      <c r="U913" s="199"/>
      <c r="V913" s="199"/>
      <c r="W913" s="199"/>
      <c r="X913" s="199"/>
      <c r="Y913" s="199"/>
      <c r="Z913" s="199"/>
      <c r="AA913" s="199"/>
      <c r="AB913" s="199"/>
    </row>
    <row r="914" spans="1:28" ht="12.75">
      <c r="A914" s="199"/>
      <c r="B914" s="199"/>
      <c r="C914" s="199"/>
      <c r="D914" s="199"/>
      <c r="E914" s="199"/>
      <c r="F914" s="199"/>
      <c r="G914" s="244"/>
      <c r="H914" s="199"/>
      <c r="I914" s="199"/>
      <c r="J914" s="199"/>
      <c r="K914" s="199"/>
      <c r="L914" s="199"/>
      <c r="M914" s="199"/>
      <c r="N914" s="199"/>
      <c r="O914" s="199"/>
      <c r="P914" s="199"/>
      <c r="Q914" s="199"/>
      <c r="R914" s="199"/>
      <c r="S914" s="199"/>
      <c r="T914" s="199"/>
      <c r="U914" s="199"/>
      <c r="V914" s="199"/>
      <c r="W914" s="199"/>
      <c r="X914" s="199"/>
      <c r="Y914" s="199"/>
      <c r="Z914" s="199"/>
      <c r="AA914" s="199"/>
      <c r="AB914" s="199"/>
    </row>
    <row r="915" spans="1:28" ht="12.75">
      <c r="A915" s="199"/>
      <c r="B915" s="199"/>
      <c r="C915" s="199"/>
      <c r="D915" s="199"/>
      <c r="E915" s="199"/>
      <c r="F915" s="199"/>
      <c r="G915" s="244"/>
      <c r="H915" s="199"/>
      <c r="I915" s="199"/>
      <c r="J915" s="199"/>
      <c r="K915" s="199"/>
      <c r="L915" s="199"/>
      <c r="M915" s="199"/>
      <c r="N915" s="199"/>
      <c r="O915" s="199"/>
      <c r="P915" s="199"/>
      <c r="Q915" s="199"/>
      <c r="R915" s="199"/>
      <c r="S915" s="199"/>
      <c r="T915" s="199"/>
      <c r="U915" s="199"/>
      <c r="V915" s="199"/>
      <c r="W915" s="199"/>
      <c r="X915" s="199"/>
      <c r="Y915" s="199"/>
      <c r="Z915" s="199"/>
      <c r="AA915" s="199"/>
      <c r="AB915" s="199"/>
    </row>
    <row r="916" spans="1:28" ht="12.75">
      <c r="A916" s="199"/>
      <c r="B916" s="199"/>
      <c r="C916" s="199"/>
      <c r="D916" s="199"/>
      <c r="E916" s="199"/>
      <c r="F916" s="199"/>
      <c r="G916" s="244"/>
      <c r="H916" s="199"/>
      <c r="I916" s="199"/>
      <c r="J916" s="199"/>
      <c r="K916" s="199"/>
      <c r="L916" s="199"/>
      <c r="M916" s="199"/>
      <c r="N916" s="199"/>
      <c r="O916" s="199"/>
      <c r="P916" s="199"/>
      <c r="Q916" s="199"/>
      <c r="R916" s="199"/>
      <c r="S916" s="199"/>
      <c r="T916" s="199"/>
      <c r="U916" s="199"/>
      <c r="V916" s="199"/>
      <c r="W916" s="199"/>
      <c r="X916" s="199"/>
      <c r="Y916" s="199"/>
      <c r="Z916" s="199"/>
      <c r="AA916" s="199"/>
      <c r="AB916" s="199"/>
    </row>
    <row r="917" spans="1:28" ht="12.75">
      <c r="A917" s="199"/>
      <c r="B917" s="199"/>
      <c r="C917" s="199"/>
      <c r="D917" s="199"/>
      <c r="E917" s="199"/>
      <c r="F917" s="199"/>
      <c r="G917" s="244"/>
      <c r="H917" s="199"/>
      <c r="I917" s="199"/>
      <c r="J917" s="199"/>
      <c r="K917" s="199"/>
      <c r="L917" s="199"/>
      <c r="M917" s="199"/>
      <c r="N917" s="199"/>
      <c r="O917" s="199"/>
      <c r="P917" s="199"/>
      <c r="Q917" s="199"/>
      <c r="R917" s="199"/>
      <c r="S917" s="199"/>
      <c r="T917" s="199"/>
      <c r="U917" s="199"/>
      <c r="V917" s="199"/>
      <c r="W917" s="199"/>
      <c r="X917" s="199"/>
      <c r="Y917" s="199"/>
      <c r="Z917" s="199"/>
      <c r="AA917" s="199"/>
      <c r="AB917" s="199"/>
    </row>
    <row r="918" spans="1:28" ht="12.75">
      <c r="A918" s="199"/>
      <c r="B918" s="199"/>
      <c r="C918" s="199"/>
      <c r="D918" s="199"/>
      <c r="E918" s="199"/>
      <c r="F918" s="199"/>
      <c r="G918" s="244"/>
      <c r="H918" s="199"/>
      <c r="I918" s="199"/>
      <c r="J918" s="199"/>
      <c r="K918" s="199"/>
      <c r="L918" s="199"/>
      <c r="M918" s="199"/>
      <c r="N918" s="199"/>
      <c r="O918" s="199"/>
      <c r="P918" s="199"/>
      <c r="Q918" s="199"/>
      <c r="R918" s="199"/>
      <c r="S918" s="199"/>
      <c r="T918" s="199"/>
      <c r="U918" s="199"/>
      <c r="V918" s="199"/>
      <c r="W918" s="199"/>
      <c r="X918" s="199"/>
      <c r="Y918" s="199"/>
      <c r="Z918" s="199"/>
      <c r="AA918" s="199"/>
      <c r="AB918" s="199"/>
    </row>
    <row r="919" spans="1:28" ht="12.75">
      <c r="A919" s="199"/>
      <c r="B919" s="199"/>
      <c r="C919" s="199"/>
      <c r="D919" s="199"/>
      <c r="E919" s="199"/>
      <c r="F919" s="199"/>
      <c r="G919" s="244"/>
      <c r="H919" s="199"/>
      <c r="I919" s="199"/>
      <c r="J919" s="199"/>
      <c r="K919" s="199"/>
      <c r="L919" s="199"/>
      <c r="M919" s="199"/>
      <c r="N919" s="199"/>
      <c r="O919" s="199"/>
      <c r="P919" s="199"/>
      <c r="Q919" s="199"/>
      <c r="R919" s="199"/>
      <c r="S919" s="199"/>
      <c r="T919" s="199"/>
      <c r="U919" s="199"/>
      <c r="V919" s="199"/>
      <c r="W919" s="199"/>
      <c r="X919" s="199"/>
      <c r="Y919" s="199"/>
      <c r="Z919" s="199"/>
      <c r="AA919" s="199"/>
      <c r="AB919" s="199"/>
    </row>
    <row r="920" spans="1:28" ht="12.75">
      <c r="A920" s="199"/>
      <c r="B920" s="199"/>
      <c r="C920" s="199"/>
      <c r="D920" s="199"/>
      <c r="E920" s="199"/>
      <c r="F920" s="199"/>
      <c r="G920" s="244"/>
      <c r="H920" s="199"/>
      <c r="I920" s="199"/>
      <c r="J920" s="199"/>
      <c r="K920" s="199"/>
      <c r="L920" s="199"/>
      <c r="M920" s="199"/>
      <c r="N920" s="199"/>
      <c r="O920" s="199"/>
      <c r="P920" s="199"/>
      <c r="Q920" s="199"/>
      <c r="R920" s="199"/>
      <c r="S920" s="199"/>
      <c r="T920" s="199"/>
      <c r="U920" s="199"/>
      <c r="V920" s="199"/>
      <c r="W920" s="199"/>
      <c r="X920" s="199"/>
      <c r="Y920" s="199"/>
      <c r="Z920" s="199"/>
      <c r="AA920" s="199"/>
      <c r="AB920" s="199"/>
    </row>
    <row r="921" spans="1:28" ht="12.75">
      <c r="A921" s="199"/>
      <c r="B921" s="199"/>
      <c r="C921" s="199"/>
      <c r="D921" s="199"/>
      <c r="E921" s="199"/>
      <c r="F921" s="199"/>
      <c r="G921" s="244"/>
      <c r="H921" s="199"/>
      <c r="I921" s="199"/>
      <c r="J921" s="199"/>
      <c r="K921" s="199"/>
      <c r="L921" s="199"/>
      <c r="M921" s="199"/>
      <c r="N921" s="199"/>
      <c r="O921" s="199"/>
      <c r="P921" s="199"/>
      <c r="Q921" s="199"/>
      <c r="R921" s="199"/>
      <c r="S921" s="199"/>
      <c r="T921" s="199"/>
      <c r="U921" s="199"/>
      <c r="V921" s="199"/>
      <c r="W921" s="199"/>
      <c r="X921" s="199"/>
      <c r="Y921" s="199"/>
      <c r="Z921" s="199"/>
      <c r="AA921" s="199"/>
      <c r="AB921" s="199"/>
    </row>
    <row r="922" spans="1:28" ht="12.75">
      <c r="A922" s="199"/>
      <c r="B922" s="199"/>
      <c r="C922" s="199"/>
      <c r="D922" s="199"/>
      <c r="E922" s="199"/>
      <c r="F922" s="199"/>
      <c r="G922" s="244"/>
      <c r="H922" s="199"/>
      <c r="I922" s="199"/>
      <c r="J922" s="199"/>
      <c r="K922" s="199"/>
      <c r="L922" s="199"/>
      <c r="M922" s="199"/>
      <c r="N922" s="199"/>
      <c r="O922" s="199"/>
      <c r="P922" s="199"/>
      <c r="Q922" s="199"/>
      <c r="R922" s="199"/>
      <c r="S922" s="199"/>
      <c r="T922" s="199"/>
      <c r="U922" s="199"/>
      <c r="V922" s="199"/>
      <c r="W922" s="199"/>
      <c r="X922" s="199"/>
      <c r="Y922" s="199"/>
      <c r="Z922" s="199"/>
      <c r="AA922" s="199"/>
      <c r="AB922" s="199"/>
    </row>
    <row r="923" spans="1:28" ht="12.75">
      <c r="A923" s="199"/>
      <c r="B923" s="199"/>
      <c r="C923" s="199"/>
      <c r="D923" s="199"/>
      <c r="E923" s="199"/>
      <c r="F923" s="199"/>
      <c r="G923" s="244"/>
      <c r="H923" s="199"/>
      <c r="I923" s="199"/>
      <c r="J923" s="199"/>
      <c r="K923" s="199"/>
      <c r="L923" s="199"/>
      <c r="M923" s="199"/>
      <c r="N923" s="199"/>
      <c r="O923" s="199"/>
      <c r="P923" s="199"/>
      <c r="Q923" s="199"/>
      <c r="R923" s="199"/>
      <c r="S923" s="199"/>
      <c r="T923" s="199"/>
      <c r="U923" s="199"/>
      <c r="V923" s="199"/>
      <c r="W923" s="199"/>
      <c r="X923" s="199"/>
      <c r="Y923" s="199"/>
      <c r="Z923" s="199"/>
      <c r="AA923" s="199"/>
      <c r="AB923" s="199"/>
    </row>
    <row r="924" spans="1:28" ht="12.75">
      <c r="A924" s="199"/>
      <c r="B924" s="199"/>
      <c r="C924" s="199"/>
      <c r="D924" s="199"/>
      <c r="E924" s="199"/>
      <c r="F924" s="199"/>
      <c r="G924" s="244"/>
      <c r="H924" s="199"/>
      <c r="I924" s="199"/>
      <c r="J924" s="199"/>
      <c r="K924" s="199"/>
      <c r="L924" s="199"/>
      <c r="M924" s="199"/>
      <c r="N924" s="199"/>
      <c r="O924" s="199"/>
      <c r="P924" s="199"/>
      <c r="Q924" s="199"/>
      <c r="R924" s="199"/>
      <c r="S924" s="199"/>
      <c r="T924" s="199"/>
      <c r="U924" s="199"/>
      <c r="V924" s="199"/>
      <c r="W924" s="199"/>
      <c r="X924" s="199"/>
      <c r="Y924" s="199"/>
      <c r="Z924" s="199"/>
      <c r="AA924" s="199"/>
      <c r="AB924" s="199"/>
    </row>
    <row r="925" spans="1:28" ht="12.75">
      <c r="A925" s="199"/>
      <c r="B925" s="199"/>
      <c r="C925" s="199"/>
      <c r="D925" s="199"/>
      <c r="E925" s="199"/>
      <c r="F925" s="199"/>
      <c r="G925" s="244"/>
      <c r="H925" s="199"/>
      <c r="I925" s="199"/>
      <c r="J925" s="199"/>
      <c r="K925" s="199"/>
      <c r="L925" s="199"/>
      <c r="M925" s="199"/>
      <c r="N925" s="199"/>
      <c r="O925" s="199"/>
      <c r="P925" s="199"/>
      <c r="Q925" s="199"/>
      <c r="R925" s="199"/>
      <c r="S925" s="199"/>
      <c r="T925" s="199"/>
      <c r="U925" s="199"/>
      <c r="V925" s="199"/>
      <c r="W925" s="199"/>
      <c r="X925" s="199"/>
      <c r="Y925" s="199"/>
      <c r="Z925" s="199"/>
      <c r="AA925" s="199"/>
      <c r="AB925" s="199"/>
    </row>
    <row r="926" spans="1:28" ht="12.75">
      <c r="A926" s="199"/>
      <c r="B926" s="199"/>
      <c r="C926" s="199"/>
      <c r="D926" s="199"/>
      <c r="E926" s="199"/>
      <c r="F926" s="199"/>
      <c r="G926" s="244"/>
      <c r="H926" s="199"/>
      <c r="I926" s="199"/>
      <c r="J926" s="199"/>
      <c r="K926" s="199"/>
      <c r="L926" s="199"/>
      <c r="M926" s="199"/>
      <c r="N926" s="199"/>
      <c r="O926" s="199"/>
      <c r="P926" s="199"/>
      <c r="Q926" s="199"/>
      <c r="R926" s="199"/>
      <c r="S926" s="199"/>
      <c r="T926" s="199"/>
      <c r="U926" s="199"/>
      <c r="V926" s="199"/>
      <c r="W926" s="199"/>
      <c r="X926" s="199"/>
      <c r="Y926" s="199"/>
      <c r="Z926" s="199"/>
      <c r="AA926" s="199"/>
      <c r="AB926" s="199"/>
    </row>
    <row r="927" spans="1:28" ht="12.75">
      <c r="A927" s="199"/>
      <c r="B927" s="199"/>
      <c r="C927" s="199"/>
      <c r="D927" s="199"/>
      <c r="E927" s="199"/>
      <c r="F927" s="199"/>
      <c r="G927" s="244"/>
      <c r="H927" s="199"/>
      <c r="I927" s="199"/>
      <c r="J927" s="199"/>
      <c r="K927" s="199"/>
      <c r="L927" s="199"/>
      <c r="M927" s="199"/>
      <c r="N927" s="199"/>
      <c r="O927" s="199"/>
      <c r="P927" s="199"/>
      <c r="Q927" s="199"/>
      <c r="R927" s="199"/>
      <c r="S927" s="199"/>
      <c r="T927" s="199"/>
      <c r="U927" s="199"/>
      <c r="V927" s="199"/>
      <c r="W927" s="199"/>
      <c r="X927" s="199"/>
      <c r="Y927" s="199"/>
      <c r="Z927" s="199"/>
      <c r="AA927" s="199"/>
      <c r="AB927" s="199"/>
    </row>
    <row r="928" spans="1:28" ht="12.75">
      <c r="A928" s="199"/>
      <c r="B928" s="199"/>
      <c r="C928" s="199"/>
      <c r="D928" s="199"/>
      <c r="E928" s="199"/>
      <c r="F928" s="199"/>
      <c r="G928" s="244"/>
      <c r="H928" s="199"/>
      <c r="I928" s="199"/>
      <c r="J928" s="199"/>
      <c r="K928" s="199"/>
      <c r="L928" s="199"/>
      <c r="M928" s="199"/>
      <c r="N928" s="199"/>
      <c r="O928" s="199"/>
      <c r="P928" s="199"/>
      <c r="Q928" s="199"/>
      <c r="R928" s="199"/>
      <c r="S928" s="199"/>
      <c r="T928" s="199"/>
      <c r="U928" s="199"/>
      <c r="V928" s="199"/>
      <c r="W928" s="199"/>
      <c r="X928" s="199"/>
      <c r="Y928" s="199"/>
      <c r="Z928" s="199"/>
      <c r="AA928" s="199"/>
      <c r="AB928" s="199"/>
    </row>
    <row r="929" spans="1:28" ht="12.75">
      <c r="A929" s="199"/>
      <c r="B929" s="199"/>
      <c r="C929" s="199"/>
      <c r="D929" s="199"/>
      <c r="E929" s="199"/>
      <c r="F929" s="199"/>
      <c r="G929" s="244"/>
      <c r="H929" s="199"/>
      <c r="I929" s="199"/>
      <c r="J929" s="199"/>
      <c r="K929" s="199"/>
      <c r="L929" s="199"/>
      <c r="M929" s="199"/>
      <c r="N929" s="199"/>
      <c r="O929" s="199"/>
      <c r="P929" s="199"/>
      <c r="Q929" s="199"/>
      <c r="R929" s="199"/>
      <c r="S929" s="199"/>
      <c r="T929" s="199"/>
      <c r="U929" s="199"/>
      <c r="V929" s="199"/>
      <c r="W929" s="199"/>
      <c r="X929" s="199"/>
      <c r="Y929" s="199"/>
      <c r="Z929" s="199"/>
      <c r="AA929" s="199"/>
      <c r="AB929" s="199"/>
    </row>
    <row r="930" spans="1:28" ht="12.75">
      <c r="A930" s="199"/>
      <c r="B930" s="199"/>
      <c r="C930" s="199"/>
      <c r="D930" s="199"/>
      <c r="E930" s="199"/>
      <c r="F930" s="199"/>
      <c r="G930" s="244"/>
      <c r="H930" s="199"/>
      <c r="I930" s="199"/>
      <c r="J930" s="199"/>
      <c r="K930" s="199"/>
      <c r="L930" s="199"/>
      <c r="M930" s="199"/>
      <c r="N930" s="199"/>
      <c r="O930" s="199"/>
      <c r="P930" s="199"/>
      <c r="Q930" s="199"/>
      <c r="R930" s="199"/>
      <c r="S930" s="199"/>
      <c r="T930" s="199"/>
      <c r="U930" s="199"/>
      <c r="V930" s="199"/>
      <c r="W930" s="199"/>
      <c r="X930" s="199"/>
      <c r="Y930" s="199"/>
      <c r="Z930" s="199"/>
      <c r="AA930" s="199"/>
      <c r="AB930" s="199"/>
    </row>
    <row r="931" spans="1:28" ht="12.75">
      <c r="A931" s="199"/>
      <c r="B931" s="199"/>
      <c r="C931" s="199"/>
      <c r="D931" s="199"/>
      <c r="E931" s="199"/>
      <c r="F931" s="199"/>
      <c r="G931" s="244"/>
      <c r="H931" s="199"/>
      <c r="I931" s="199"/>
      <c r="J931" s="199"/>
      <c r="K931" s="199"/>
      <c r="L931" s="199"/>
      <c r="M931" s="199"/>
      <c r="N931" s="199"/>
      <c r="O931" s="199"/>
      <c r="P931" s="199"/>
      <c r="Q931" s="199"/>
      <c r="R931" s="199"/>
      <c r="S931" s="199"/>
      <c r="T931" s="199"/>
      <c r="U931" s="199"/>
      <c r="V931" s="199"/>
      <c r="W931" s="199"/>
      <c r="X931" s="199"/>
      <c r="Y931" s="199"/>
      <c r="Z931" s="199"/>
      <c r="AA931" s="199"/>
      <c r="AB931" s="199"/>
    </row>
    <row r="932" spans="1:28" ht="12.75">
      <c r="A932" s="199"/>
      <c r="B932" s="199"/>
      <c r="C932" s="199"/>
      <c r="D932" s="199"/>
      <c r="E932" s="199"/>
      <c r="F932" s="199"/>
      <c r="G932" s="244"/>
      <c r="H932" s="199"/>
      <c r="I932" s="199"/>
      <c r="J932" s="199"/>
      <c r="K932" s="199"/>
      <c r="L932" s="199"/>
      <c r="M932" s="199"/>
      <c r="N932" s="199"/>
      <c r="O932" s="199"/>
      <c r="P932" s="199"/>
      <c r="Q932" s="199"/>
      <c r="R932" s="199"/>
      <c r="S932" s="199"/>
      <c r="T932" s="199"/>
      <c r="U932" s="199"/>
      <c r="V932" s="199"/>
      <c r="W932" s="199"/>
      <c r="X932" s="199"/>
      <c r="Y932" s="199"/>
      <c r="Z932" s="199"/>
      <c r="AA932" s="199"/>
      <c r="AB932" s="199"/>
    </row>
    <row r="933" spans="1:28" ht="12.75">
      <c r="A933" s="199"/>
      <c r="B933" s="199"/>
      <c r="C933" s="199"/>
      <c r="D933" s="199"/>
      <c r="E933" s="199"/>
      <c r="F933" s="199"/>
      <c r="G933" s="244"/>
      <c r="H933" s="199"/>
      <c r="I933" s="199"/>
      <c r="J933" s="199"/>
      <c r="K933" s="199"/>
      <c r="L933" s="199"/>
      <c r="M933" s="199"/>
      <c r="N933" s="199"/>
      <c r="O933" s="199"/>
      <c r="P933" s="199"/>
      <c r="Q933" s="199"/>
      <c r="R933" s="199"/>
      <c r="S933" s="199"/>
      <c r="T933" s="199"/>
      <c r="U933" s="199"/>
      <c r="V933" s="199"/>
      <c r="W933" s="199"/>
      <c r="X933" s="199"/>
      <c r="Y933" s="199"/>
      <c r="Z933" s="199"/>
      <c r="AA933" s="199"/>
      <c r="AB933" s="199"/>
    </row>
    <row r="934" spans="1:28" ht="12.75">
      <c r="A934" s="199"/>
      <c r="B934" s="199"/>
      <c r="C934" s="199"/>
      <c r="D934" s="199"/>
      <c r="E934" s="199"/>
      <c r="F934" s="199"/>
      <c r="G934" s="244"/>
      <c r="H934" s="199"/>
      <c r="I934" s="199"/>
      <c r="J934" s="199"/>
      <c r="K934" s="199"/>
      <c r="L934" s="199"/>
      <c r="M934" s="199"/>
      <c r="N934" s="199"/>
      <c r="O934" s="199"/>
      <c r="P934" s="199"/>
      <c r="Q934" s="199"/>
      <c r="R934" s="199"/>
      <c r="S934" s="199"/>
      <c r="T934" s="199"/>
      <c r="U934" s="199"/>
      <c r="V934" s="199"/>
      <c r="W934" s="199"/>
      <c r="X934" s="199"/>
      <c r="Y934" s="199"/>
      <c r="Z934" s="199"/>
      <c r="AA934" s="199"/>
      <c r="AB934" s="199"/>
    </row>
    <row r="935" spans="1:28" ht="12.75">
      <c r="A935" s="199"/>
      <c r="B935" s="199"/>
      <c r="C935" s="199"/>
      <c r="D935" s="199"/>
      <c r="E935" s="199"/>
      <c r="F935" s="199"/>
      <c r="G935" s="244"/>
      <c r="H935" s="199"/>
      <c r="I935" s="199"/>
      <c r="J935" s="199"/>
      <c r="K935" s="199"/>
      <c r="L935" s="199"/>
      <c r="M935" s="199"/>
      <c r="N935" s="199"/>
      <c r="O935" s="199"/>
      <c r="P935" s="199"/>
      <c r="Q935" s="199"/>
      <c r="R935" s="199"/>
      <c r="S935" s="199"/>
      <c r="T935" s="199"/>
      <c r="U935" s="199"/>
      <c r="V935" s="199"/>
      <c r="W935" s="199"/>
      <c r="X935" s="199"/>
      <c r="Y935" s="199"/>
      <c r="Z935" s="199"/>
      <c r="AA935" s="199"/>
      <c r="AB935" s="199"/>
    </row>
    <row r="936" spans="1:28" ht="12.75">
      <c r="A936" s="199"/>
      <c r="B936" s="199"/>
      <c r="C936" s="199"/>
      <c r="D936" s="199"/>
      <c r="E936" s="199"/>
      <c r="F936" s="199"/>
      <c r="G936" s="244"/>
      <c r="H936" s="199"/>
      <c r="I936" s="199"/>
      <c r="J936" s="199"/>
      <c r="K936" s="199"/>
      <c r="L936" s="199"/>
      <c r="M936" s="199"/>
      <c r="N936" s="199"/>
      <c r="O936" s="199"/>
      <c r="P936" s="199"/>
      <c r="Q936" s="199"/>
      <c r="R936" s="199"/>
      <c r="S936" s="199"/>
      <c r="T936" s="199"/>
      <c r="U936" s="199"/>
      <c r="V936" s="199"/>
      <c r="W936" s="199"/>
      <c r="X936" s="199"/>
      <c r="Y936" s="199"/>
      <c r="Z936" s="199"/>
      <c r="AA936" s="199"/>
      <c r="AB936" s="199"/>
    </row>
    <row r="937" spans="1:28" ht="12.75">
      <c r="A937" s="199"/>
      <c r="B937" s="199"/>
      <c r="C937" s="199"/>
      <c r="D937" s="199"/>
      <c r="E937" s="199"/>
      <c r="F937" s="199"/>
      <c r="G937" s="244"/>
      <c r="H937" s="199"/>
      <c r="I937" s="199"/>
      <c r="J937" s="199"/>
      <c r="K937" s="199"/>
      <c r="L937" s="199"/>
      <c r="M937" s="199"/>
      <c r="N937" s="199"/>
      <c r="O937" s="199"/>
      <c r="P937" s="199"/>
      <c r="Q937" s="199"/>
      <c r="R937" s="199"/>
      <c r="S937" s="199"/>
      <c r="T937" s="199"/>
      <c r="U937" s="199"/>
      <c r="V937" s="199"/>
      <c r="W937" s="199"/>
      <c r="X937" s="199"/>
      <c r="Y937" s="199"/>
      <c r="Z937" s="199"/>
      <c r="AA937" s="199"/>
      <c r="AB937" s="199"/>
    </row>
    <row r="938" spans="1:28" ht="12.75">
      <c r="A938" s="199"/>
      <c r="B938" s="199"/>
      <c r="C938" s="199"/>
      <c r="D938" s="199"/>
      <c r="E938" s="199"/>
      <c r="F938" s="199"/>
      <c r="G938" s="244"/>
      <c r="H938" s="199"/>
      <c r="I938" s="199"/>
      <c r="J938" s="199"/>
      <c r="K938" s="199"/>
      <c r="L938" s="199"/>
      <c r="M938" s="199"/>
      <c r="N938" s="199"/>
      <c r="O938" s="199"/>
      <c r="P938" s="199"/>
      <c r="Q938" s="199"/>
      <c r="R938" s="199"/>
      <c r="S938" s="199"/>
      <c r="T938" s="199"/>
      <c r="U938" s="199"/>
      <c r="V938" s="199"/>
      <c r="W938" s="199"/>
      <c r="X938" s="199"/>
      <c r="Y938" s="199"/>
      <c r="Z938" s="199"/>
      <c r="AA938" s="199"/>
      <c r="AB938" s="199"/>
    </row>
    <row r="939" spans="1:28" ht="12.75">
      <c r="A939" s="199"/>
      <c r="B939" s="199"/>
      <c r="C939" s="199"/>
      <c r="D939" s="199"/>
      <c r="E939" s="199"/>
      <c r="F939" s="199"/>
      <c r="G939" s="244"/>
      <c r="H939" s="199"/>
      <c r="I939" s="199"/>
      <c r="J939" s="199"/>
      <c r="K939" s="199"/>
      <c r="L939" s="199"/>
      <c r="M939" s="199"/>
      <c r="N939" s="199"/>
      <c r="O939" s="199"/>
      <c r="P939" s="199"/>
      <c r="Q939" s="199"/>
      <c r="R939" s="199"/>
      <c r="S939" s="199"/>
      <c r="T939" s="199"/>
      <c r="U939" s="199"/>
      <c r="V939" s="199"/>
      <c r="W939" s="199"/>
      <c r="X939" s="199"/>
      <c r="Y939" s="199"/>
      <c r="Z939" s="199"/>
      <c r="AA939" s="199"/>
      <c r="AB939" s="199"/>
    </row>
    <row r="940" spans="1:28" ht="12.75">
      <c r="A940" s="199"/>
      <c r="B940" s="199"/>
      <c r="C940" s="199"/>
      <c r="D940" s="199"/>
      <c r="E940" s="199"/>
      <c r="F940" s="199"/>
      <c r="G940" s="244"/>
      <c r="H940" s="199"/>
      <c r="I940" s="199"/>
      <c r="J940" s="199"/>
      <c r="K940" s="199"/>
      <c r="L940" s="199"/>
      <c r="M940" s="199"/>
      <c r="N940" s="199"/>
      <c r="O940" s="199"/>
      <c r="P940" s="199"/>
      <c r="Q940" s="199"/>
      <c r="R940" s="199"/>
      <c r="S940" s="199"/>
      <c r="T940" s="199"/>
      <c r="U940" s="199"/>
      <c r="V940" s="199"/>
      <c r="W940" s="199"/>
      <c r="X940" s="199"/>
      <c r="Y940" s="199"/>
      <c r="Z940" s="199"/>
      <c r="AA940" s="199"/>
      <c r="AB940" s="199"/>
    </row>
    <row r="941" spans="1:28" ht="12.75">
      <c r="A941" s="199"/>
      <c r="B941" s="199"/>
      <c r="C941" s="199"/>
      <c r="D941" s="199"/>
      <c r="E941" s="199"/>
      <c r="F941" s="199"/>
      <c r="G941" s="244"/>
      <c r="H941" s="199"/>
      <c r="I941" s="199"/>
      <c r="J941" s="199"/>
      <c r="K941" s="199"/>
      <c r="L941" s="199"/>
      <c r="M941" s="199"/>
      <c r="N941" s="199"/>
      <c r="O941" s="199"/>
      <c r="P941" s="199"/>
      <c r="Q941" s="199"/>
      <c r="R941" s="199"/>
      <c r="S941" s="199"/>
      <c r="T941" s="199"/>
      <c r="U941" s="199"/>
      <c r="V941" s="199"/>
      <c r="W941" s="199"/>
      <c r="X941" s="199"/>
      <c r="Y941" s="199"/>
      <c r="Z941" s="199"/>
      <c r="AA941" s="199"/>
      <c r="AB941" s="199"/>
    </row>
    <row r="942" spans="1:28" ht="12.75">
      <c r="A942" s="199"/>
      <c r="B942" s="199"/>
      <c r="C942" s="199"/>
      <c r="D942" s="199"/>
      <c r="E942" s="199"/>
      <c r="F942" s="199"/>
      <c r="G942" s="244"/>
      <c r="H942" s="199"/>
      <c r="I942" s="199"/>
      <c r="J942" s="199"/>
      <c r="K942" s="199"/>
      <c r="L942" s="199"/>
      <c r="M942" s="199"/>
      <c r="N942" s="199"/>
      <c r="O942" s="199"/>
      <c r="P942" s="199"/>
      <c r="Q942" s="199"/>
      <c r="R942" s="199"/>
      <c r="S942" s="199"/>
      <c r="T942" s="199"/>
      <c r="U942" s="199"/>
      <c r="V942" s="199"/>
      <c r="W942" s="199"/>
      <c r="X942" s="199"/>
      <c r="Y942" s="199"/>
      <c r="Z942" s="199"/>
      <c r="AA942" s="199"/>
      <c r="AB942" s="199"/>
    </row>
    <row r="943" spans="1:28" ht="12.75">
      <c r="A943" s="199"/>
      <c r="B943" s="199"/>
      <c r="C943" s="199"/>
      <c r="D943" s="199"/>
      <c r="E943" s="199"/>
      <c r="F943" s="199"/>
      <c r="G943" s="244"/>
      <c r="H943" s="199"/>
      <c r="I943" s="199"/>
      <c r="J943" s="199"/>
      <c r="K943" s="199"/>
      <c r="L943" s="199"/>
      <c r="M943" s="199"/>
      <c r="N943" s="199"/>
      <c r="O943" s="199"/>
      <c r="P943" s="199"/>
      <c r="Q943" s="199"/>
      <c r="R943" s="199"/>
      <c r="S943" s="199"/>
      <c r="T943" s="199"/>
      <c r="U943" s="199"/>
      <c r="V943" s="199"/>
      <c r="W943" s="199"/>
      <c r="X943" s="199"/>
      <c r="Y943" s="199"/>
      <c r="Z943" s="199"/>
      <c r="AA943" s="199"/>
      <c r="AB943" s="199"/>
    </row>
    <row r="944" spans="1:28" ht="12.75">
      <c r="A944" s="199"/>
      <c r="B944" s="199"/>
      <c r="C944" s="199"/>
      <c r="D944" s="199"/>
      <c r="E944" s="199"/>
      <c r="F944" s="199"/>
      <c r="G944" s="244"/>
      <c r="H944" s="199"/>
      <c r="I944" s="199"/>
      <c r="J944" s="199"/>
      <c r="K944" s="199"/>
      <c r="L944" s="199"/>
      <c r="M944" s="199"/>
      <c r="N944" s="199"/>
      <c r="O944" s="199"/>
      <c r="P944" s="199"/>
      <c r="Q944" s="199"/>
      <c r="R944" s="199"/>
      <c r="S944" s="199"/>
      <c r="T944" s="199"/>
      <c r="U944" s="199"/>
      <c r="V944" s="199"/>
      <c r="W944" s="199"/>
      <c r="X944" s="199"/>
      <c r="Y944" s="199"/>
      <c r="Z944" s="199"/>
      <c r="AA944" s="199"/>
      <c r="AB944" s="199"/>
    </row>
    <row r="945" spans="1:28" ht="12.75">
      <c r="A945" s="199"/>
      <c r="B945" s="199"/>
      <c r="C945" s="199"/>
      <c r="D945" s="199"/>
      <c r="E945" s="199"/>
      <c r="F945" s="199"/>
      <c r="G945" s="244"/>
      <c r="H945" s="199"/>
      <c r="I945" s="199"/>
      <c r="J945" s="199"/>
      <c r="K945" s="199"/>
      <c r="L945" s="199"/>
      <c r="M945" s="199"/>
      <c r="N945" s="199"/>
      <c r="O945" s="199"/>
      <c r="P945" s="199"/>
      <c r="Q945" s="199"/>
      <c r="R945" s="199"/>
      <c r="S945" s="199"/>
      <c r="T945" s="199"/>
      <c r="U945" s="199"/>
      <c r="V945" s="199"/>
      <c r="W945" s="199"/>
      <c r="X945" s="199"/>
      <c r="Y945" s="199"/>
      <c r="Z945" s="199"/>
      <c r="AA945" s="199"/>
      <c r="AB945" s="199"/>
    </row>
    <row r="946" spans="1:28" ht="12.75">
      <c r="A946" s="199"/>
      <c r="B946" s="199"/>
      <c r="C946" s="199"/>
      <c r="D946" s="199"/>
      <c r="E946" s="199"/>
      <c r="F946" s="199"/>
      <c r="G946" s="244"/>
      <c r="H946" s="199"/>
      <c r="I946" s="199"/>
      <c r="J946" s="199"/>
      <c r="K946" s="199"/>
      <c r="L946" s="199"/>
      <c r="M946" s="199"/>
      <c r="N946" s="199"/>
      <c r="O946" s="199"/>
      <c r="P946" s="199"/>
      <c r="Q946" s="199"/>
      <c r="R946" s="199"/>
      <c r="S946" s="199"/>
      <c r="T946" s="199"/>
      <c r="U946" s="199"/>
      <c r="V946" s="199"/>
      <c r="W946" s="199"/>
      <c r="X946" s="199"/>
      <c r="Y946" s="199"/>
      <c r="Z946" s="199"/>
      <c r="AA946" s="199"/>
      <c r="AB946" s="199"/>
    </row>
    <row r="947" spans="1:28" ht="12.75">
      <c r="A947" s="199"/>
      <c r="B947" s="199"/>
      <c r="C947" s="199"/>
      <c r="D947" s="199"/>
      <c r="E947" s="199"/>
      <c r="F947" s="199"/>
      <c r="G947" s="244"/>
      <c r="H947" s="199"/>
      <c r="I947" s="199"/>
      <c r="J947" s="199"/>
      <c r="K947" s="199"/>
      <c r="L947" s="199"/>
      <c r="M947" s="199"/>
      <c r="N947" s="199"/>
      <c r="O947" s="199"/>
      <c r="P947" s="199"/>
      <c r="Q947" s="199"/>
      <c r="R947" s="199"/>
      <c r="S947" s="199"/>
      <c r="T947" s="199"/>
      <c r="U947" s="199"/>
      <c r="V947" s="199"/>
      <c r="W947" s="199"/>
      <c r="X947" s="199"/>
      <c r="Y947" s="199"/>
      <c r="Z947" s="199"/>
      <c r="AA947" s="199"/>
      <c r="AB947" s="199"/>
    </row>
    <row r="948" spans="1:28" ht="12.75">
      <c r="A948" s="199"/>
      <c r="B948" s="199"/>
      <c r="C948" s="199"/>
      <c r="D948" s="199"/>
      <c r="E948" s="199"/>
      <c r="F948" s="199"/>
      <c r="G948" s="244"/>
      <c r="H948" s="199"/>
      <c r="I948" s="199"/>
      <c r="J948" s="199"/>
      <c r="K948" s="199"/>
      <c r="L948" s="199"/>
      <c r="M948" s="199"/>
      <c r="N948" s="199"/>
      <c r="O948" s="199"/>
      <c r="P948" s="199"/>
      <c r="Q948" s="199"/>
      <c r="R948" s="199"/>
      <c r="S948" s="199"/>
      <c r="T948" s="199"/>
      <c r="U948" s="199"/>
      <c r="V948" s="199"/>
      <c r="W948" s="199"/>
      <c r="X948" s="199"/>
      <c r="Y948" s="199"/>
      <c r="Z948" s="199"/>
      <c r="AA948" s="199"/>
      <c r="AB948" s="199"/>
    </row>
    <row r="949" spans="1:28" ht="12.75">
      <c r="A949" s="199"/>
      <c r="B949" s="199"/>
      <c r="C949" s="199"/>
      <c r="D949" s="199"/>
      <c r="E949" s="199"/>
      <c r="F949" s="199"/>
      <c r="G949" s="244"/>
      <c r="H949" s="199"/>
      <c r="I949" s="199"/>
      <c r="J949" s="199"/>
      <c r="K949" s="199"/>
      <c r="L949" s="199"/>
      <c r="M949" s="199"/>
      <c r="N949" s="199"/>
      <c r="O949" s="199"/>
      <c r="P949" s="199"/>
      <c r="Q949" s="199"/>
      <c r="R949" s="199"/>
      <c r="S949" s="199"/>
      <c r="T949" s="199"/>
      <c r="U949" s="199"/>
      <c r="V949" s="199"/>
      <c r="W949" s="199"/>
      <c r="X949" s="199"/>
      <c r="Y949" s="199"/>
      <c r="Z949" s="199"/>
      <c r="AA949" s="199"/>
      <c r="AB949" s="199"/>
    </row>
    <row r="950" spans="1:28" ht="12.75">
      <c r="A950" s="199"/>
      <c r="B950" s="199"/>
      <c r="C950" s="199"/>
      <c r="D950" s="199"/>
      <c r="E950" s="199"/>
      <c r="F950" s="199"/>
      <c r="G950" s="244"/>
      <c r="H950" s="199"/>
      <c r="I950" s="199"/>
      <c r="J950" s="199"/>
      <c r="K950" s="199"/>
      <c r="L950" s="199"/>
      <c r="M950" s="199"/>
      <c r="N950" s="199"/>
      <c r="O950" s="199"/>
      <c r="P950" s="199"/>
      <c r="Q950" s="199"/>
      <c r="R950" s="199"/>
      <c r="S950" s="199"/>
      <c r="T950" s="199"/>
      <c r="U950" s="199"/>
      <c r="V950" s="199"/>
      <c r="W950" s="199"/>
      <c r="X950" s="199"/>
      <c r="Y950" s="199"/>
      <c r="Z950" s="199"/>
      <c r="AA950" s="199"/>
      <c r="AB950" s="199"/>
    </row>
    <row r="951" spans="1:28" ht="12.75">
      <c r="A951" s="199"/>
      <c r="B951" s="199"/>
      <c r="C951" s="199"/>
      <c r="D951" s="199"/>
      <c r="E951" s="199"/>
      <c r="F951" s="199"/>
      <c r="G951" s="244"/>
      <c r="H951" s="199"/>
      <c r="I951" s="199"/>
      <c r="J951" s="199"/>
      <c r="K951" s="199"/>
      <c r="L951" s="199"/>
      <c r="M951" s="199"/>
      <c r="N951" s="199"/>
      <c r="O951" s="199"/>
      <c r="P951" s="199"/>
      <c r="Q951" s="199"/>
      <c r="R951" s="199"/>
      <c r="S951" s="199"/>
      <c r="T951" s="199"/>
      <c r="U951" s="199"/>
      <c r="V951" s="199"/>
      <c r="W951" s="199"/>
      <c r="X951" s="199"/>
      <c r="Y951" s="199"/>
      <c r="Z951" s="199"/>
      <c r="AA951" s="199"/>
      <c r="AB951" s="199"/>
    </row>
    <row r="952" spans="1:28" ht="12.75">
      <c r="A952" s="199"/>
      <c r="B952" s="199"/>
      <c r="C952" s="199"/>
      <c r="D952" s="199"/>
      <c r="E952" s="199"/>
      <c r="F952" s="199"/>
      <c r="G952" s="244"/>
      <c r="H952" s="199"/>
      <c r="I952" s="199"/>
      <c r="J952" s="199"/>
      <c r="K952" s="199"/>
      <c r="L952" s="199"/>
      <c r="M952" s="199"/>
      <c r="N952" s="199"/>
      <c r="O952" s="199"/>
      <c r="P952" s="199"/>
      <c r="Q952" s="199"/>
      <c r="R952" s="199"/>
      <c r="S952" s="199"/>
      <c r="T952" s="199"/>
      <c r="U952" s="199"/>
      <c r="V952" s="199"/>
      <c r="W952" s="199"/>
      <c r="X952" s="199"/>
      <c r="Y952" s="199"/>
      <c r="Z952" s="199"/>
      <c r="AA952" s="199"/>
      <c r="AB952" s="199"/>
    </row>
    <row r="953" spans="1:28" ht="12.75">
      <c r="A953" s="199"/>
      <c r="B953" s="199"/>
      <c r="C953" s="199"/>
      <c r="D953" s="199"/>
      <c r="E953" s="199"/>
      <c r="F953" s="199"/>
      <c r="G953" s="244"/>
      <c r="H953" s="199"/>
      <c r="I953" s="199"/>
      <c r="J953" s="199"/>
      <c r="K953" s="199"/>
      <c r="L953" s="199"/>
      <c r="M953" s="199"/>
      <c r="N953" s="199"/>
      <c r="O953" s="199"/>
      <c r="P953" s="199"/>
      <c r="Q953" s="199"/>
      <c r="R953" s="199"/>
      <c r="S953" s="199"/>
      <c r="T953" s="199"/>
      <c r="U953" s="199"/>
      <c r="V953" s="199"/>
      <c r="W953" s="199"/>
      <c r="X953" s="199"/>
      <c r="Y953" s="199"/>
      <c r="Z953" s="199"/>
      <c r="AA953" s="199"/>
      <c r="AB953" s="199"/>
    </row>
    <row r="954" spans="1:28" ht="12.75">
      <c r="A954" s="199"/>
      <c r="B954" s="199"/>
      <c r="C954" s="199"/>
      <c r="D954" s="199"/>
      <c r="E954" s="199"/>
      <c r="F954" s="199"/>
      <c r="G954" s="244"/>
      <c r="H954" s="199"/>
      <c r="I954" s="199"/>
      <c r="J954" s="199"/>
      <c r="K954" s="199"/>
      <c r="L954" s="199"/>
      <c r="M954" s="199"/>
      <c r="N954" s="199"/>
      <c r="O954" s="199"/>
      <c r="P954" s="199"/>
      <c r="Q954" s="199"/>
      <c r="R954" s="199"/>
      <c r="S954" s="199"/>
      <c r="T954" s="199"/>
      <c r="U954" s="199"/>
      <c r="V954" s="199"/>
      <c r="W954" s="199"/>
      <c r="X954" s="199"/>
      <c r="Y954" s="199"/>
      <c r="Z954" s="199"/>
      <c r="AA954" s="199"/>
      <c r="AB954" s="199"/>
    </row>
    <row r="955" spans="1:28" ht="12.75">
      <c r="A955" s="199"/>
      <c r="B955" s="199"/>
      <c r="C955" s="199"/>
      <c r="D955" s="199"/>
      <c r="E955" s="199"/>
      <c r="F955" s="199"/>
      <c r="G955" s="244"/>
      <c r="H955" s="199"/>
      <c r="I955" s="199"/>
      <c r="J955" s="199"/>
      <c r="K955" s="199"/>
      <c r="L955" s="199"/>
      <c r="M955" s="199"/>
      <c r="N955" s="199"/>
      <c r="O955" s="199"/>
      <c r="P955" s="199"/>
      <c r="Q955" s="199"/>
      <c r="R955" s="199"/>
      <c r="S955" s="199"/>
      <c r="T955" s="199"/>
      <c r="U955" s="199"/>
      <c r="V955" s="199"/>
      <c r="W955" s="199"/>
      <c r="X955" s="199"/>
      <c r="Y955" s="199"/>
      <c r="Z955" s="199"/>
      <c r="AA955" s="199"/>
      <c r="AB955" s="199"/>
    </row>
    <row r="956" spans="1:28" ht="12.75">
      <c r="A956" s="199"/>
      <c r="B956" s="199"/>
      <c r="C956" s="199"/>
      <c r="D956" s="199"/>
      <c r="E956" s="199"/>
      <c r="F956" s="199"/>
      <c r="G956" s="244"/>
      <c r="H956" s="199"/>
      <c r="I956" s="199"/>
      <c r="J956" s="199"/>
      <c r="K956" s="199"/>
      <c r="L956" s="199"/>
      <c r="M956" s="199"/>
      <c r="N956" s="199"/>
      <c r="O956" s="199"/>
      <c r="P956" s="199"/>
      <c r="Q956" s="199"/>
      <c r="R956" s="199"/>
      <c r="S956" s="199"/>
      <c r="T956" s="199"/>
      <c r="U956" s="199"/>
      <c r="V956" s="199"/>
      <c r="W956" s="199"/>
      <c r="X956" s="199"/>
      <c r="Y956" s="199"/>
      <c r="Z956" s="199"/>
      <c r="AA956" s="199"/>
      <c r="AB956" s="199"/>
    </row>
    <row r="957" spans="1:28" ht="12.75">
      <c r="A957" s="199"/>
      <c r="B957" s="199"/>
      <c r="C957" s="199"/>
      <c r="D957" s="199"/>
      <c r="E957" s="199"/>
      <c r="F957" s="199"/>
      <c r="G957" s="244"/>
      <c r="H957" s="199"/>
      <c r="I957" s="199"/>
      <c r="J957" s="199"/>
      <c r="K957" s="199"/>
      <c r="L957" s="199"/>
      <c r="M957" s="199"/>
      <c r="N957" s="199"/>
      <c r="O957" s="199"/>
      <c r="P957" s="199"/>
      <c r="Q957" s="199"/>
      <c r="R957" s="199"/>
      <c r="S957" s="199"/>
      <c r="T957" s="199"/>
      <c r="U957" s="199"/>
      <c r="V957" s="199"/>
      <c r="W957" s="199"/>
      <c r="X957" s="199"/>
      <c r="Y957" s="199"/>
      <c r="Z957" s="199"/>
      <c r="AA957" s="199"/>
      <c r="AB957" s="199"/>
    </row>
    <row r="958" spans="1:28" ht="12.75">
      <c r="A958" s="199"/>
      <c r="B958" s="199"/>
      <c r="C958" s="199"/>
      <c r="D958" s="199"/>
      <c r="E958" s="199"/>
      <c r="F958" s="199"/>
      <c r="G958" s="244"/>
      <c r="H958" s="199"/>
      <c r="I958" s="199"/>
      <c r="J958" s="199"/>
      <c r="K958" s="199"/>
      <c r="L958" s="199"/>
      <c r="M958" s="199"/>
      <c r="N958" s="199"/>
      <c r="O958" s="199"/>
      <c r="P958" s="199"/>
      <c r="Q958" s="199"/>
      <c r="R958" s="199"/>
      <c r="S958" s="199"/>
      <c r="T958" s="199"/>
      <c r="U958" s="199"/>
      <c r="V958" s="199"/>
      <c r="W958" s="199"/>
      <c r="X958" s="199"/>
      <c r="Y958" s="199"/>
      <c r="Z958" s="199"/>
      <c r="AA958" s="199"/>
      <c r="AB958" s="199"/>
    </row>
    <row r="959" spans="1:28" ht="12.75">
      <c r="A959" s="199"/>
      <c r="B959" s="199"/>
      <c r="C959" s="199"/>
      <c r="D959" s="199"/>
      <c r="E959" s="199"/>
      <c r="F959" s="199"/>
      <c r="G959" s="244"/>
      <c r="H959" s="199"/>
      <c r="I959" s="199"/>
      <c r="J959" s="199"/>
      <c r="K959" s="199"/>
      <c r="L959" s="199"/>
      <c r="M959" s="199"/>
      <c r="N959" s="199"/>
      <c r="O959" s="199"/>
      <c r="P959" s="199"/>
      <c r="Q959" s="199"/>
      <c r="R959" s="199"/>
      <c r="S959" s="199"/>
      <c r="T959" s="199"/>
      <c r="U959" s="199"/>
      <c r="V959" s="199"/>
      <c r="W959" s="199"/>
      <c r="X959" s="199"/>
      <c r="Y959" s="199"/>
      <c r="Z959" s="199"/>
      <c r="AA959" s="199"/>
      <c r="AB959" s="199"/>
    </row>
    <row r="960" spans="1:28" ht="12.75">
      <c r="A960" s="199"/>
      <c r="B960" s="199"/>
      <c r="C960" s="199"/>
      <c r="D960" s="199"/>
      <c r="E960" s="199"/>
      <c r="F960" s="199"/>
      <c r="G960" s="244"/>
      <c r="H960" s="199"/>
      <c r="I960" s="199"/>
      <c r="J960" s="199"/>
      <c r="K960" s="199"/>
      <c r="L960" s="199"/>
      <c r="M960" s="199"/>
      <c r="N960" s="199"/>
      <c r="O960" s="199"/>
      <c r="P960" s="199"/>
      <c r="Q960" s="199"/>
      <c r="R960" s="199"/>
      <c r="S960" s="199"/>
      <c r="T960" s="199"/>
      <c r="U960" s="199"/>
      <c r="V960" s="199"/>
      <c r="W960" s="199"/>
      <c r="X960" s="199"/>
      <c r="Y960" s="199"/>
      <c r="Z960" s="199"/>
      <c r="AA960" s="199"/>
      <c r="AB960" s="199"/>
    </row>
    <row r="961" spans="1:28" ht="12.75">
      <c r="A961" s="199"/>
      <c r="B961" s="199"/>
      <c r="C961" s="199"/>
      <c r="D961" s="199"/>
      <c r="E961" s="199"/>
      <c r="F961" s="199"/>
      <c r="G961" s="244"/>
      <c r="H961" s="199"/>
      <c r="I961" s="199"/>
      <c r="J961" s="199"/>
      <c r="K961" s="199"/>
      <c r="L961" s="199"/>
      <c r="M961" s="199"/>
      <c r="N961" s="199"/>
      <c r="O961" s="199"/>
      <c r="P961" s="199"/>
      <c r="Q961" s="199"/>
      <c r="R961" s="199"/>
      <c r="S961" s="199"/>
      <c r="T961" s="199"/>
      <c r="U961" s="199"/>
      <c r="V961" s="199"/>
      <c r="W961" s="199"/>
      <c r="X961" s="199"/>
      <c r="Y961" s="199"/>
      <c r="Z961" s="199"/>
      <c r="AA961" s="199"/>
      <c r="AB961" s="199"/>
    </row>
    <row r="962" spans="1:28" ht="12.75">
      <c r="A962" s="199"/>
      <c r="B962" s="199"/>
      <c r="C962" s="199"/>
      <c r="D962" s="199"/>
      <c r="E962" s="199"/>
      <c r="F962" s="199"/>
      <c r="G962" s="244"/>
      <c r="H962" s="199"/>
      <c r="I962" s="199"/>
      <c r="J962" s="199"/>
      <c r="K962" s="199"/>
      <c r="L962" s="199"/>
      <c r="M962" s="199"/>
      <c r="N962" s="199"/>
      <c r="O962" s="199"/>
      <c r="P962" s="199"/>
      <c r="Q962" s="199"/>
      <c r="R962" s="199"/>
      <c r="S962" s="199"/>
      <c r="T962" s="199"/>
      <c r="U962" s="199"/>
      <c r="V962" s="199"/>
      <c r="W962" s="199"/>
      <c r="X962" s="199"/>
      <c r="Y962" s="199"/>
      <c r="Z962" s="199"/>
      <c r="AA962" s="199"/>
      <c r="AB962" s="199"/>
    </row>
    <row r="963" spans="1:28" ht="12.75">
      <c r="A963" s="199"/>
      <c r="B963" s="199"/>
      <c r="C963" s="199"/>
      <c r="D963" s="199"/>
      <c r="E963" s="199"/>
      <c r="F963" s="199"/>
      <c r="G963" s="244"/>
      <c r="H963" s="199"/>
      <c r="I963" s="199"/>
      <c r="J963" s="199"/>
      <c r="K963" s="199"/>
      <c r="L963" s="199"/>
      <c r="M963" s="199"/>
      <c r="N963" s="199"/>
      <c r="O963" s="199"/>
      <c r="P963" s="199"/>
      <c r="Q963" s="199"/>
      <c r="R963" s="199"/>
      <c r="S963" s="199"/>
      <c r="T963" s="199"/>
      <c r="U963" s="199"/>
      <c r="V963" s="199"/>
      <c r="W963" s="199"/>
      <c r="X963" s="199"/>
      <c r="Y963" s="199"/>
      <c r="Z963" s="199"/>
      <c r="AA963" s="199"/>
      <c r="AB963" s="199"/>
    </row>
    <row r="964" spans="1:28" ht="12.75">
      <c r="A964" s="199"/>
      <c r="B964" s="199"/>
      <c r="C964" s="199"/>
      <c r="D964" s="199"/>
      <c r="E964" s="199"/>
      <c r="F964" s="199"/>
      <c r="G964" s="244"/>
      <c r="H964" s="199"/>
      <c r="I964" s="199"/>
      <c r="J964" s="199"/>
      <c r="K964" s="199"/>
      <c r="L964" s="199"/>
      <c r="M964" s="199"/>
      <c r="N964" s="199"/>
      <c r="O964" s="199"/>
      <c r="P964" s="199"/>
      <c r="Q964" s="199"/>
      <c r="R964" s="199"/>
      <c r="S964" s="199"/>
      <c r="T964" s="199"/>
      <c r="U964" s="199"/>
      <c r="V964" s="199"/>
      <c r="W964" s="199"/>
      <c r="X964" s="199"/>
      <c r="Y964" s="199"/>
      <c r="Z964" s="199"/>
      <c r="AA964" s="199"/>
      <c r="AB964" s="199"/>
    </row>
    <row r="965" spans="1:28" ht="12.75">
      <c r="A965" s="199"/>
      <c r="B965" s="199"/>
      <c r="C965" s="199"/>
      <c r="D965" s="199"/>
      <c r="E965" s="199"/>
      <c r="F965" s="199"/>
      <c r="G965" s="244"/>
      <c r="H965" s="199"/>
      <c r="I965" s="199"/>
      <c r="J965" s="199"/>
      <c r="K965" s="199"/>
      <c r="L965" s="199"/>
      <c r="M965" s="199"/>
      <c r="N965" s="199"/>
      <c r="O965" s="199"/>
      <c r="P965" s="199"/>
      <c r="Q965" s="199"/>
      <c r="R965" s="199"/>
      <c r="S965" s="199"/>
      <c r="T965" s="199"/>
      <c r="U965" s="199"/>
      <c r="V965" s="199"/>
      <c r="W965" s="199"/>
      <c r="X965" s="199"/>
      <c r="Y965" s="199"/>
      <c r="Z965" s="199"/>
      <c r="AA965" s="199"/>
      <c r="AB965" s="199"/>
    </row>
    <row r="966" spans="1:28" ht="12.75">
      <c r="A966" s="199"/>
      <c r="B966" s="199"/>
      <c r="C966" s="199"/>
      <c r="D966" s="199"/>
      <c r="E966" s="199"/>
      <c r="F966" s="199"/>
      <c r="G966" s="244"/>
      <c r="H966" s="199"/>
      <c r="I966" s="199"/>
      <c r="J966" s="199"/>
      <c r="K966" s="199"/>
      <c r="L966" s="199"/>
      <c r="M966" s="199"/>
      <c r="N966" s="199"/>
      <c r="O966" s="199"/>
      <c r="P966" s="199"/>
      <c r="Q966" s="199"/>
      <c r="R966" s="199"/>
      <c r="S966" s="199"/>
      <c r="T966" s="199"/>
      <c r="U966" s="199"/>
      <c r="V966" s="199"/>
      <c r="W966" s="199"/>
      <c r="X966" s="199"/>
      <c r="Y966" s="199"/>
      <c r="Z966" s="199"/>
      <c r="AA966" s="199"/>
      <c r="AB966" s="199"/>
    </row>
    <row r="967" spans="1:28" ht="12.75">
      <c r="A967" s="199"/>
      <c r="B967" s="199"/>
      <c r="C967" s="199"/>
      <c r="D967" s="199"/>
      <c r="E967" s="199"/>
      <c r="F967" s="199"/>
      <c r="G967" s="244"/>
      <c r="H967" s="199"/>
      <c r="I967" s="199"/>
      <c r="J967" s="199"/>
      <c r="K967" s="199"/>
      <c r="L967" s="199"/>
      <c r="M967" s="199"/>
      <c r="N967" s="199"/>
      <c r="O967" s="199"/>
      <c r="P967" s="199"/>
      <c r="Q967" s="199"/>
      <c r="R967" s="199"/>
      <c r="S967" s="199"/>
      <c r="T967" s="199"/>
      <c r="U967" s="199"/>
      <c r="V967" s="199"/>
      <c r="W967" s="199"/>
      <c r="X967" s="199"/>
      <c r="Y967" s="199"/>
      <c r="Z967" s="199"/>
      <c r="AA967" s="199"/>
      <c r="AB967" s="199"/>
    </row>
    <row r="968" spans="1:28" ht="12.75">
      <c r="A968" s="199"/>
      <c r="B968" s="199"/>
      <c r="C968" s="199"/>
      <c r="D968" s="199"/>
      <c r="E968" s="199"/>
      <c r="F968" s="199"/>
      <c r="G968" s="244"/>
      <c r="H968" s="199"/>
      <c r="I968" s="199"/>
      <c r="J968" s="199"/>
      <c r="K968" s="199"/>
      <c r="L968" s="199"/>
      <c r="M968" s="199"/>
      <c r="N968" s="199"/>
      <c r="O968" s="199"/>
      <c r="P968" s="199"/>
      <c r="Q968" s="199"/>
      <c r="R968" s="199"/>
      <c r="S968" s="199"/>
      <c r="T968" s="199"/>
      <c r="U968" s="199"/>
      <c r="V968" s="199"/>
      <c r="W968" s="199"/>
      <c r="X968" s="199"/>
      <c r="Y968" s="199"/>
      <c r="Z968" s="199"/>
      <c r="AA968" s="199"/>
      <c r="AB968" s="199"/>
    </row>
    <row r="969" spans="1:28" ht="12.75">
      <c r="A969" s="199"/>
      <c r="B969" s="199"/>
      <c r="C969" s="199"/>
      <c r="D969" s="199"/>
      <c r="E969" s="199"/>
      <c r="F969" s="199"/>
      <c r="G969" s="244"/>
      <c r="H969" s="199"/>
      <c r="I969" s="199"/>
      <c r="J969" s="199"/>
      <c r="K969" s="199"/>
      <c r="L969" s="199"/>
      <c r="M969" s="199"/>
      <c r="N969" s="199"/>
      <c r="O969" s="199"/>
      <c r="P969" s="199"/>
      <c r="Q969" s="199"/>
      <c r="R969" s="199"/>
      <c r="S969" s="199"/>
      <c r="T969" s="199"/>
      <c r="U969" s="199"/>
      <c r="V969" s="199"/>
      <c r="W969" s="199"/>
      <c r="X969" s="199"/>
      <c r="Y969" s="199"/>
      <c r="Z969" s="199"/>
      <c r="AA969" s="199"/>
      <c r="AB969" s="199"/>
    </row>
    <row r="970" spans="1:28" ht="12.75">
      <c r="A970" s="199"/>
      <c r="B970" s="199"/>
      <c r="C970" s="199"/>
      <c r="D970" s="199"/>
      <c r="E970" s="199"/>
      <c r="F970" s="199"/>
      <c r="G970" s="244"/>
      <c r="H970" s="199"/>
      <c r="I970" s="199"/>
      <c r="J970" s="199"/>
      <c r="K970" s="199"/>
      <c r="L970" s="199"/>
      <c r="M970" s="199"/>
      <c r="N970" s="199"/>
      <c r="O970" s="199"/>
      <c r="P970" s="199"/>
      <c r="Q970" s="199"/>
      <c r="R970" s="199"/>
      <c r="S970" s="199"/>
      <c r="T970" s="199"/>
      <c r="U970" s="199"/>
      <c r="V970" s="199"/>
      <c r="W970" s="199"/>
      <c r="X970" s="199"/>
      <c r="Y970" s="199"/>
      <c r="Z970" s="199"/>
      <c r="AA970" s="199"/>
      <c r="AB970" s="199"/>
    </row>
    <row r="971" spans="1:28" ht="12.75">
      <c r="A971" s="199"/>
      <c r="B971" s="199"/>
      <c r="C971" s="199"/>
      <c r="D971" s="199"/>
      <c r="E971" s="199"/>
      <c r="F971" s="199"/>
      <c r="G971" s="244"/>
      <c r="H971" s="199"/>
      <c r="I971" s="199"/>
      <c r="J971" s="199"/>
      <c r="K971" s="199"/>
      <c r="L971" s="199"/>
      <c r="M971" s="199"/>
      <c r="N971" s="199"/>
      <c r="O971" s="199"/>
      <c r="P971" s="199"/>
      <c r="Q971" s="199"/>
      <c r="R971" s="199"/>
      <c r="S971" s="199"/>
      <c r="T971" s="199"/>
      <c r="U971" s="199"/>
      <c r="V971" s="199"/>
      <c r="W971" s="199"/>
      <c r="X971" s="199"/>
      <c r="Y971" s="199"/>
      <c r="Z971" s="199"/>
      <c r="AA971" s="199"/>
      <c r="AB971" s="199"/>
    </row>
    <row r="972" spans="1:28" ht="12.75">
      <c r="A972" s="199"/>
      <c r="B972" s="199"/>
      <c r="C972" s="199"/>
      <c r="D972" s="199"/>
      <c r="E972" s="199"/>
      <c r="F972" s="199"/>
      <c r="G972" s="244"/>
      <c r="H972" s="199"/>
      <c r="I972" s="199"/>
      <c r="J972" s="199"/>
      <c r="K972" s="199"/>
      <c r="L972" s="199"/>
      <c r="M972" s="199"/>
      <c r="N972" s="199"/>
      <c r="O972" s="199"/>
      <c r="P972" s="199"/>
      <c r="Q972" s="199"/>
      <c r="R972" s="199"/>
      <c r="S972" s="199"/>
      <c r="T972" s="199"/>
      <c r="U972" s="199"/>
      <c r="V972" s="199"/>
      <c r="W972" s="199"/>
      <c r="X972" s="199"/>
      <c r="Y972" s="199"/>
      <c r="Z972" s="199"/>
      <c r="AA972" s="199"/>
      <c r="AB972" s="199"/>
    </row>
    <row r="973" spans="1:28" ht="12.75">
      <c r="A973" s="199"/>
      <c r="B973" s="199"/>
      <c r="C973" s="199"/>
      <c r="D973" s="199"/>
      <c r="E973" s="199"/>
      <c r="F973" s="199"/>
      <c r="G973" s="244"/>
      <c r="H973" s="199"/>
      <c r="I973" s="199"/>
      <c r="J973" s="199"/>
      <c r="K973" s="199"/>
      <c r="L973" s="199"/>
      <c r="M973" s="199"/>
      <c r="N973" s="199"/>
      <c r="O973" s="199"/>
      <c r="P973" s="199"/>
      <c r="Q973" s="199"/>
      <c r="R973" s="199"/>
      <c r="S973" s="199"/>
      <c r="T973" s="199"/>
      <c r="U973" s="199"/>
      <c r="V973" s="199"/>
      <c r="W973" s="199"/>
      <c r="X973" s="199"/>
      <c r="Y973" s="199"/>
      <c r="Z973" s="199"/>
      <c r="AA973" s="199"/>
      <c r="AB973" s="199"/>
    </row>
    <row r="974" spans="1:28" ht="12.75">
      <c r="A974" s="199"/>
      <c r="B974" s="199"/>
      <c r="C974" s="199"/>
      <c r="D974" s="199"/>
      <c r="E974" s="199"/>
      <c r="F974" s="199"/>
      <c r="G974" s="244"/>
      <c r="H974" s="199"/>
      <c r="I974" s="199"/>
      <c r="J974" s="199"/>
      <c r="K974" s="199"/>
      <c r="L974" s="199"/>
      <c r="M974" s="199"/>
      <c r="N974" s="199"/>
      <c r="O974" s="199"/>
      <c r="P974" s="199"/>
      <c r="Q974" s="199"/>
      <c r="R974" s="199"/>
      <c r="S974" s="199"/>
      <c r="T974" s="199"/>
      <c r="U974" s="199"/>
      <c r="V974" s="199"/>
      <c r="W974" s="199"/>
      <c r="X974" s="199"/>
      <c r="Y974" s="199"/>
      <c r="Z974" s="199"/>
      <c r="AA974" s="199"/>
      <c r="AB974" s="199"/>
    </row>
    <row r="975" spans="1:28" ht="12.75">
      <c r="A975" s="199"/>
      <c r="B975" s="199"/>
      <c r="C975" s="199"/>
      <c r="D975" s="199"/>
      <c r="E975" s="199"/>
      <c r="F975" s="199"/>
      <c r="G975" s="244"/>
      <c r="H975" s="199"/>
      <c r="I975" s="199"/>
      <c r="J975" s="199"/>
      <c r="K975" s="199"/>
      <c r="L975" s="199"/>
      <c r="M975" s="199"/>
      <c r="N975" s="199"/>
      <c r="O975" s="199"/>
      <c r="P975" s="199"/>
      <c r="Q975" s="199"/>
      <c r="R975" s="199"/>
      <c r="S975" s="199"/>
      <c r="T975" s="199"/>
      <c r="U975" s="199"/>
      <c r="V975" s="199"/>
      <c r="W975" s="199"/>
      <c r="X975" s="199"/>
      <c r="Y975" s="199"/>
      <c r="Z975" s="199"/>
      <c r="AA975" s="199"/>
      <c r="AB975" s="199"/>
    </row>
    <row r="976" spans="1:28" ht="12.75">
      <c r="A976" s="199"/>
      <c r="B976" s="199"/>
      <c r="C976" s="199"/>
      <c r="D976" s="199"/>
      <c r="E976" s="199"/>
      <c r="F976" s="199"/>
      <c r="G976" s="244"/>
      <c r="H976" s="199"/>
      <c r="I976" s="199"/>
      <c r="J976" s="199"/>
      <c r="K976" s="199"/>
      <c r="L976" s="199"/>
      <c r="M976" s="199"/>
      <c r="N976" s="199"/>
      <c r="O976" s="199"/>
      <c r="P976" s="199"/>
      <c r="Q976" s="199"/>
      <c r="R976" s="199"/>
      <c r="S976" s="199"/>
      <c r="T976" s="199"/>
      <c r="U976" s="199"/>
      <c r="V976" s="199"/>
      <c r="W976" s="199"/>
      <c r="X976" s="199"/>
      <c r="Y976" s="199"/>
      <c r="Z976" s="199"/>
      <c r="AA976" s="199"/>
      <c r="AB976" s="199"/>
    </row>
    <row r="977" spans="1:28" ht="12.75">
      <c r="A977" s="199"/>
      <c r="B977" s="199"/>
      <c r="C977" s="199"/>
      <c r="D977" s="199"/>
      <c r="E977" s="199"/>
      <c r="F977" s="199"/>
      <c r="G977" s="244"/>
      <c r="H977" s="199"/>
      <c r="I977" s="199"/>
      <c r="J977" s="199"/>
      <c r="K977" s="199"/>
      <c r="L977" s="199"/>
      <c r="M977" s="199"/>
      <c r="N977" s="199"/>
      <c r="O977" s="199"/>
      <c r="P977" s="199"/>
      <c r="Q977" s="199"/>
      <c r="R977" s="199"/>
      <c r="S977" s="199"/>
      <c r="T977" s="199"/>
      <c r="U977" s="199"/>
      <c r="V977" s="199"/>
      <c r="W977" s="199"/>
      <c r="X977" s="199"/>
      <c r="Y977" s="199"/>
      <c r="Z977" s="199"/>
      <c r="AA977" s="199"/>
      <c r="AB977" s="199"/>
    </row>
    <row r="978" spans="1:28" ht="12.75">
      <c r="A978" s="199"/>
      <c r="B978" s="199"/>
      <c r="C978" s="199"/>
      <c r="D978" s="199"/>
      <c r="E978" s="199"/>
      <c r="F978" s="199"/>
      <c r="G978" s="244"/>
      <c r="H978" s="199"/>
      <c r="I978" s="199"/>
      <c r="J978" s="199"/>
      <c r="K978" s="199"/>
      <c r="L978" s="199"/>
      <c r="M978" s="199"/>
      <c r="N978" s="199"/>
      <c r="O978" s="199"/>
      <c r="P978" s="199"/>
      <c r="Q978" s="199"/>
      <c r="R978" s="199"/>
      <c r="S978" s="199"/>
      <c r="T978" s="199"/>
      <c r="U978" s="199"/>
      <c r="V978" s="199"/>
      <c r="W978" s="199"/>
      <c r="X978" s="199"/>
      <c r="Y978" s="199"/>
      <c r="Z978" s="199"/>
      <c r="AA978" s="199"/>
      <c r="AB978" s="199"/>
    </row>
    <row r="979" spans="1:28" ht="12.75">
      <c r="A979" s="199"/>
      <c r="B979" s="199"/>
      <c r="C979" s="199"/>
      <c r="D979" s="199"/>
      <c r="E979" s="199"/>
      <c r="F979" s="199"/>
      <c r="G979" s="244"/>
      <c r="H979" s="199"/>
      <c r="I979" s="199"/>
      <c r="J979" s="199"/>
      <c r="K979" s="199"/>
      <c r="L979" s="199"/>
      <c r="M979" s="199"/>
      <c r="N979" s="199"/>
      <c r="O979" s="199"/>
      <c r="P979" s="199"/>
      <c r="Q979" s="199"/>
      <c r="R979" s="199"/>
      <c r="S979" s="199"/>
      <c r="T979" s="199"/>
      <c r="U979" s="199"/>
      <c r="V979" s="199"/>
      <c r="W979" s="199"/>
      <c r="X979" s="199"/>
      <c r="Y979" s="199"/>
      <c r="Z979" s="199"/>
      <c r="AA979" s="199"/>
      <c r="AB979" s="199"/>
    </row>
    <row r="980" spans="1:28" ht="12.75">
      <c r="A980" s="199"/>
      <c r="B980" s="199"/>
      <c r="C980" s="199"/>
      <c r="D980" s="199"/>
      <c r="E980" s="199"/>
      <c r="F980" s="199"/>
      <c r="G980" s="244"/>
      <c r="H980" s="199"/>
      <c r="I980" s="199"/>
      <c r="J980" s="199"/>
      <c r="K980" s="199"/>
      <c r="L980" s="199"/>
      <c r="M980" s="199"/>
      <c r="N980" s="199"/>
      <c r="O980" s="199"/>
      <c r="P980" s="199"/>
      <c r="Q980" s="199"/>
      <c r="R980" s="199"/>
      <c r="S980" s="199"/>
      <c r="T980" s="199"/>
      <c r="U980" s="199"/>
      <c r="V980" s="199"/>
      <c r="W980" s="199"/>
      <c r="X980" s="199"/>
      <c r="Y980" s="199"/>
      <c r="Z980" s="199"/>
      <c r="AA980" s="199"/>
      <c r="AB980" s="199"/>
    </row>
    <row r="981" spans="1:28" ht="12.75">
      <c r="A981" s="199"/>
      <c r="B981" s="199"/>
      <c r="C981" s="199"/>
      <c r="D981" s="199"/>
      <c r="E981" s="199"/>
      <c r="F981" s="199"/>
      <c r="G981" s="244"/>
      <c r="H981" s="199"/>
      <c r="I981" s="199"/>
      <c r="J981" s="199"/>
      <c r="K981" s="199"/>
      <c r="L981" s="199"/>
      <c r="M981" s="199"/>
      <c r="N981" s="199"/>
      <c r="O981" s="199"/>
      <c r="P981" s="199"/>
      <c r="Q981" s="199"/>
      <c r="R981" s="199"/>
      <c r="S981" s="199"/>
      <c r="T981" s="199"/>
      <c r="U981" s="199"/>
      <c r="V981" s="199"/>
      <c r="W981" s="199"/>
      <c r="X981" s="199"/>
      <c r="Y981" s="199"/>
      <c r="Z981" s="199"/>
      <c r="AA981" s="199"/>
      <c r="AB981" s="199"/>
    </row>
    <row r="982" spans="1:28" ht="12.75">
      <c r="A982" s="199"/>
      <c r="B982" s="199"/>
      <c r="C982" s="199"/>
      <c r="D982" s="199"/>
      <c r="E982" s="199"/>
      <c r="F982" s="199"/>
      <c r="G982" s="244"/>
      <c r="H982" s="199"/>
      <c r="I982" s="199"/>
      <c r="J982" s="199"/>
      <c r="K982" s="199"/>
      <c r="L982" s="199"/>
      <c r="M982" s="199"/>
      <c r="N982" s="199"/>
      <c r="O982" s="199"/>
      <c r="P982" s="199"/>
      <c r="Q982" s="199"/>
      <c r="R982" s="199"/>
      <c r="S982" s="199"/>
      <c r="T982" s="199"/>
      <c r="U982" s="199"/>
      <c r="V982" s="199"/>
      <c r="W982" s="199"/>
      <c r="X982" s="199"/>
      <c r="Y982" s="199"/>
      <c r="Z982" s="199"/>
      <c r="AA982" s="199"/>
      <c r="AB982" s="199"/>
    </row>
    <row r="983" spans="1:28" ht="12.75">
      <c r="A983" s="199"/>
      <c r="B983" s="199"/>
      <c r="C983" s="199"/>
      <c r="D983" s="199"/>
      <c r="E983" s="199"/>
      <c r="F983" s="199"/>
      <c r="G983" s="244"/>
      <c r="H983" s="199"/>
      <c r="I983" s="199"/>
      <c r="J983" s="199"/>
      <c r="K983" s="199"/>
      <c r="L983" s="199"/>
      <c r="M983" s="199"/>
      <c r="N983" s="199"/>
      <c r="O983" s="199"/>
      <c r="P983" s="199"/>
      <c r="Q983" s="199"/>
      <c r="R983" s="199"/>
      <c r="S983" s="199"/>
      <c r="T983" s="199"/>
      <c r="U983" s="199"/>
      <c r="V983" s="199"/>
      <c r="W983" s="199"/>
      <c r="X983" s="199"/>
      <c r="Y983" s="199"/>
      <c r="Z983" s="199"/>
      <c r="AA983" s="199"/>
      <c r="AB983" s="199"/>
    </row>
    <row r="984" spans="1:28" ht="12.75">
      <c r="A984" s="199"/>
      <c r="B984" s="199"/>
      <c r="C984" s="199"/>
      <c r="D984" s="199"/>
      <c r="E984" s="199"/>
      <c r="F984" s="199"/>
      <c r="G984" s="244"/>
      <c r="H984" s="199"/>
      <c r="I984" s="199"/>
      <c r="J984" s="199"/>
      <c r="K984" s="199"/>
      <c r="L984" s="199"/>
      <c r="M984" s="199"/>
      <c r="N984" s="199"/>
      <c r="O984" s="199"/>
      <c r="P984" s="199"/>
      <c r="Q984" s="199"/>
      <c r="R984" s="199"/>
      <c r="S984" s="199"/>
      <c r="T984" s="199"/>
      <c r="U984" s="199"/>
      <c r="V984" s="199"/>
      <c r="W984" s="199"/>
      <c r="X984" s="199"/>
      <c r="Y984" s="199"/>
      <c r="Z984" s="199"/>
      <c r="AA984" s="199"/>
      <c r="AB984" s="199"/>
    </row>
    <row r="985" spans="1:28" ht="12.75">
      <c r="A985" s="199"/>
      <c r="B985" s="199"/>
      <c r="C985" s="199"/>
      <c r="D985" s="199"/>
      <c r="E985" s="199"/>
      <c r="F985" s="199"/>
      <c r="G985" s="244"/>
      <c r="H985" s="199"/>
      <c r="I985" s="199"/>
      <c r="J985" s="199"/>
      <c r="K985" s="199"/>
      <c r="L985" s="199"/>
      <c r="M985" s="199"/>
      <c r="N985" s="199"/>
      <c r="O985" s="199"/>
      <c r="P985" s="199"/>
      <c r="Q985" s="199"/>
      <c r="R985" s="199"/>
      <c r="S985" s="199"/>
      <c r="T985" s="199"/>
      <c r="U985" s="199"/>
      <c r="V985" s="199"/>
      <c r="W985" s="199"/>
      <c r="X985" s="199"/>
      <c r="Y985" s="199"/>
      <c r="Z985" s="199"/>
      <c r="AA985" s="199"/>
      <c r="AB985" s="199"/>
    </row>
    <row r="986" spans="1:28" ht="12.75">
      <c r="A986" s="199"/>
      <c r="B986" s="199"/>
      <c r="C986" s="199"/>
      <c r="D986" s="199"/>
      <c r="E986" s="199"/>
      <c r="F986" s="199"/>
      <c r="G986" s="244"/>
      <c r="H986" s="199"/>
      <c r="I986" s="199"/>
      <c r="J986" s="199"/>
      <c r="K986" s="199"/>
      <c r="L986" s="199"/>
      <c r="M986" s="199"/>
      <c r="N986" s="199"/>
      <c r="O986" s="199"/>
      <c r="P986" s="199"/>
      <c r="Q986" s="199"/>
      <c r="R986" s="199"/>
      <c r="S986" s="199"/>
      <c r="T986" s="199"/>
      <c r="U986" s="199"/>
      <c r="V986" s="199"/>
      <c r="W986" s="199"/>
      <c r="X986" s="199"/>
      <c r="Y986" s="199"/>
      <c r="Z986" s="199"/>
      <c r="AA986" s="199"/>
      <c r="AB986" s="199"/>
    </row>
    <row r="987" spans="1:28" ht="12.75">
      <c r="A987" s="199"/>
      <c r="B987" s="199"/>
      <c r="C987" s="199"/>
      <c r="D987" s="199"/>
      <c r="E987" s="199"/>
      <c r="F987" s="199"/>
      <c r="G987" s="244"/>
      <c r="H987" s="199"/>
      <c r="I987" s="199"/>
      <c r="J987" s="199"/>
      <c r="K987" s="199"/>
      <c r="L987" s="199"/>
      <c r="M987" s="199"/>
      <c r="N987" s="199"/>
      <c r="O987" s="199"/>
      <c r="P987" s="199"/>
      <c r="Q987" s="199"/>
      <c r="R987" s="199"/>
      <c r="S987" s="199"/>
      <c r="T987" s="199"/>
      <c r="U987" s="199"/>
      <c r="V987" s="199"/>
      <c r="W987" s="199"/>
      <c r="X987" s="199"/>
      <c r="Y987" s="199"/>
      <c r="Z987" s="199"/>
      <c r="AA987" s="199"/>
      <c r="AB987" s="199"/>
    </row>
    <row r="988" spans="1:28" ht="12.75">
      <c r="A988" s="199"/>
      <c r="B988" s="199"/>
      <c r="C988" s="199"/>
      <c r="D988" s="199"/>
      <c r="E988" s="199"/>
      <c r="F988" s="199"/>
      <c r="G988" s="244"/>
      <c r="H988" s="199"/>
      <c r="I988" s="199"/>
      <c r="J988" s="199"/>
      <c r="K988" s="199"/>
      <c r="L988" s="199"/>
      <c r="M988" s="199"/>
      <c r="N988" s="199"/>
      <c r="O988" s="199"/>
      <c r="P988" s="199"/>
      <c r="Q988" s="199"/>
      <c r="R988" s="199"/>
      <c r="S988" s="199"/>
      <c r="T988" s="199"/>
      <c r="U988" s="199"/>
      <c r="V988" s="199"/>
      <c r="W988" s="199"/>
      <c r="X988" s="199"/>
      <c r="Y988" s="199"/>
      <c r="Z988" s="199"/>
      <c r="AA988" s="199"/>
      <c r="AB988" s="199"/>
    </row>
    <row r="989" spans="1:28" ht="12.75">
      <c r="A989" s="199"/>
      <c r="B989" s="199"/>
      <c r="C989" s="199"/>
      <c r="D989" s="199"/>
      <c r="E989" s="199"/>
      <c r="F989" s="199"/>
      <c r="G989" s="244"/>
      <c r="H989" s="199"/>
      <c r="I989" s="199"/>
      <c r="J989" s="199"/>
      <c r="K989" s="199"/>
      <c r="L989" s="199"/>
      <c r="M989" s="199"/>
      <c r="N989" s="199"/>
      <c r="O989" s="199"/>
      <c r="P989" s="199"/>
      <c r="Q989" s="199"/>
      <c r="R989" s="199"/>
      <c r="S989" s="199"/>
      <c r="T989" s="199"/>
      <c r="U989" s="199"/>
      <c r="V989" s="199"/>
      <c r="W989" s="199"/>
      <c r="X989" s="199"/>
      <c r="Y989" s="199"/>
      <c r="Z989" s="199"/>
      <c r="AA989" s="199"/>
      <c r="AB989" s="199"/>
    </row>
    <row r="990" spans="1:28" ht="12.75">
      <c r="A990" s="199"/>
      <c r="B990" s="199"/>
      <c r="C990" s="199"/>
      <c r="D990" s="199"/>
      <c r="E990" s="199"/>
      <c r="F990" s="199"/>
      <c r="G990" s="244"/>
      <c r="H990" s="199"/>
      <c r="I990" s="199"/>
      <c r="J990" s="199"/>
      <c r="K990" s="199"/>
      <c r="L990" s="199"/>
      <c r="M990" s="199"/>
      <c r="N990" s="199"/>
      <c r="O990" s="199"/>
      <c r="P990" s="199"/>
      <c r="Q990" s="199"/>
      <c r="R990" s="199"/>
      <c r="S990" s="199"/>
      <c r="T990" s="199"/>
      <c r="U990" s="199"/>
      <c r="V990" s="199"/>
      <c r="W990" s="199"/>
      <c r="X990" s="199"/>
      <c r="Y990" s="199"/>
      <c r="Z990" s="199"/>
      <c r="AA990" s="199"/>
      <c r="AB990" s="199"/>
    </row>
    <row r="991" spans="1:28" ht="12.75">
      <c r="A991" s="199"/>
      <c r="B991" s="199"/>
      <c r="C991" s="199"/>
      <c r="D991" s="199"/>
      <c r="E991" s="199"/>
      <c r="F991" s="199"/>
      <c r="G991" s="244"/>
      <c r="H991" s="199"/>
      <c r="I991" s="199"/>
      <c r="J991" s="199"/>
      <c r="K991" s="199"/>
      <c r="L991" s="199"/>
      <c r="M991" s="199"/>
      <c r="N991" s="199"/>
      <c r="O991" s="199"/>
      <c r="P991" s="199"/>
      <c r="Q991" s="199"/>
      <c r="R991" s="199"/>
      <c r="S991" s="199"/>
      <c r="T991" s="199"/>
      <c r="U991" s="199"/>
      <c r="V991" s="199"/>
      <c r="W991" s="199"/>
      <c r="X991" s="199"/>
      <c r="Y991" s="199"/>
      <c r="Z991" s="199"/>
      <c r="AA991" s="199"/>
      <c r="AB991" s="199"/>
    </row>
    <row r="992" spans="1:28" ht="12.75">
      <c r="A992" s="199"/>
      <c r="B992" s="199"/>
      <c r="C992" s="199"/>
      <c r="D992" s="199"/>
      <c r="E992" s="199"/>
      <c r="F992" s="199"/>
      <c r="G992" s="244"/>
      <c r="H992" s="199"/>
      <c r="I992" s="199"/>
      <c r="J992" s="199"/>
      <c r="K992" s="199"/>
      <c r="L992" s="199"/>
      <c r="M992" s="199"/>
      <c r="N992" s="199"/>
      <c r="O992" s="199"/>
      <c r="P992" s="199"/>
      <c r="Q992" s="199"/>
      <c r="R992" s="199"/>
      <c r="S992" s="199"/>
      <c r="T992" s="199"/>
      <c r="U992" s="199"/>
      <c r="V992" s="199"/>
      <c r="W992" s="199"/>
      <c r="X992" s="199"/>
      <c r="Y992" s="199"/>
      <c r="Z992" s="199"/>
      <c r="AA992" s="199"/>
      <c r="AB992" s="199"/>
    </row>
    <row r="993" spans="1:28" ht="12.75">
      <c r="A993" s="199"/>
      <c r="B993" s="199"/>
      <c r="C993" s="199"/>
      <c r="D993" s="199"/>
      <c r="E993" s="199"/>
      <c r="F993" s="199"/>
      <c r="G993" s="244"/>
      <c r="H993" s="199"/>
      <c r="I993" s="199"/>
      <c r="J993" s="199"/>
      <c r="K993" s="199"/>
      <c r="L993" s="199"/>
      <c r="M993" s="199"/>
      <c r="N993" s="199"/>
      <c r="O993" s="199"/>
      <c r="P993" s="199"/>
      <c r="Q993" s="199"/>
      <c r="R993" s="199"/>
      <c r="S993" s="199"/>
      <c r="T993" s="199"/>
      <c r="U993" s="199"/>
      <c r="V993" s="199"/>
      <c r="W993" s="199"/>
      <c r="X993" s="199"/>
      <c r="Y993" s="199"/>
      <c r="Z993" s="199"/>
      <c r="AA993" s="199"/>
      <c r="AB993" s="199"/>
    </row>
    <row r="994" spans="1:28" ht="12.75">
      <c r="A994" s="199"/>
      <c r="B994" s="199"/>
      <c r="C994" s="199"/>
      <c r="D994" s="199"/>
      <c r="E994" s="199"/>
      <c r="F994" s="199"/>
      <c r="G994" s="244"/>
      <c r="H994" s="199"/>
      <c r="I994" s="199"/>
      <c r="J994" s="199"/>
      <c r="K994" s="199"/>
      <c r="L994" s="199"/>
      <c r="M994" s="199"/>
      <c r="N994" s="199"/>
      <c r="O994" s="199"/>
      <c r="P994" s="199"/>
      <c r="Q994" s="199"/>
      <c r="R994" s="199"/>
      <c r="S994" s="199"/>
      <c r="T994" s="199"/>
      <c r="U994" s="199"/>
      <c r="V994" s="199"/>
      <c r="W994" s="199"/>
      <c r="X994" s="199"/>
      <c r="Y994" s="199"/>
      <c r="Z994" s="199"/>
      <c r="AA994" s="199"/>
      <c r="AB994" s="199"/>
    </row>
    <row r="995" spans="1:28" ht="12.75">
      <c r="A995" s="199"/>
      <c r="B995" s="199"/>
      <c r="C995" s="199"/>
      <c r="D995" s="199"/>
      <c r="E995" s="199"/>
      <c r="F995" s="199"/>
      <c r="G995" s="244"/>
      <c r="H995" s="199"/>
      <c r="I995" s="199"/>
      <c r="J995" s="199"/>
      <c r="K995" s="199"/>
      <c r="L995" s="199"/>
      <c r="M995" s="199"/>
      <c r="N995" s="199"/>
      <c r="O995" s="199"/>
      <c r="P995" s="199"/>
      <c r="Q995" s="199"/>
      <c r="R995" s="199"/>
      <c r="S995" s="199"/>
      <c r="T995" s="199"/>
      <c r="U995" s="199"/>
      <c r="V995" s="199"/>
      <c r="W995" s="199"/>
      <c r="X995" s="199"/>
      <c r="Y995" s="199"/>
      <c r="Z995" s="199"/>
      <c r="AA995" s="199"/>
      <c r="AB995" s="199"/>
    </row>
    <row r="996" spans="1:28" ht="12.75">
      <c r="A996" s="199"/>
      <c r="B996" s="199"/>
      <c r="C996" s="199"/>
      <c r="D996" s="199"/>
      <c r="E996" s="199"/>
      <c r="F996" s="199"/>
      <c r="G996" s="244"/>
      <c r="H996" s="199"/>
      <c r="I996" s="199"/>
      <c r="J996" s="199"/>
      <c r="K996" s="199"/>
      <c r="L996" s="199"/>
      <c r="M996" s="199"/>
      <c r="N996" s="199"/>
      <c r="O996" s="199"/>
      <c r="P996" s="199"/>
      <c r="Q996" s="199"/>
      <c r="R996" s="199"/>
      <c r="S996" s="199"/>
      <c r="T996" s="199"/>
      <c r="U996" s="199"/>
      <c r="V996" s="199"/>
      <c r="W996" s="199"/>
      <c r="X996" s="199"/>
      <c r="Y996" s="199"/>
      <c r="Z996" s="199"/>
      <c r="AA996" s="199"/>
      <c r="AB996" s="199"/>
    </row>
    <row r="997" spans="1:28" ht="12.75">
      <c r="A997" s="199"/>
      <c r="B997" s="199"/>
      <c r="C997" s="199"/>
      <c r="D997" s="199"/>
      <c r="E997" s="199"/>
      <c r="F997" s="199"/>
      <c r="G997" s="244"/>
      <c r="H997" s="199"/>
      <c r="I997" s="199"/>
      <c r="J997" s="199"/>
      <c r="K997" s="199"/>
      <c r="L997" s="199"/>
      <c r="M997" s="199"/>
      <c r="N997" s="199"/>
      <c r="O997" s="199"/>
      <c r="P997" s="199"/>
      <c r="Q997" s="199"/>
      <c r="R997" s="199"/>
      <c r="S997" s="199"/>
      <c r="T997" s="199"/>
      <c r="U997" s="199"/>
      <c r="V997" s="199"/>
      <c r="W997" s="199"/>
      <c r="X997" s="199"/>
      <c r="Y997" s="199"/>
      <c r="Z997" s="199"/>
      <c r="AA997" s="199"/>
      <c r="AB997" s="199"/>
    </row>
    <row r="998" spans="1:28" ht="12.75">
      <c r="A998" s="199"/>
      <c r="B998" s="199"/>
      <c r="C998" s="199"/>
      <c r="D998" s="199"/>
      <c r="E998" s="199"/>
      <c r="F998" s="199"/>
      <c r="G998" s="244"/>
      <c r="H998" s="199"/>
      <c r="I998" s="199"/>
      <c r="J998" s="199"/>
      <c r="K998" s="199"/>
      <c r="L998" s="199"/>
      <c r="M998" s="199"/>
      <c r="N998" s="199"/>
      <c r="O998" s="199"/>
      <c r="P998" s="199"/>
      <c r="Q998" s="199"/>
      <c r="R998" s="199"/>
      <c r="S998" s="199"/>
      <c r="T998" s="199"/>
      <c r="U998" s="199"/>
      <c r="V998" s="199"/>
      <c r="W998" s="199"/>
      <c r="X998" s="199"/>
      <c r="Y998" s="199"/>
      <c r="Z998" s="199"/>
      <c r="AA998" s="199"/>
      <c r="AB998" s="199"/>
    </row>
    <row r="999" spans="1:28" ht="12.75">
      <c r="A999" s="199"/>
      <c r="B999" s="199"/>
      <c r="C999" s="199"/>
      <c r="D999" s="199"/>
      <c r="E999" s="199"/>
      <c r="F999" s="199"/>
      <c r="G999" s="244"/>
      <c r="H999" s="199"/>
      <c r="I999" s="199"/>
      <c r="J999" s="199"/>
      <c r="K999" s="199"/>
      <c r="L999" s="199"/>
      <c r="M999" s="199"/>
      <c r="N999" s="199"/>
      <c r="O999" s="199"/>
      <c r="P999" s="199"/>
      <c r="Q999" s="199"/>
      <c r="R999" s="199"/>
      <c r="S999" s="199"/>
      <c r="T999" s="199"/>
      <c r="U999" s="199"/>
      <c r="V999" s="199"/>
      <c r="W999" s="199"/>
      <c r="X999" s="199"/>
      <c r="Y999" s="199"/>
      <c r="Z999" s="199"/>
      <c r="AA999" s="199"/>
      <c r="AB999" s="199"/>
    </row>
    <row r="1000" spans="1:28" ht="12.75">
      <c r="A1000" s="199"/>
      <c r="B1000" s="199"/>
      <c r="C1000" s="199"/>
      <c r="D1000" s="199"/>
      <c r="E1000" s="199"/>
      <c r="F1000" s="199"/>
      <c r="G1000" s="244"/>
      <c r="H1000" s="199"/>
      <c r="I1000" s="199"/>
      <c r="J1000" s="199"/>
      <c r="K1000" s="199"/>
      <c r="L1000" s="199"/>
      <c r="M1000" s="199"/>
      <c r="N1000" s="199"/>
      <c r="O1000" s="199"/>
      <c r="P1000" s="199"/>
      <c r="Q1000" s="199"/>
      <c r="R1000" s="199"/>
      <c r="S1000" s="199"/>
      <c r="T1000" s="199"/>
      <c r="U1000" s="199"/>
      <c r="V1000" s="199"/>
      <c r="W1000" s="199"/>
      <c r="X1000" s="199"/>
      <c r="Y1000" s="199"/>
      <c r="Z1000" s="199"/>
      <c r="AA1000" s="199"/>
      <c r="AB1000" s="199"/>
    </row>
    <row r="1001" spans="1:28" ht="12.75">
      <c r="A1001" s="199"/>
      <c r="B1001" s="199"/>
      <c r="C1001" s="199"/>
      <c r="D1001" s="199"/>
      <c r="E1001" s="199"/>
      <c r="F1001" s="199"/>
      <c r="G1001" s="244"/>
      <c r="H1001" s="199"/>
      <c r="I1001" s="199"/>
      <c r="J1001" s="199"/>
      <c r="K1001" s="199"/>
      <c r="L1001" s="199"/>
      <c r="M1001" s="199"/>
      <c r="N1001" s="199"/>
      <c r="O1001" s="199"/>
      <c r="P1001" s="199"/>
      <c r="Q1001" s="199"/>
      <c r="R1001" s="199"/>
      <c r="S1001" s="199"/>
      <c r="T1001" s="199"/>
      <c r="U1001" s="199"/>
      <c r="V1001" s="199"/>
      <c r="W1001" s="199"/>
      <c r="X1001" s="199"/>
      <c r="Y1001" s="199"/>
      <c r="Z1001" s="199"/>
      <c r="AA1001" s="199"/>
      <c r="AB1001" s="199"/>
    </row>
    <row r="1002" spans="1:28" ht="12.75">
      <c r="A1002" s="199"/>
      <c r="B1002" s="199"/>
      <c r="C1002" s="199"/>
      <c r="D1002" s="199"/>
      <c r="E1002" s="199"/>
      <c r="F1002" s="199"/>
      <c r="G1002" s="244"/>
      <c r="H1002" s="199"/>
      <c r="I1002" s="199"/>
      <c r="J1002" s="199"/>
      <c r="K1002" s="199"/>
      <c r="L1002" s="199"/>
      <c r="M1002" s="199"/>
      <c r="N1002" s="199"/>
      <c r="O1002" s="199"/>
      <c r="P1002" s="199"/>
      <c r="Q1002" s="199"/>
      <c r="R1002" s="199"/>
      <c r="S1002" s="199"/>
      <c r="T1002" s="199"/>
      <c r="U1002" s="199"/>
      <c r="V1002" s="199"/>
      <c r="W1002" s="199"/>
      <c r="X1002" s="199"/>
      <c r="Y1002" s="199"/>
      <c r="Z1002" s="199"/>
      <c r="AA1002" s="199"/>
      <c r="AB1002" s="199"/>
    </row>
    <row r="1003" spans="1:28" ht="12.75">
      <c r="A1003" s="199"/>
      <c r="B1003" s="199"/>
      <c r="C1003" s="199"/>
      <c r="D1003" s="199"/>
      <c r="E1003" s="199"/>
      <c r="F1003" s="199"/>
      <c r="G1003" s="244"/>
      <c r="H1003" s="199"/>
      <c r="I1003" s="199"/>
      <c r="J1003" s="199"/>
      <c r="K1003" s="199"/>
      <c r="L1003" s="199"/>
      <c r="M1003" s="199"/>
      <c r="N1003" s="199"/>
      <c r="O1003" s="199"/>
      <c r="P1003" s="199"/>
      <c r="Q1003" s="199"/>
      <c r="R1003" s="199"/>
      <c r="S1003" s="199"/>
      <c r="T1003" s="199"/>
      <c r="U1003" s="199"/>
      <c r="V1003" s="199"/>
      <c r="W1003" s="199"/>
      <c r="X1003" s="199"/>
      <c r="Y1003" s="199"/>
      <c r="Z1003" s="199"/>
      <c r="AA1003" s="199"/>
      <c r="AB1003" s="199"/>
    </row>
    <row r="1004" spans="1:28" ht="12.75">
      <c r="A1004" s="199"/>
      <c r="B1004" s="199"/>
      <c r="C1004" s="199"/>
      <c r="D1004" s="199"/>
      <c r="E1004" s="199"/>
      <c r="F1004" s="199"/>
      <c r="G1004" s="244"/>
      <c r="H1004" s="199"/>
      <c r="I1004" s="199"/>
      <c r="J1004" s="199"/>
      <c r="K1004" s="199"/>
      <c r="L1004" s="199"/>
      <c r="M1004" s="199"/>
      <c r="N1004" s="199"/>
      <c r="O1004" s="199"/>
      <c r="P1004" s="199"/>
      <c r="Q1004" s="199"/>
      <c r="R1004" s="199"/>
      <c r="S1004" s="199"/>
      <c r="T1004" s="199"/>
      <c r="U1004" s="199"/>
      <c r="V1004" s="199"/>
      <c r="W1004" s="199"/>
      <c r="X1004" s="199"/>
      <c r="Y1004" s="199"/>
      <c r="Z1004" s="199"/>
      <c r="AA1004" s="199"/>
      <c r="AB1004" s="199"/>
    </row>
    <row r="1005" spans="1:28" ht="12.75">
      <c r="A1005" s="199"/>
      <c r="B1005" s="199"/>
      <c r="C1005" s="199"/>
      <c r="D1005" s="199"/>
      <c r="E1005" s="199"/>
      <c r="F1005" s="199"/>
      <c r="G1005" s="244"/>
      <c r="H1005" s="199"/>
      <c r="I1005" s="199"/>
      <c r="J1005" s="199"/>
      <c r="K1005" s="199"/>
      <c r="L1005" s="199"/>
      <c r="M1005" s="199"/>
      <c r="N1005" s="199"/>
      <c r="O1005" s="199"/>
      <c r="P1005" s="199"/>
      <c r="Q1005" s="199"/>
      <c r="R1005" s="199"/>
      <c r="S1005" s="199"/>
      <c r="T1005" s="199"/>
      <c r="U1005" s="199"/>
      <c r="V1005" s="199"/>
      <c r="W1005" s="199"/>
      <c r="X1005" s="199"/>
      <c r="Y1005" s="199"/>
      <c r="Z1005" s="199"/>
      <c r="AA1005" s="199"/>
      <c r="AB1005" s="199"/>
    </row>
  </sheetData>
  <printOptions horizontalCentered="1" gridLines="1"/>
  <pageMargins left="1" right="1" top="1" bottom="1" header="0" footer="0"/>
  <pageSetup paperSize="9" pageOrder="overThenDown" orientation="portrait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C1005"/>
  <sheetViews>
    <sheetView workbookViewId="0"/>
  </sheetViews>
  <sheetFormatPr defaultColWidth="12.5703125" defaultRowHeight="15.75" customHeight="1"/>
  <cols>
    <col min="2" max="2" width="20.28515625" customWidth="1"/>
    <col min="7" max="7" width="13.85546875" customWidth="1"/>
    <col min="10" max="10" width="16.28515625" customWidth="1"/>
    <col min="11" max="11" width="34.7109375" customWidth="1"/>
    <col min="13" max="13" width="11.28515625" customWidth="1"/>
    <col min="14" max="14" width="22.7109375" customWidth="1"/>
  </cols>
  <sheetData>
    <row r="1" spans="1:29" ht="15.75" customHeight="1">
      <c r="A1" s="245"/>
      <c r="B1" s="246"/>
      <c r="C1" s="246" t="s">
        <v>115</v>
      </c>
      <c r="D1" s="245"/>
      <c r="E1" s="245"/>
      <c r="F1" s="245"/>
      <c r="G1" s="247"/>
      <c r="H1" s="245"/>
      <c r="I1" s="245"/>
      <c r="J1" s="246" t="s">
        <v>116</v>
      </c>
      <c r="K1" s="245"/>
      <c r="L1" s="245"/>
      <c r="M1" s="245"/>
      <c r="N1" s="245"/>
      <c r="O1" s="246">
        <v>830</v>
      </c>
    </row>
    <row r="2" spans="1:29" ht="15.75" customHeight="1">
      <c r="A2" s="245"/>
      <c r="B2" s="248"/>
      <c r="C2" s="248" t="s">
        <v>117</v>
      </c>
      <c r="D2" s="248" t="s">
        <v>167</v>
      </c>
      <c r="E2" s="248" t="s">
        <v>119</v>
      </c>
      <c r="F2" s="248" t="s">
        <v>120</v>
      </c>
      <c r="G2" s="249" t="s">
        <v>168</v>
      </c>
      <c r="H2" s="248" t="s">
        <v>122</v>
      </c>
      <c r="I2" s="250" t="s">
        <v>123</v>
      </c>
      <c r="J2" s="248" t="s">
        <v>148</v>
      </c>
      <c r="K2" s="251"/>
      <c r="L2" s="251"/>
      <c r="M2" s="245"/>
      <c r="N2" s="245"/>
      <c r="O2" s="245"/>
    </row>
    <row r="3" spans="1:29" ht="15.75" customHeight="1">
      <c r="A3" s="252"/>
      <c r="B3" s="253"/>
      <c r="C3" s="253">
        <f t="shared" ref="C3:L3" si="0">SUM(C4:C6)</f>
        <v>36609000</v>
      </c>
      <c r="D3" s="253">
        <f t="shared" si="0"/>
        <v>26876399.620000001</v>
      </c>
      <c r="E3" s="253">
        <f t="shared" si="0"/>
        <v>0</v>
      </c>
      <c r="F3" s="253">
        <f t="shared" si="0"/>
        <v>9732600.379999999</v>
      </c>
      <c r="G3" s="253">
        <f t="shared" si="0"/>
        <v>1746000</v>
      </c>
      <c r="H3" s="253">
        <f t="shared" si="0"/>
        <v>7986600.379999999</v>
      </c>
      <c r="I3" s="253">
        <f t="shared" si="0"/>
        <v>0</v>
      </c>
      <c r="J3" s="253">
        <f t="shared" si="0"/>
        <v>-3000000</v>
      </c>
      <c r="K3" s="253">
        <f t="shared" si="0"/>
        <v>0</v>
      </c>
      <c r="L3" s="253">
        <f t="shared" si="0"/>
        <v>-824444.98999999836</v>
      </c>
      <c r="M3" s="254"/>
      <c r="N3" s="254"/>
      <c r="O3" s="254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</row>
    <row r="4" spans="1:29" ht="15.75" customHeight="1">
      <c r="A4" s="256" t="s">
        <v>125</v>
      </c>
      <c r="B4" s="257"/>
      <c r="C4" s="257">
        <f>28703000+4124000</f>
        <v>32827000</v>
      </c>
      <c r="D4" s="257">
        <v>24184999.620000001</v>
      </c>
      <c r="E4" s="257" t="s">
        <v>126</v>
      </c>
      <c r="F4" s="257">
        <f t="shared" ref="F4:F6" si="1">C4-D4</f>
        <v>8642000.379999999</v>
      </c>
      <c r="G4" s="258">
        <f>'передвижка платежи'!G4</f>
        <v>1510000</v>
      </c>
      <c r="H4" s="257">
        <f t="shared" ref="H4:H6" si="2">F4-G4</f>
        <v>7132000.379999999</v>
      </c>
      <c r="I4" s="259">
        <f>'передвижка платежи'!I4</f>
        <v>0</v>
      </c>
      <c r="J4" s="259">
        <f>'передвижка платежи'!J4</f>
        <v>-3000000</v>
      </c>
      <c r="K4" s="257" t="s">
        <v>27</v>
      </c>
      <c r="L4" s="260"/>
      <c r="M4" s="245"/>
      <c r="N4" s="245"/>
      <c r="O4" s="245"/>
    </row>
    <row r="5" spans="1:29" ht="15.75" customHeight="1">
      <c r="A5" s="256" t="s">
        <v>127</v>
      </c>
      <c r="B5" s="257"/>
      <c r="C5" s="257">
        <f>2896000+232000</f>
        <v>3128000</v>
      </c>
      <c r="D5" s="257">
        <v>2660000</v>
      </c>
      <c r="E5" s="257" t="s">
        <v>126</v>
      </c>
      <c r="F5" s="257">
        <f t="shared" si="1"/>
        <v>468000</v>
      </c>
      <c r="G5" s="258">
        <f>'передвижка платежи'!G5</f>
        <v>236000</v>
      </c>
      <c r="H5" s="257">
        <f t="shared" si="2"/>
        <v>232000</v>
      </c>
      <c r="I5" s="259">
        <f>'передвижка платежи'!I5</f>
        <v>0</v>
      </c>
      <c r="J5" s="259">
        <f>'передвижка платежи'!J5</f>
        <v>0</v>
      </c>
      <c r="K5" s="257"/>
      <c r="L5" s="257">
        <v>-30025790</v>
      </c>
      <c r="M5" s="245"/>
      <c r="N5" s="245"/>
      <c r="O5" s="245"/>
    </row>
    <row r="6" spans="1:29" ht="15.75" customHeight="1">
      <c r="A6" s="256" t="s">
        <v>128</v>
      </c>
      <c r="B6" s="257"/>
      <c r="C6" s="257">
        <f>88000+566000</f>
        <v>654000</v>
      </c>
      <c r="D6" s="257">
        <v>31400</v>
      </c>
      <c r="E6" s="257" t="s">
        <v>126</v>
      </c>
      <c r="F6" s="257">
        <f t="shared" si="1"/>
        <v>622600</v>
      </c>
      <c r="G6" s="258">
        <f>'передвижка платежи'!G6</f>
        <v>0</v>
      </c>
      <c r="H6" s="257">
        <f t="shared" si="2"/>
        <v>622600</v>
      </c>
      <c r="I6" s="261"/>
      <c r="J6" s="257"/>
      <c r="K6" s="257" t="s">
        <v>169</v>
      </c>
      <c r="L6" s="257">
        <v>29201345.010000002</v>
      </c>
      <c r="M6" s="245"/>
      <c r="N6" s="245"/>
      <c r="O6" s="245"/>
    </row>
    <row r="7" spans="1:29" ht="15.75" customHeight="1">
      <c r="A7" s="262"/>
      <c r="B7" s="263"/>
      <c r="C7" s="263">
        <f t="shared" ref="C7:L7" si="3">SUM(C8:C10)</f>
        <v>355790600</v>
      </c>
      <c r="D7" s="263">
        <f t="shared" si="3"/>
        <v>291014186.88</v>
      </c>
      <c r="E7" s="263">
        <f t="shared" si="3"/>
        <v>0</v>
      </c>
      <c r="F7" s="263">
        <f t="shared" si="3"/>
        <v>64776413.120000005</v>
      </c>
      <c r="G7" s="263">
        <f t="shared" si="3"/>
        <v>0</v>
      </c>
      <c r="H7" s="263">
        <f t="shared" si="3"/>
        <v>64776413.120000005</v>
      </c>
      <c r="I7" s="263">
        <f t="shared" si="3"/>
        <v>1400000</v>
      </c>
      <c r="J7" s="263">
        <f t="shared" si="3"/>
        <v>50108089.920000002</v>
      </c>
      <c r="K7" s="263">
        <f t="shared" si="3"/>
        <v>0</v>
      </c>
      <c r="L7" s="263">
        <f t="shared" si="3"/>
        <v>-824444.99</v>
      </c>
      <c r="M7" s="254"/>
      <c r="N7" s="254"/>
      <c r="O7" s="254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</row>
    <row r="8" spans="1:29" ht="15.75" customHeight="1">
      <c r="A8" s="256" t="s">
        <v>130</v>
      </c>
      <c r="B8" s="257"/>
      <c r="C8" s="257">
        <v>86197000</v>
      </c>
      <c r="D8" s="257">
        <v>72928676.799999997</v>
      </c>
      <c r="E8" s="257" t="s">
        <v>126</v>
      </c>
      <c r="F8" s="257">
        <f t="shared" ref="F8:F10" si="4">C8-D8</f>
        <v>13268323.200000003</v>
      </c>
      <c r="G8" s="258">
        <v>0</v>
      </c>
      <c r="H8" s="257">
        <f t="shared" ref="H8:H10" si="5">F8-G8</f>
        <v>13268323.200000003</v>
      </c>
      <c r="I8" s="259">
        <f>'передвижка платежи'!I8</f>
        <v>0</v>
      </c>
      <c r="J8" s="260"/>
      <c r="K8" s="264" t="s">
        <v>170</v>
      </c>
      <c r="L8" s="260"/>
      <c r="M8" s="265">
        <f>F8+H8</f>
        <v>26536646.400000006</v>
      </c>
      <c r="N8" s="245"/>
      <c r="O8" s="245"/>
    </row>
    <row r="9" spans="1:29" ht="60">
      <c r="A9" s="266" t="s">
        <v>132</v>
      </c>
      <c r="B9" s="267"/>
      <c r="C9" s="267">
        <v>135804500</v>
      </c>
      <c r="D9" s="267">
        <v>89178423.25</v>
      </c>
      <c r="E9" s="267" t="s">
        <v>126</v>
      </c>
      <c r="F9" s="267">
        <f t="shared" si="4"/>
        <v>46626076.75</v>
      </c>
      <c r="G9" s="268"/>
      <c r="H9" s="267">
        <f t="shared" si="5"/>
        <v>46626076.75</v>
      </c>
      <c r="I9" s="269"/>
      <c r="J9" s="267">
        <v>46626076.75</v>
      </c>
      <c r="K9" s="270" t="s">
        <v>171</v>
      </c>
      <c r="L9" s="267">
        <v>-824444.99</v>
      </c>
      <c r="M9" s="271"/>
      <c r="N9" s="271" t="s">
        <v>134</v>
      </c>
      <c r="O9" s="271" t="s">
        <v>135</v>
      </c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</row>
    <row r="10" spans="1:29" ht="15.75" customHeight="1">
      <c r="A10" s="256" t="s">
        <v>136</v>
      </c>
      <c r="B10" s="257"/>
      <c r="C10" s="257">
        <v>133789100</v>
      </c>
      <c r="D10" s="257">
        <v>128907086.83</v>
      </c>
      <c r="E10" s="257" t="s">
        <v>126</v>
      </c>
      <c r="F10" s="257">
        <f t="shared" si="4"/>
        <v>4882013.1700000018</v>
      </c>
      <c r="G10" s="273"/>
      <c r="H10" s="257">
        <f t="shared" si="5"/>
        <v>4882013.1700000018</v>
      </c>
      <c r="I10" s="259">
        <v>1400000</v>
      </c>
      <c r="J10" s="260">
        <f>H10-I10</f>
        <v>3482013.1700000018</v>
      </c>
      <c r="K10" s="264" t="s">
        <v>172</v>
      </c>
      <c r="L10" s="257" t="s">
        <v>173</v>
      </c>
      <c r="M10" s="246"/>
      <c r="N10" s="246" t="s">
        <v>138</v>
      </c>
      <c r="O10" s="274" t="s">
        <v>139</v>
      </c>
      <c r="P10" s="12" t="s">
        <v>140</v>
      </c>
    </row>
    <row r="11" spans="1:29" ht="15.75" customHeight="1">
      <c r="A11" s="262"/>
      <c r="B11" s="263"/>
      <c r="C11" s="263">
        <f t="shared" ref="C11:L11" si="6">SUM(C12:C13)</f>
        <v>1002300000</v>
      </c>
      <c r="D11" s="263">
        <f t="shared" si="6"/>
        <v>7387520</v>
      </c>
      <c r="E11" s="263">
        <f t="shared" si="6"/>
        <v>0</v>
      </c>
      <c r="F11" s="263">
        <f t="shared" si="6"/>
        <v>994912480</v>
      </c>
      <c r="G11" s="263">
        <f t="shared" si="6"/>
        <v>924000000</v>
      </c>
      <c r="H11" s="263">
        <f t="shared" si="6"/>
        <v>70912480</v>
      </c>
      <c r="I11" s="263">
        <f t="shared" si="6"/>
        <v>0</v>
      </c>
      <c r="J11" s="263">
        <f t="shared" si="6"/>
        <v>0</v>
      </c>
      <c r="K11" s="263">
        <f t="shared" si="6"/>
        <v>0</v>
      </c>
      <c r="L11" s="263">
        <f t="shared" si="6"/>
        <v>0</v>
      </c>
      <c r="M11" s="254"/>
      <c r="N11" s="254"/>
      <c r="O11" s="254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</row>
    <row r="12" spans="1:29" ht="15.75" customHeight="1">
      <c r="A12" s="256" t="s">
        <v>141</v>
      </c>
      <c r="B12" s="257"/>
      <c r="C12" s="257">
        <v>924000000</v>
      </c>
      <c r="D12" s="260"/>
      <c r="E12" s="260"/>
      <c r="F12" s="257">
        <f t="shared" ref="F12:F13" si="7">C12-D12</f>
        <v>924000000</v>
      </c>
      <c r="G12" s="258">
        <v>924000000</v>
      </c>
      <c r="H12" s="257">
        <f t="shared" ref="H12:H13" si="8">F12-G12</f>
        <v>0</v>
      </c>
      <c r="I12" s="261"/>
      <c r="J12" s="257"/>
      <c r="K12" s="257" t="s">
        <v>116</v>
      </c>
      <c r="L12" s="260"/>
      <c r="M12" s="245"/>
      <c r="N12" s="245"/>
      <c r="O12" s="245"/>
    </row>
    <row r="13" spans="1:29" ht="15.75" customHeight="1">
      <c r="A13" s="256" t="s">
        <v>142</v>
      </c>
      <c r="B13" s="257"/>
      <c r="C13" s="257">
        <v>78300000</v>
      </c>
      <c r="D13" s="257">
        <v>7387520</v>
      </c>
      <c r="E13" s="257" t="s">
        <v>126</v>
      </c>
      <c r="F13" s="257">
        <f t="shared" si="7"/>
        <v>70912480</v>
      </c>
      <c r="G13" s="273">
        <v>0</v>
      </c>
      <c r="H13" s="257">
        <f t="shared" si="8"/>
        <v>70912480</v>
      </c>
      <c r="I13" s="261"/>
      <c r="J13" s="275"/>
      <c r="K13" s="260"/>
      <c r="L13" s="260"/>
      <c r="M13" s="245"/>
      <c r="N13" s="245"/>
      <c r="O13" s="245"/>
    </row>
    <row r="14" spans="1:29" ht="15.75" customHeight="1">
      <c r="A14" s="262"/>
      <c r="B14" s="263"/>
      <c r="C14" s="263">
        <f t="shared" ref="C14:H14" si="9">SUM(C15:C25)</f>
        <v>697077400</v>
      </c>
      <c r="D14" s="263">
        <f t="shared" si="9"/>
        <v>629889811.85000002</v>
      </c>
      <c r="E14" s="263">
        <f t="shared" si="9"/>
        <v>0</v>
      </c>
      <c r="F14" s="263">
        <f t="shared" si="9"/>
        <v>67187588.149999991</v>
      </c>
      <c r="G14" s="263">
        <f t="shared" si="9"/>
        <v>43231899</v>
      </c>
      <c r="H14" s="263">
        <f t="shared" si="9"/>
        <v>23955689.149999999</v>
      </c>
      <c r="I14" s="263"/>
      <c r="J14" s="263"/>
      <c r="K14" s="263">
        <f t="shared" ref="K14:L14" si="10">SUM(K15:K25)</f>
        <v>0</v>
      </c>
      <c r="L14" s="263">
        <f t="shared" si="10"/>
        <v>0</v>
      </c>
      <c r="M14" s="254"/>
      <c r="N14" s="254"/>
      <c r="O14" s="254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</row>
    <row r="15" spans="1:29" ht="15.75" customHeight="1">
      <c r="A15" s="256" t="s">
        <v>144</v>
      </c>
      <c r="B15" s="257"/>
      <c r="C15" s="257">
        <v>340982900</v>
      </c>
      <c r="D15" s="257">
        <v>299569814</v>
      </c>
      <c r="E15" s="257" t="s">
        <v>126</v>
      </c>
      <c r="F15" s="257">
        <f t="shared" ref="F15:F25" si="11">C15-D15</f>
        <v>41413086</v>
      </c>
      <c r="G15" s="258">
        <f>'передвижка платежи'!G15</f>
        <v>31400000</v>
      </c>
      <c r="H15" s="257">
        <f t="shared" ref="H15:H25" si="12">F15-G15</f>
        <v>10013086</v>
      </c>
      <c r="I15" s="259">
        <f>'передвижка платежи'!I15</f>
        <v>-5652717</v>
      </c>
      <c r="J15" s="259">
        <f>'передвижка платежи'!J15</f>
        <v>-4360369</v>
      </c>
      <c r="K15" s="260"/>
      <c r="L15" s="260"/>
      <c r="M15" s="245"/>
      <c r="N15" s="245"/>
      <c r="O15" s="245"/>
    </row>
    <row r="16" spans="1:29" ht="15.75" customHeight="1">
      <c r="A16" s="256" t="s">
        <v>146</v>
      </c>
      <c r="B16" s="257"/>
      <c r="C16" s="257">
        <v>171533800</v>
      </c>
      <c r="D16" s="257">
        <v>171533800</v>
      </c>
      <c r="E16" s="257" t="s">
        <v>126</v>
      </c>
      <c r="F16" s="257">
        <f t="shared" si="11"/>
        <v>0</v>
      </c>
      <c r="G16" s="258">
        <f>'передвижка платежи'!G16</f>
        <v>100000</v>
      </c>
      <c r="H16" s="257">
        <f t="shared" si="12"/>
        <v>-100000</v>
      </c>
      <c r="I16" s="259">
        <f>'передвижка платежи'!I16</f>
        <v>100000</v>
      </c>
      <c r="J16" s="259">
        <f>'передвижка платежи'!J16</f>
        <v>0</v>
      </c>
      <c r="K16" s="260"/>
      <c r="L16" s="260"/>
      <c r="M16" s="245">
        <f>(G16-100)/98</f>
        <v>1019.3877551020408</v>
      </c>
      <c r="N16" s="245"/>
      <c r="O16" s="245"/>
    </row>
    <row r="17" spans="1:29" ht="15.75" customHeight="1">
      <c r="A17" s="256" t="s">
        <v>147</v>
      </c>
      <c r="B17" s="257"/>
      <c r="C17" s="257">
        <v>61434100</v>
      </c>
      <c r="D17" s="257">
        <v>60867100</v>
      </c>
      <c r="E17" s="257" t="s">
        <v>126</v>
      </c>
      <c r="F17" s="257">
        <f t="shared" si="11"/>
        <v>567000</v>
      </c>
      <c r="G17" s="258">
        <f>'передвижка платежи'!G17</f>
        <v>5589717</v>
      </c>
      <c r="H17" s="257">
        <f t="shared" si="12"/>
        <v>-5022717</v>
      </c>
      <c r="I17" s="259">
        <f>'передвижка платежи'!I17</f>
        <v>5022717</v>
      </c>
      <c r="J17" s="259">
        <f>'передвижка платежи'!J17</f>
        <v>0</v>
      </c>
      <c r="K17" s="260"/>
      <c r="L17" s="260"/>
      <c r="M17" s="245"/>
      <c r="N17" s="245"/>
      <c r="O17" s="245"/>
    </row>
    <row r="18" spans="1:29" ht="15.75" customHeight="1">
      <c r="A18" s="256" t="s">
        <v>149</v>
      </c>
      <c r="B18" s="257"/>
      <c r="C18" s="257">
        <v>29647600</v>
      </c>
      <c r="D18" s="257">
        <v>27085600</v>
      </c>
      <c r="E18" s="257" t="s">
        <v>126</v>
      </c>
      <c r="F18" s="257">
        <f t="shared" si="11"/>
        <v>2562000</v>
      </c>
      <c r="G18" s="258">
        <f>'передвижка платежи'!G18</f>
        <v>3087182</v>
      </c>
      <c r="H18" s="257">
        <f t="shared" si="12"/>
        <v>-525182</v>
      </c>
      <c r="I18" s="259">
        <f>'передвижка платежи'!I18</f>
        <v>530000</v>
      </c>
      <c r="J18" s="259">
        <f>'передвижка платежи'!J18</f>
        <v>0</v>
      </c>
      <c r="K18" s="260"/>
      <c r="L18" s="260"/>
      <c r="M18" s="245"/>
      <c r="N18" s="245"/>
      <c r="O18" s="245"/>
    </row>
    <row r="19" spans="1:29" ht="15.75" customHeight="1">
      <c r="A19" s="256" t="s">
        <v>150</v>
      </c>
      <c r="B19" s="257"/>
      <c r="C19" s="257">
        <v>12739000</v>
      </c>
      <c r="D19" s="257">
        <v>11407033</v>
      </c>
      <c r="E19" s="257" t="s">
        <v>126</v>
      </c>
      <c r="F19" s="257">
        <f t="shared" si="11"/>
        <v>1331967</v>
      </c>
      <c r="G19" s="258">
        <f>'передвижка платежи'!G19</f>
        <v>905000</v>
      </c>
      <c r="H19" s="257">
        <f t="shared" si="12"/>
        <v>426967</v>
      </c>
      <c r="I19" s="259">
        <f>'передвижка платежи'!I19</f>
        <v>0</v>
      </c>
      <c r="J19" s="259">
        <f>'передвижка платежи'!J19</f>
        <v>-426967</v>
      </c>
      <c r="K19" s="260"/>
      <c r="L19" s="260"/>
      <c r="M19" s="245"/>
      <c r="N19" s="245"/>
      <c r="O19" s="245"/>
    </row>
    <row r="20" spans="1:29" ht="15.75" customHeight="1">
      <c r="A20" s="256" t="s">
        <v>151</v>
      </c>
      <c r="B20" s="257"/>
      <c r="C20" s="257">
        <v>13426400</v>
      </c>
      <c r="D20" s="257">
        <v>12159254</v>
      </c>
      <c r="E20" s="257" t="s">
        <v>126</v>
      </c>
      <c r="F20" s="257">
        <f t="shared" si="11"/>
        <v>1267146</v>
      </c>
      <c r="G20" s="258">
        <f>'передвижка платежи'!G20</f>
        <v>850000</v>
      </c>
      <c r="H20" s="257">
        <f t="shared" si="12"/>
        <v>417146</v>
      </c>
      <c r="I20" s="259">
        <f>'передвижка платежи'!I20</f>
        <v>0</v>
      </c>
      <c r="J20" s="259">
        <f>'передвижка платежи'!J20</f>
        <v>-417146</v>
      </c>
      <c r="K20" s="260"/>
      <c r="L20" s="260"/>
      <c r="M20" s="245"/>
      <c r="N20" s="245"/>
      <c r="O20" s="245"/>
    </row>
    <row r="21" spans="1:29" ht="15.75" customHeight="1">
      <c r="A21" s="256" t="s">
        <v>152</v>
      </c>
      <c r="B21" s="257"/>
      <c r="C21" s="257">
        <v>8428000</v>
      </c>
      <c r="D21" s="257">
        <v>271758.84000000003</v>
      </c>
      <c r="E21" s="257" t="s">
        <v>126</v>
      </c>
      <c r="F21" s="275">
        <f t="shared" si="11"/>
        <v>8156241.1600000001</v>
      </c>
      <c r="G21" s="258">
        <v>0</v>
      </c>
      <c r="H21" s="275">
        <f t="shared" si="12"/>
        <v>8156241.1600000001</v>
      </c>
      <c r="I21" s="261"/>
      <c r="J21" s="257">
        <v>8156241.1600000001</v>
      </c>
      <c r="K21" s="257" t="s">
        <v>153</v>
      </c>
      <c r="L21" s="260"/>
      <c r="M21" s="246"/>
      <c r="N21" s="246" t="s">
        <v>153</v>
      </c>
      <c r="O21" s="245"/>
    </row>
    <row r="22" spans="1:29" ht="15.75" customHeight="1">
      <c r="A22" s="256" t="s">
        <v>154</v>
      </c>
      <c r="B22" s="257"/>
      <c r="C22" s="257">
        <v>8756000</v>
      </c>
      <c r="D22" s="257">
        <v>8756000</v>
      </c>
      <c r="E22" s="257" t="s">
        <v>126</v>
      </c>
      <c r="F22" s="257">
        <f t="shared" si="11"/>
        <v>0</v>
      </c>
      <c r="G22" s="276">
        <v>0</v>
      </c>
      <c r="H22" s="257">
        <f t="shared" si="12"/>
        <v>0</v>
      </c>
      <c r="I22" s="261"/>
      <c r="J22" s="257"/>
      <c r="K22" s="257" t="s">
        <v>174</v>
      </c>
      <c r="L22" s="260"/>
      <c r="M22" s="245"/>
      <c r="N22" s="245"/>
      <c r="O22" s="245"/>
    </row>
    <row r="23" spans="1:29" ht="15.75" customHeight="1">
      <c r="A23" s="277" t="s">
        <v>156</v>
      </c>
      <c r="B23" s="278"/>
      <c r="C23" s="278">
        <v>7279000</v>
      </c>
      <c r="D23" s="278">
        <v>7156874</v>
      </c>
      <c r="E23" s="278" t="s">
        <v>126</v>
      </c>
      <c r="F23" s="278">
        <f t="shared" si="11"/>
        <v>122126</v>
      </c>
      <c r="G23" s="279">
        <v>0</v>
      </c>
      <c r="H23" s="278">
        <f t="shared" si="12"/>
        <v>122126</v>
      </c>
      <c r="I23" s="280"/>
      <c r="J23" s="278"/>
      <c r="K23" s="281"/>
      <c r="L23" s="281"/>
      <c r="M23" s="282"/>
      <c r="N23" s="282">
        <v>4167400</v>
      </c>
      <c r="O23" s="283"/>
      <c r="P23" s="284"/>
      <c r="Q23" s="284"/>
      <c r="R23" s="284"/>
      <c r="S23" s="284"/>
      <c r="T23" s="284"/>
      <c r="U23" s="284"/>
      <c r="V23" s="284"/>
      <c r="W23" s="284"/>
      <c r="X23" s="284"/>
      <c r="Y23" s="284"/>
      <c r="Z23" s="284"/>
      <c r="AA23" s="284"/>
      <c r="AB23" s="284"/>
      <c r="AC23" s="284"/>
    </row>
    <row r="24" spans="1:29" ht="15.75" customHeight="1">
      <c r="A24" s="256" t="s">
        <v>158</v>
      </c>
      <c r="B24" s="257"/>
      <c r="C24" s="257">
        <v>26244600</v>
      </c>
      <c r="D24" s="257">
        <v>19966190.010000002</v>
      </c>
      <c r="E24" s="257" t="s">
        <v>126</v>
      </c>
      <c r="F24" s="257">
        <f t="shared" si="11"/>
        <v>6278409.9899999984</v>
      </c>
      <c r="G24" s="258">
        <v>0</v>
      </c>
      <c r="H24" s="257">
        <f t="shared" si="12"/>
        <v>6278409.9899999984</v>
      </c>
      <c r="I24" s="285"/>
      <c r="J24" s="257"/>
      <c r="K24" s="257" t="s">
        <v>175</v>
      </c>
      <c r="L24" s="260"/>
      <c r="M24" s="245"/>
      <c r="N24" s="245"/>
      <c r="O24" s="245"/>
    </row>
    <row r="25" spans="1:29" ht="15.75" customHeight="1">
      <c r="A25" s="256" t="s">
        <v>160</v>
      </c>
      <c r="B25" s="257"/>
      <c r="C25" s="257">
        <v>16606000</v>
      </c>
      <c r="D25" s="257">
        <v>11116388</v>
      </c>
      <c r="E25" s="257" t="s">
        <v>126</v>
      </c>
      <c r="F25" s="257">
        <f t="shared" si="11"/>
        <v>5489612</v>
      </c>
      <c r="G25" s="258">
        <f>'передвижка платежи'!G25</f>
        <v>1300000</v>
      </c>
      <c r="H25" s="257">
        <f t="shared" si="12"/>
        <v>4189612</v>
      </c>
      <c r="I25" s="259">
        <f>'передвижка платежи'!I25</f>
        <v>0</v>
      </c>
      <c r="J25" s="259">
        <f>'передвижка платежи'!J25</f>
        <v>-4189612</v>
      </c>
      <c r="K25" s="260"/>
      <c r="L25" s="260"/>
      <c r="M25" s="245"/>
      <c r="N25" s="245"/>
      <c r="O25" s="245"/>
    </row>
    <row r="26" spans="1:29" ht="15.75" customHeight="1">
      <c r="A26" s="262"/>
      <c r="B26" s="263"/>
      <c r="C26" s="263">
        <f t="shared" ref="C26:L26" si="13">SUM(C27:C29)</f>
        <v>1992561400</v>
      </c>
      <c r="D26" s="263">
        <f t="shared" si="13"/>
        <v>4841130</v>
      </c>
      <c r="E26" s="263">
        <f t="shared" si="13"/>
        <v>0</v>
      </c>
      <c r="F26" s="263">
        <f t="shared" si="13"/>
        <v>915353130</v>
      </c>
      <c r="G26" s="263">
        <f t="shared" si="13"/>
        <v>290457000</v>
      </c>
      <c r="H26" s="263">
        <f t="shared" si="13"/>
        <v>624896130</v>
      </c>
      <c r="I26" s="263">
        <f t="shared" si="13"/>
        <v>0</v>
      </c>
      <c r="J26" s="263">
        <f t="shared" si="13"/>
        <v>0</v>
      </c>
      <c r="K26" s="263">
        <f t="shared" si="13"/>
        <v>0</v>
      </c>
      <c r="L26" s="263">
        <f t="shared" si="13"/>
        <v>0</v>
      </c>
      <c r="M26" s="254"/>
      <c r="N26" s="254"/>
      <c r="O26" s="254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</row>
    <row r="27" spans="1:29" ht="15.75" customHeight="1">
      <c r="A27" s="256" t="s">
        <v>161</v>
      </c>
      <c r="B27" s="257"/>
      <c r="C27" s="257">
        <v>1072899400</v>
      </c>
      <c r="D27" s="257">
        <v>0</v>
      </c>
      <c r="E27" s="257" t="s">
        <v>126</v>
      </c>
      <c r="F27" s="257">
        <v>0</v>
      </c>
      <c r="G27" s="258">
        <v>0</v>
      </c>
      <c r="H27" s="257">
        <f t="shared" ref="H27:H31" si="14">F27-G27</f>
        <v>0</v>
      </c>
      <c r="I27" s="261"/>
      <c r="J27" s="260"/>
      <c r="K27" s="260"/>
      <c r="L27" s="260"/>
      <c r="M27" s="245"/>
      <c r="N27" s="245"/>
      <c r="O27" s="245"/>
    </row>
    <row r="28" spans="1:29" ht="15.75" customHeight="1">
      <c r="A28" s="256" t="s">
        <v>162</v>
      </c>
      <c r="B28" s="257"/>
      <c r="C28" s="257">
        <v>9150000</v>
      </c>
      <c r="D28" s="257">
        <v>4841130</v>
      </c>
      <c r="E28" s="257" t="s">
        <v>126</v>
      </c>
      <c r="F28" s="257">
        <v>4841130</v>
      </c>
      <c r="G28" s="258">
        <f>'передвижка платежи'!G28</f>
        <v>3000000</v>
      </c>
      <c r="H28" s="257">
        <f t="shared" si="14"/>
        <v>1841130</v>
      </c>
      <c r="I28" s="261"/>
      <c r="J28" s="257"/>
      <c r="K28" s="260"/>
      <c r="L28" s="260"/>
      <c r="M28" s="245"/>
      <c r="N28" s="245"/>
      <c r="O28" s="245"/>
    </row>
    <row r="29" spans="1:29" ht="15.75" customHeight="1">
      <c r="A29" s="256" t="s">
        <v>163</v>
      </c>
      <c r="B29" s="257"/>
      <c r="C29" s="257">
        <v>910512000</v>
      </c>
      <c r="D29" s="257">
        <v>0</v>
      </c>
      <c r="E29" s="260"/>
      <c r="F29" s="257">
        <f t="shared" ref="F29:F31" si="15">C29-D29</f>
        <v>910512000</v>
      </c>
      <c r="G29" s="286">
        <f>'передвижка платежи'!G29</f>
        <v>287457000</v>
      </c>
      <c r="H29" s="257">
        <f t="shared" si="14"/>
        <v>623055000</v>
      </c>
      <c r="I29" s="261"/>
      <c r="J29" s="257"/>
      <c r="K29" s="257" t="s">
        <v>176</v>
      </c>
      <c r="L29" s="260"/>
      <c r="M29" s="246" t="s">
        <v>177</v>
      </c>
      <c r="N29" s="245"/>
      <c r="O29" s="245"/>
    </row>
    <row r="30" spans="1:29" ht="15.75" customHeight="1">
      <c r="A30" s="256" t="s">
        <v>165</v>
      </c>
      <c r="B30" s="257"/>
      <c r="C30" s="257">
        <v>1401500</v>
      </c>
      <c r="D30" s="257">
        <v>1401480</v>
      </c>
      <c r="E30" s="260"/>
      <c r="F30" s="257">
        <f t="shared" si="15"/>
        <v>20</v>
      </c>
      <c r="G30" s="258">
        <v>989280</v>
      </c>
      <c r="H30" s="257">
        <f t="shared" si="14"/>
        <v>-989260</v>
      </c>
      <c r="I30" s="261"/>
      <c r="J30" s="257"/>
      <c r="K30" s="257" t="s">
        <v>178</v>
      </c>
      <c r="L30" s="260"/>
      <c r="M30" s="246" t="s">
        <v>179</v>
      </c>
      <c r="N30" s="245"/>
      <c r="O30" s="245"/>
    </row>
    <row r="31" spans="1:29" ht="15.75" customHeight="1">
      <c r="A31" s="287"/>
      <c r="B31" s="260"/>
      <c r="C31" s="260"/>
      <c r="D31" s="260"/>
      <c r="E31" s="260"/>
      <c r="F31" s="257">
        <f t="shared" si="15"/>
        <v>0</v>
      </c>
      <c r="G31" s="286"/>
      <c r="H31" s="257">
        <f t="shared" si="14"/>
        <v>0</v>
      </c>
      <c r="I31" s="261"/>
      <c r="J31" s="260"/>
      <c r="K31" s="260"/>
      <c r="L31" s="260"/>
      <c r="M31" s="245"/>
      <c r="N31" s="245"/>
      <c r="O31" s="245"/>
    </row>
    <row r="32" spans="1:29" ht="15.75" customHeight="1">
      <c r="A32" s="288" t="s">
        <v>166</v>
      </c>
      <c r="B32" s="257"/>
      <c r="C32" s="257">
        <f t="shared" ref="C32:J32" si="16">C30+C26+C14+C11+C7+C3</f>
        <v>4085739900</v>
      </c>
      <c r="D32" s="257">
        <f t="shared" si="16"/>
        <v>961410528.35000002</v>
      </c>
      <c r="E32" s="257">
        <f t="shared" si="16"/>
        <v>0</v>
      </c>
      <c r="F32" s="257">
        <f t="shared" si="16"/>
        <v>2051962231.6500001</v>
      </c>
      <c r="G32" s="257">
        <f t="shared" si="16"/>
        <v>1260424179</v>
      </c>
      <c r="H32" s="257">
        <f t="shared" si="16"/>
        <v>791538052.64999998</v>
      </c>
      <c r="I32" s="257">
        <f t="shared" si="16"/>
        <v>1400000</v>
      </c>
      <c r="J32" s="257">
        <f t="shared" si="16"/>
        <v>47108089.920000002</v>
      </c>
      <c r="K32" s="260"/>
      <c r="L32" s="260"/>
      <c r="M32" s="245"/>
      <c r="N32" s="245"/>
      <c r="O32" s="245"/>
    </row>
    <row r="33" spans="1:15" ht="15.75" customHeight="1">
      <c r="A33" s="245"/>
      <c r="B33" s="245"/>
      <c r="C33" s="245"/>
      <c r="D33" s="245"/>
      <c r="E33" s="246" t="s">
        <v>126</v>
      </c>
      <c r="F33" s="246"/>
      <c r="G33" s="247"/>
      <c r="H33" s="245"/>
      <c r="I33" s="289">
        <v>-34379800</v>
      </c>
      <c r="J33" s="245"/>
      <c r="K33" s="245"/>
      <c r="L33" s="245"/>
      <c r="M33" s="245"/>
      <c r="N33" s="245"/>
      <c r="O33" s="245"/>
    </row>
    <row r="34" spans="1:15" ht="15.75" customHeight="1">
      <c r="A34" s="245"/>
      <c r="B34" s="245"/>
      <c r="C34" s="245"/>
      <c r="D34" s="245"/>
      <c r="E34" s="246" t="s">
        <v>126</v>
      </c>
      <c r="F34" s="245"/>
      <c r="G34" s="247"/>
      <c r="H34" s="245"/>
      <c r="I34" s="245"/>
      <c r="J34" s="245"/>
      <c r="K34" s="245"/>
      <c r="L34" s="245"/>
      <c r="M34" s="245"/>
      <c r="N34" s="245"/>
      <c r="O34" s="245"/>
    </row>
    <row r="35" spans="1:15" ht="12.75">
      <c r="G35" s="290"/>
      <c r="I35" s="13">
        <f>I32-I33</f>
        <v>35779800</v>
      </c>
    </row>
    <row r="36" spans="1:15" ht="12.75">
      <c r="G36" s="290"/>
    </row>
    <row r="37" spans="1:15" ht="12.75">
      <c r="G37" s="290"/>
    </row>
    <row r="38" spans="1:15" ht="12.75">
      <c r="G38" s="290"/>
    </row>
    <row r="39" spans="1:15" ht="12.75">
      <c r="G39" s="290"/>
    </row>
    <row r="40" spans="1:15" ht="12.75">
      <c r="G40" s="290"/>
    </row>
    <row r="41" spans="1:15" ht="12.75">
      <c r="G41" s="290"/>
    </row>
    <row r="42" spans="1:15" ht="12.75">
      <c r="G42" s="290"/>
    </row>
    <row r="43" spans="1:15" ht="12.75">
      <c r="G43" s="290"/>
    </row>
    <row r="44" spans="1:15" ht="12.75">
      <c r="G44" s="290"/>
    </row>
    <row r="45" spans="1:15" ht="12.75">
      <c r="G45" s="290"/>
    </row>
    <row r="46" spans="1:15" ht="12.75">
      <c r="G46" s="290"/>
    </row>
    <row r="47" spans="1:15" ht="12.75">
      <c r="G47" s="290"/>
    </row>
    <row r="48" spans="1:15" ht="12.75">
      <c r="G48" s="290"/>
    </row>
    <row r="49" spans="7:7" ht="12.75">
      <c r="G49" s="290"/>
    </row>
    <row r="50" spans="7:7" ht="12.75">
      <c r="G50" s="290"/>
    </row>
    <row r="51" spans="7:7" ht="12.75">
      <c r="G51" s="290"/>
    </row>
    <row r="52" spans="7:7" ht="12.75">
      <c r="G52" s="290"/>
    </row>
    <row r="53" spans="7:7" ht="12.75">
      <c r="G53" s="290"/>
    </row>
    <row r="54" spans="7:7" ht="12.75">
      <c r="G54" s="290"/>
    </row>
    <row r="55" spans="7:7" ht="12.75">
      <c r="G55" s="290"/>
    </row>
    <row r="56" spans="7:7" ht="12.75">
      <c r="G56" s="290"/>
    </row>
    <row r="57" spans="7:7" ht="12.75">
      <c r="G57" s="290"/>
    </row>
    <row r="58" spans="7:7" ht="12.75">
      <c r="G58" s="290"/>
    </row>
    <row r="59" spans="7:7" ht="12.75">
      <c r="G59" s="290"/>
    </row>
    <row r="60" spans="7:7" ht="12.75">
      <c r="G60" s="290"/>
    </row>
    <row r="61" spans="7:7" ht="12.75">
      <c r="G61" s="290"/>
    </row>
    <row r="62" spans="7:7" ht="12.75">
      <c r="G62" s="290"/>
    </row>
    <row r="63" spans="7:7" ht="12.75">
      <c r="G63" s="290"/>
    </row>
    <row r="64" spans="7:7" ht="12.75">
      <c r="G64" s="290"/>
    </row>
    <row r="65" spans="7:7" ht="12.75">
      <c r="G65" s="290"/>
    </row>
    <row r="66" spans="7:7" ht="12.75">
      <c r="G66" s="290"/>
    </row>
    <row r="67" spans="7:7" ht="12.75">
      <c r="G67" s="290"/>
    </row>
    <row r="68" spans="7:7" ht="12.75">
      <c r="G68" s="290"/>
    </row>
    <row r="69" spans="7:7" ht="12.75">
      <c r="G69" s="290"/>
    </row>
    <row r="70" spans="7:7" ht="12.75">
      <c r="G70" s="290"/>
    </row>
    <row r="71" spans="7:7" ht="12.75">
      <c r="G71" s="290"/>
    </row>
    <row r="72" spans="7:7" ht="12.75">
      <c r="G72" s="290"/>
    </row>
    <row r="73" spans="7:7" ht="12.75">
      <c r="G73" s="290"/>
    </row>
    <row r="74" spans="7:7" ht="12.75">
      <c r="G74" s="290"/>
    </row>
    <row r="75" spans="7:7" ht="12.75">
      <c r="G75" s="290"/>
    </row>
    <row r="76" spans="7:7" ht="12.75">
      <c r="G76" s="290"/>
    </row>
    <row r="77" spans="7:7" ht="12.75">
      <c r="G77" s="290"/>
    </row>
    <row r="78" spans="7:7" ht="12.75">
      <c r="G78" s="290"/>
    </row>
    <row r="79" spans="7:7" ht="12.75">
      <c r="G79" s="290"/>
    </row>
    <row r="80" spans="7:7" ht="12.75">
      <c r="G80" s="290"/>
    </row>
    <row r="81" spans="7:7" ht="12.75">
      <c r="G81" s="290"/>
    </row>
    <row r="82" spans="7:7" ht="12.75">
      <c r="G82" s="290"/>
    </row>
    <row r="83" spans="7:7" ht="12.75">
      <c r="G83" s="290"/>
    </row>
    <row r="84" spans="7:7" ht="12.75">
      <c r="G84" s="290"/>
    </row>
    <row r="85" spans="7:7" ht="12.75">
      <c r="G85" s="290"/>
    </row>
    <row r="86" spans="7:7" ht="12.75">
      <c r="G86" s="290"/>
    </row>
    <row r="87" spans="7:7" ht="12.75">
      <c r="G87" s="290"/>
    </row>
    <row r="88" spans="7:7" ht="12.75">
      <c r="G88" s="290"/>
    </row>
    <row r="89" spans="7:7" ht="12.75">
      <c r="G89" s="290"/>
    </row>
    <row r="90" spans="7:7" ht="12.75">
      <c r="G90" s="290"/>
    </row>
    <row r="91" spans="7:7" ht="12.75">
      <c r="G91" s="290"/>
    </row>
    <row r="92" spans="7:7" ht="12.75">
      <c r="G92" s="290"/>
    </row>
    <row r="93" spans="7:7" ht="12.75">
      <c r="G93" s="290"/>
    </row>
    <row r="94" spans="7:7" ht="12.75">
      <c r="G94" s="290"/>
    </row>
    <row r="95" spans="7:7" ht="12.75">
      <c r="G95" s="290"/>
    </row>
    <row r="96" spans="7:7" ht="12.75">
      <c r="G96" s="290"/>
    </row>
    <row r="97" spans="7:7" ht="12.75">
      <c r="G97" s="290"/>
    </row>
    <row r="98" spans="7:7" ht="12.75">
      <c r="G98" s="290"/>
    </row>
    <row r="99" spans="7:7" ht="12.75">
      <c r="G99" s="290"/>
    </row>
    <row r="100" spans="7:7" ht="12.75">
      <c r="G100" s="290"/>
    </row>
    <row r="101" spans="7:7" ht="12.75">
      <c r="G101" s="290"/>
    </row>
    <row r="102" spans="7:7" ht="12.75">
      <c r="G102" s="290"/>
    </row>
    <row r="103" spans="7:7" ht="12.75">
      <c r="G103" s="290"/>
    </row>
    <row r="104" spans="7:7" ht="12.75">
      <c r="G104" s="290"/>
    </row>
    <row r="105" spans="7:7" ht="12.75">
      <c r="G105" s="290"/>
    </row>
    <row r="106" spans="7:7" ht="12.75">
      <c r="G106" s="290"/>
    </row>
    <row r="107" spans="7:7" ht="12.75">
      <c r="G107" s="290"/>
    </row>
    <row r="108" spans="7:7" ht="12.75">
      <c r="G108" s="290"/>
    </row>
    <row r="109" spans="7:7" ht="12.75">
      <c r="G109" s="290"/>
    </row>
    <row r="110" spans="7:7" ht="12.75">
      <c r="G110" s="290"/>
    </row>
    <row r="111" spans="7:7" ht="12.75">
      <c r="G111" s="290"/>
    </row>
    <row r="112" spans="7:7" ht="12.75">
      <c r="G112" s="290"/>
    </row>
    <row r="113" spans="7:7" ht="12.75">
      <c r="G113" s="290"/>
    </row>
    <row r="114" spans="7:7" ht="12.75">
      <c r="G114" s="290"/>
    </row>
    <row r="115" spans="7:7" ht="12.75">
      <c r="G115" s="290"/>
    </row>
    <row r="116" spans="7:7" ht="12.75">
      <c r="G116" s="290"/>
    </row>
    <row r="117" spans="7:7" ht="12.75">
      <c r="G117" s="290"/>
    </row>
    <row r="118" spans="7:7" ht="12.75">
      <c r="G118" s="290"/>
    </row>
    <row r="119" spans="7:7" ht="12.75">
      <c r="G119" s="290"/>
    </row>
    <row r="120" spans="7:7" ht="12.75">
      <c r="G120" s="290"/>
    </row>
    <row r="121" spans="7:7" ht="12.75">
      <c r="G121" s="290"/>
    </row>
    <row r="122" spans="7:7" ht="12.75">
      <c r="G122" s="290"/>
    </row>
    <row r="123" spans="7:7" ht="12.75">
      <c r="G123" s="290"/>
    </row>
    <row r="124" spans="7:7" ht="12.75">
      <c r="G124" s="290"/>
    </row>
    <row r="125" spans="7:7" ht="12.75">
      <c r="G125" s="290"/>
    </row>
    <row r="126" spans="7:7" ht="12.75">
      <c r="G126" s="290"/>
    </row>
    <row r="127" spans="7:7" ht="12.75">
      <c r="G127" s="290"/>
    </row>
    <row r="128" spans="7:7" ht="12.75">
      <c r="G128" s="290"/>
    </row>
    <row r="129" spans="7:7" ht="12.75">
      <c r="G129" s="290"/>
    </row>
    <row r="130" spans="7:7" ht="12.75">
      <c r="G130" s="290"/>
    </row>
    <row r="131" spans="7:7" ht="12.75">
      <c r="G131" s="290"/>
    </row>
    <row r="132" spans="7:7" ht="12.75">
      <c r="G132" s="290"/>
    </row>
    <row r="133" spans="7:7" ht="12.75">
      <c r="G133" s="290"/>
    </row>
    <row r="134" spans="7:7" ht="12.75">
      <c r="G134" s="290"/>
    </row>
    <row r="135" spans="7:7" ht="12.75">
      <c r="G135" s="290"/>
    </row>
    <row r="136" spans="7:7" ht="12.75">
      <c r="G136" s="290"/>
    </row>
    <row r="137" spans="7:7" ht="12.75">
      <c r="G137" s="290"/>
    </row>
    <row r="138" spans="7:7" ht="12.75">
      <c r="G138" s="290"/>
    </row>
    <row r="139" spans="7:7" ht="12.75">
      <c r="G139" s="290"/>
    </row>
    <row r="140" spans="7:7" ht="12.75">
      <c r="G140" s="290"/>
    </row>
    <row r="141" spans="7:7" ht="12.75">
      <c r="G141" s="290"/>
    </row>
    <row r="142" spans="7:7" ht="12.75">
      <c r="G142" s="290"/>
    </row>
    <row r="143" spans="7:7" ht="12.75">
      <c r="G143" s="290"/>
    </row>
    <row r="144" spans="7:7" ht="12.75">
      <c r="G144" s="290"/>
    </row>
    <row r="145" spans="7:7" ht="12.75">
      <c r="G145" s="290"/>
    </row>
    <row r="146" spans="7:7" ht="12.75">
      <c r="G146" s="290"/>
    </row>
    <row r="147" spans="7:7" ht="12.75">
      <c r="G147" s="290"/>
    </row>
    <row r="148" spans="7:7" ht="12.75">
      <c r="G148" s="290"/>
    </row>
    <row r="149" spans="7:7" ht="12.75">
      <c r="G149" s="290"/>
    </row>
    <row r="150" spans="7:7" ht="12.75">
      <c r="G150" s="290"/>
    </row>
    <row r="151" spans="7:7" ht="12.75">
      <c r="G151" s="290"/>
    </row>
    <row r="152" spans="7:7" ht="12.75">
      <c r="G152" s="290"/>
    </row>
    <row r="153" spans="7:7" ht="12.75">
      <c r="G153" s="290"/>
    </row>
    <row r="154" spans="7:7" ht="12.75">
      <c r="G154" s="290"/>
    </row>
    <row r="155" spans="7:7" ht="12.75">
      <c r="G155" s="290"/>
    </row>
    <row r="156" spans="7:7" ht="12.75">
      <c r="G156" s="290"/>
    </row>
    <row r="157" spans="7:7" ht="12.75">
      <c r="G157" s="290"/>
    </row>
    <row r="158" spans="7:7" ht="12.75">
      <c r="G158" s="290"/>
    </row>
    <row r="159" spans="7:7" ht="12.75">
      <c r="G159" s="290"/>
    </row>
    <row r="160" spans="7:7" ht="12.75">
      <c r="G160" s="290"/>
    </row>
    <row r="161" spans="7:7" ht="12.75">
      <c r="G161" s="290"/>
    </row>
    <row r="162" spans="7:7" ht="12.75">
      <c r="G162" s="290"/>
    </row>
    <row r="163" spans="7:7" ht="12.75">
      <c r="G163" s="290"/>
    </row>
    <row r="164" spans="7:7" ht="12.75">
      <c r="G164" s="290"/>
    </row>
    <row r="165" spans="7:7" ht="12.75">
      <c r="G165" s="290"/>
    </row>
    <row r="166" spans="7:7" ht="12.75">
      <c r="G166" s="290"/>
    </row>
    <row r="167" spans="7:7" ht="12.75">
      <c r="G167" s="290"/>
    </row>
    <row r="168" spans="7:7" ht="12.75">
      <c r="G168" s="290"/>
    </row>
    <row r="169" spans="7:7" ht="12.75">
      <c r="G169" s="290"/>
    </row>
    <row r="170" spans="7:7" ht="12.75">
      <c r="G170" s="290"/>
    </row>
    <row r="171" spans="7:7" ht="12.75">
      <c r="G171" s="290"/>
    </row>
    <row r="172" spans="7:7" ht="12.75">
      <c r="G172" s="290"/>
    </row>
    <row r="173" spans="7:7" ht="12.75">
      <c r="G173" s="290"/>
    </row>
    <row r="174" spans="7:7" ht="12.75">
      <c r="G174" s="290"/>
    </row>
    <row r="175" spans="7:7" ht="12.75">
      <c r="G175" s="290"/>
    </row>
    <row r="176" spans="7:7" ht="12.75">
      <c r="G176" s="290"/>
    </row>
    <row r="177" spans="7:7" ht="12.75">
      <c r="G177" s="290"/>
    </row>
    <row r="178" spans="7:7" ht="12.75">
      <c r="G178" s="290"/>
    </row>
    <row r="179" spans="7:7" ht="12.75">
      <c r="G179" s="290"/>
    </row>
    <row r="180" spans="7:7" ht="12.75">
      <c r="G180" s="290"/>
    </row>
    <row r="181" spans="7:7" ht="12.75">
      <c r="G181" s="290"/>
    </row>
    <row r="182" spans="7:7" ht="12.75">
      <c r="G182" s="290"/>
    </row>
    <row r="183" spans="7:7" ht="12.75">
      <c r="G183" s="290"/>
    </row>
    <row r="184" spans="7:7" ht="12.75">
      <c r="G184" s="290"/>
    </row>
    <row r="185" spans="7:7" ht="12.75">
      <c r="G185" s="290"/>
    </row>
    <row r="186" spans="7:7" ht="12.75">
      <c r="G186" s="290"/>
    </row>
    <row r="187" spans="7:7" ht="12.75">
      <c r="G187" s="290"/>
    </row>
    <row r="188" spans="7:7" ht="12.75">
      <c r="G188" s="290"/>
    </row>
    <row r="189" spans="7:7" ht="12.75">
      <c r="G189" s="290"/>
    </row>
    <row r="190" spans="7:7" ht="12.75">
      <c r="G190" s="290"/>
    </row>
    <row r="191" spans="7:7" ht="12.75">
      <c r="G191" s="290"/>
    </row>
    <row r="192" spans="7:7" ht="12.75">
      <c r="G192" s="290"/>
    </row>
    <row r="193" spans="7:7" ht="12.75">
      <c r="G193" s="290"/>
    </row>
    <row r="194" spans="7:7" ht="12.75">
      <c r="G194" s="290"/>
    </row>
    <row r="195" spans="7:7" ht="12.75">
      <c r="G195" s="290"/>
    </row>
    <row r="196" spans="7:7" ht="12.75">
      <c r="G196" s="290"/>
    </row>
    <row r="197" spans="7:7" ht="12.75">
      <c r="G197" s="290"/>
    </row>
    <row r="198" spans="7:7" ht="12.75">
      <c r="G198" s="290"/>
    </row>
    <row r="199" spans="7:7" ht="12.75">
      <c r="G199" s="290"/>
    </row>
    <row r="200" spans="7:7" ht="12.75">
      <c r="G200" s="290"/>
    </row>
    <row r="201" spans="7:7" ht="12.75">
      <c r="G201" s="290"/>
    </row>
    <row r="202" spans="7:7" ht="12.75">
      <c r="G202" s="290"/>
    </row>
    <row r="203" spans="7:7" ht="12.75">
      <c r="G203" s="290"/>
    </row>
    <row r="204" spans="7:7" ht="12.75">
      <c r="G204" s="290"/>
    </row>
    <row r="205" spans="7:7" ht="12.75">
      <c r="G205" s="290"/>
    </row>
    <row r="206" spans="7:7" ht="12.75">
      <c r="G206" s="290"/>
    </row>
    <row r="207" spans="7:7" ht="12.75">
      <c r="G207" s="290"/>
    </row>
    <row r="208" spans="7:7" ht="12.75">
      <c r="G208" s="290"/>
    </row>
    <row r="209" spans="7:7" ht="12.75">
      <c r="G209" s="290"/>
    </row>
    <row r="210" spans="7:7" ht="12.75">
      <c r="G210" s="290"/>
    </row>
    <row r="211" spans="7:7" ht="12.75">
      <c r="G211" s="290"/>
    </row>
    <row r="212" spans="7:7" ht="12.75">
      <c r="G212" s="290"/>
    </row>
    <row r="213" spans="7:7" ht="12.75">
      <c r="G213" s="290"/>
    </row>
    <row r="214" spans="7:7" ht="12.75">
      <c r="G214" s="290"/>
    </row>
    <row r="215" spans="7:7" ht="12.75">
      <c r="G215" s="290"/>
    </row>
    <row r="216" spans="7:7" ht="12.75">
      <c r="G216" s="290"/>
    </row>
    <row r="217" spans="7:7" ht="12.75">
      <c r="G217" s="290"/>
    </row>
    <row r="218" spans="7:7" ht="12.75">
      <c r="G218" s="290"/>
    </row>
    <row r="219" spans="7:7" ht="12.75">
      <c r="G219" s="290"/>
    </row>
    <row r="220" spans="7:7" ht="12.75">
      <c r="G220" s="290"/>
    </row>
    <row r="221" spans="7:7" ht="12.75">
      <c r="G221" s="290"/>
    </row>
    <row r="222" spans="7:7" ht="12.75">
      <c r="G222" s="290"/>
    </row>
    <row r="223" spans="7:7" ht="12.75">
      <c r="G223" s="290"/>
    </row>
    <row r="224" spans="7:7" ht="12.75">
      <c r="G224" s="290"/>
    </row>
    <row r="225" spans="7:7" ht="12.75">
      <c r="G225" s="290"/>
    </row>
    <row r="226" spans="7:7" ht="12.75">
      <c r="G226" s="290"/>
    </row>
    <row r="227" spans="7:7" ht="12.75">
      <c r="G227" s="290"/>
    </row>
    <row r="228" spans="7:7" ht="12.75">
      <c r="G228" s="290"/>
    </row>
    <row r="229" spans="7:7" ht="12.75">
      <c r="G229" s="290"/>
    </row>
    <row r="230" spans="7:7" ht="12.75">
      <c r="G230" s="290"/>
    </row>
    <row r="231" spans="7:7" ht="12.75">
      <c r="G231" s="290"/>
    </row>
    <row r="232" spans="7:7" ht="12.75">
      <c r="G232" s="290"/>
    </row>
    <row r="233" spans="7:7" ht="12.75">
      <c r="G233" s="290"/>
    </row>
    <row r="234" spans="7:7" ht="12.75">
      <c r="G234" s="290"/>
    </row>
    <row r="235" spans="7:7" ht="12.75">
      <c r="G235" s="290"/>
    </row>
    <row r="236" spans="7:7" ht="12.75">
      <c r="G236" s="290"/>
    </row>
    <row r="237" spans="7:7" ht="12.75">
      <c r="G237" s="290"/>
    </row>
    <row r="238" spans="7:7" ht="12.75">
      <c r="G238" s="290"/>
    </row>
    <row r="239" spans="7:7" ht="12.75">
      <c r="G239" s="290"/>
    </row>
    <row r="240" spans="7:7" ht="12.75">
      <c r="G240" s="290"/>
    </row>
    <row r="241" spans="7:7" ht="12.75">
      <c r="G241" s="290"/>
    </row>
    <row r="242" spans="7:7" ht="12.75">
      <c r="G242" s="290"/>
    </row>
    <row r="243" spans="7:7" ht="12.75">
      <c r="G243" s="290"/>
    </row>
    <row r="244" spans="7:7" ht="12.75">
      <c r="G244" s="290"/>
    </row>
    <row r="245" spans="7:7" ht="12.75">
      <c r="G245" s="290"/>
    </row>
    <row r="246" spans="7:7" ht="12.75">
      <c r="G246" s="290"/>
    </row>
    <row r="247" spans="7:7" ht="12.75">
      <c r="G247" s="290"/>
    </row>
    <row r="248" spans="7:7" ht="12.75">
      <c r="G248" s="290"/>
    </row>
    <row r="249" spans="7:7" ht="12.75">
      <c r="G249" s="290"/>
    </row>
    <row r="250" spans="7:7" ht="12.75">
      <c r="G250" s="290"/>
    </row>
    <row r="251" spans="7:7" ht="12.75">
      <c r="G251" s="290"/>
    </row>
    <row r="252" spans="7:7" ht="12.75">
      <c r="G252" s="290"/>
    </row>
    <row r="253" spans="7:7" ht="12.75">
      <c r="G253" s="290"/>
    </row>
    <row r="254" spans="7:7" ht="12.75">
      <c r="G254" s="290"/>
    </row>
    <row r="255" spans="7:7" ht="12.75">
      <c r="G255" s="290"/>
    </row>
    <row r="256" spans="7:7" ht="12.75">
      <c r="G256" s="290"/>
    </row>
    <row r="257" spans="7:7" ht="12.75">
      <c r="G257" s="290"/>
    </row>
    <row r="258" spans="7:7" ht="12.75">
      <c r="G258" s="290"/>
    </row>
    <row r="259" spans="7:7" ht="12.75">
      <c r="G259" s="290"/>
    </row>
    <row r="260" spans="7:7" ht="12.75">
      <c r="G260" s="290"/>
    </row>
    <row r="261" spans="7:7" ht="12.75">
      <c r="G261" s="290"/>
    </row>
    <row r="262" spans="7:7" ht="12.75">
      <c r="G262" s="290"/>
    </row>
    <row r="263" spans="7:7" ht="12.75">
      <c r="G263" s="290"/>
    </row>
    <row r="264" spans="7:7" ht="12.75">
      <c r="G264" s="290"/>
    </row>
    <row r="265" spans="7:7" ht="12.75">
      <c r="G265" s="290"/>
    </row>
    <row r="266" spans="7:7" ht="12.75">
      <c r="G266" s="290"/>
    </row>
    <row r="267" spans="7:7" ht="12.75">
      <c r="G267" s="290"/>
    </row>
    <row r="268" spans="7:7" ht="12.75">
      <c r="G268" s="290"/>
    </row>
    <row r="269" spans="7:7" ht="12.75">
      <c r="G269" s="290"/>
    </row>
    <row r="270" spans="7:7" ht="12.75">
      <c r="G270" s="290"/>
    </row>
    <row r="271" spans="7:7" ht="12.75">
      <c r="G271" s="290"/>
    </row>
    <row r="272" spans="7:7" ht="12.75">
      <c r="G272" s="290"/>
    </row>
    <row r="273" spans="7:7" ht="12.75">
      <c r="G273" s="290"/>
    </row>
    <row r="274" spans="7:7" ht="12.75">
      <c r="G274" s="290"/>
    </row>
    <row r="275" spans="7:7" ht="12.75">
      <c r="G275" s="290"/>
    </row>
    <row r="276" spans="7:7" ht="12.75">
      <c r="G276" s="290"/>
    </row>
    <row r="277" spans="7:7" ht="12.75">
      <c r="G277" s="290"/>
    </row>
    <row r="278" spans="7:7" ht="12.75">
      <c r="G278" s="290"/>
    </row>
    <row r="279" spans="7:7" ht="12.75">
      <c r="G279" s="290"/>
    </row>
    <row r="280" spans="7:7" ht="12.75">
      <c r="G280" s="290"/>
    </row>
    <row r="281" spans="7:7" ht="12.75">
      <c r="G281" s="290"/>
    </row>
    <row r="282" spans="7:7" ht="12.75">
      <c r="G282" s="290"/>
    </row>
    <row r="283" spans="7:7" ht="12.75">
      <c r="G283" s="290"/>
    </row>
    <row r="284" spans="7:7" ht="12.75">
      <c r="G284" s="290"/>
    </row>
    <row r="285" spans="7:7" ht="12.75">
      <c r="G285" s="290"/>
    </row>
    <row r="286" spans="7:7" ht="12.75">
      <c r="G286" s="290"/>
    </row>
    <row r="287" spans="7:7" ht="12.75">
      <c r="G287" s="290"/>
    </row>
    <row r="288" spans="7:7" ht="12.75">
      <c r="G288" s="290"/>
    </row>
    <row r="289" spans="7:7" ht="12.75">
      <c r="G289" s="290"/>
    </row>
    <row r="290" spans="7:7" ht="12.75">
      <c r="G290" s="290"/>
    </row>
    <row r="291" spans="7:7" ht="12.75">
      <c r="G291" s="290"/>
    </row>
    <row r="292" spans="7:7" ht="12.75">
      <c r="G292" s="290"/>
    </row>
    <row r="293" spans="7:7" ht="12.75">
      <c r="G293" s="290"/>
    </row>
    <row r="294" spans="7:7" ht="12.75">
      <c r="G294" s="290"/>
    </row>
    <row r="295" spans="7:7" ht="12.75">
      <c r="G295" s="290"/>
    </row>
    <row r="296" spans="7:7" ht="12.75">
      <c r="G296" s="290"/>
    </row>
    <row r="297" spans="7:7" ht="12.75">
      <c r="G297" s="290"/>
    </row>
    <row r="298" spans="7:7" ht="12.75">
      <c r="G298" s="290"/>
    </row>
    <row r="299" spans="7:7" ht="12.75">
      <c r="G299" s="290"/>
    </row>
    <row r="300" spans="7:7" ht="12.75">
      <c r="G300" s="290"/>
    </row>
    <row r="301" spans="7:7" ht="12.75">
      <c r="G301" s="290"/>
    </row>
    <row r="302" spans="7:7" ht="12.75">
      <c r="G302" s="290"/>
    </row>
    <row r="303" spans="7:7" ht="12.75">
      <c r="G303" s="290"/>
    </row>
    <row r="304" spans="7:7" ht="12.75">
      <c r="G304" s="290"/>
    </row>
    <row r="305" spans="7:7" ht="12.75">
      <c r="G305" s="290"/>
    </row>
    <row r="306" spans="7:7" ht="12.75">
      <c r="G306" s="290"/>
    </row>
    <row r="307" spans="7:7" ht="12.75">
      <c r="G307" s="290"/>
    </row>
    <row r="308" spans="7:7" ht="12.75">
      <c r="G308" s="290"/>
    </row>
    <row r="309" spans="7:7" ht="12.75">
      <c r="G309" s="290"/>
    </row>
    <row r="310" spans="7:7" ht="12.75">
      <c r="G310" s="290"/>
    </row>
    <row r="311" spans="7:7" ht="12.75">
      <c r="G311" s="290"/>
    </row>
    <row r="312" spans="7:7" ht="12.75">
      <c r="G312" s="290"/>
    </row>
    <row r="313" spans="7:7" ht="12.75">
      <c r="G313" s="290"/>
    </row>
    <row r="314" spans="7:7" ht="12.75">
      <c r="G314" s="290"/>
    </row>
    <row r="315" spans="7:7" ht="12.75">
      <c r="G315" s="290"/>
    </row>
    <row r="316" spans="7:7" ht="12.75">
      <c r="G316" s="290"/>
    </row>
    <row r="317" spans="7:7" ht="12.75">
      <c r="G317" s="290"/>
    </row>
    <row r="318" spans="7:7" ht="12.75">
      <c r="G318" s="290"/>
    </row>
    <row r="319" spans="7:7" ht="12.75">
      <c r="G319" s="290"/>
    </row>
    <row r="320" spans="7:7" ht="12.75">
      <c r="G320" s="290"/>
    </row>
    <row r="321" spans="7:7" ht="12.75">
      <c r="G321" s="290"/>
    </row>
    <row r="322" spans="7:7" ht="12.75">
      <c r="G322" s="290"/>
    </row>
    <row r="323" spans="7:7" ht="12.75">
      <c r="G323" s="290"/>
    </row>
    <row r="324" spans="7:7" ht="12.75">
      <c r="G324" s="290"/>
    </row>
    <row r="325" spans="7:7" ht="12.75">
      <c r="G325" s="290"/>
    </row>
    <row r="326" spans="7:7" ht="12.75">
      <c r="G326" s="290"/>
    </row>
    <row r="327" spans="7:7" ht="12.75">
      <c r="G327" s="290"/>
    </row>
    <row r="328" spans="7:7" ht="12.75">
      <c r="G328" s="290"/>
    </row>
    <row r="329" spans="7:7" ht="12.75">
      <c r="G329" s="290"/>
    </row>
    <row r="330" spans="7:7" ht="12.75">
      <c r="G330" s="290"/>
    </row>
    <row r="331" spans="7:7" ht="12.75">
      <c r="G331" s="290"/>
    </row>
    <row r="332" spans="7:7" ht="12.75">
      <c r="G332" s="290"/>
    </row>
    <row r="333" spans="7:7" ht="12.75">
      <c r="G333" s="290"/>
    </row>
    <row r="334" spans="7:7" ht="12.75">
      <c r="G334" s="290"/>
    </row>
    <row r="335" spans="7:7" ht="12.75">
      <c r="G335" s="290"/>
    </row>
    <row r="336" spans="7:7" ht="12.75">
      <c r="G336" s="290"/>
    </row>
    <row r="337" spans="7:7" ht="12.75">
      <c r="G337" s="290"/>
    </row>
    <row r="338" spans="7:7" ht="12.75">
      <c r="G338" s="290"/>
    </row>
    <row r="339" spans="7:7" ht="12.75">
      <c r="G339" s="290"/>
    </row>
    <row r="340" spans="7:7" ht="12.75">
      <c r="G340" s="290"/>
    </row>
    <row r="341" spans="7:7" ht="12.75">
      <c r="G341" s="290"/>
    </row>
    <row r="342" spans="7:7" ht="12.75">
      <c r="G342" s="290"/>
    </row>
    <row r="343" spans="7:7" ht="12.75">
      <c r="G343" s="290"/>
    </row>
    <row r="344" spans="7:7" ht="12.75">
      <c r="G344" s="290"/>
    </row>
    <row r="345" spans="7:7" ht="12.75">
      <c r="G345" s="290"/>
    </row>
    <row r="346" spans="7:7" ht="12.75">
      <c r="G346" s="290"/>
    </row>
    <row r="347" spans="7:7" ht="12.75">
      <c r="G347" s="290"/>
    </row>
    <row r="348" spans="7:7" ht="12.75">
      <c r="G348" s="290"/>
    </row>
    <row r="349" spans="7:7" ht="12.75">
      <c r="G349" s="290"/>
    </row>
    <row r="350" spans="7:7" ht="12.75">
      <c r="G350" s="290"/>
    </row>
    <row r="351" spans="7:7" ht="12.75">
      <c r="G351" s="290"/>
    </row>
    <row r="352" spans="7:7" ht="12.75">
      <c r="G352" s="290"/>
    </row>
    <row r="353" spans="7:7" ht="12.75">
      <c r="G353" s="290"/>
    </row>
    <row r="354" spans="7:7" ht="12.75">
      <c r="G354" s="290"/>
    </row>
    <row r="355" spans="7:7" ht="12.75">
      <c r="G355" s="290"/>
    </row>
    <row r="356" spans="7:7" ht="12.75">
      <c r="G356" s="290"/>
    </row>
    <row r="357" spans="7:7" ht="12.75">
      <c r="G357" s="290"/>
    </row>
    <row r="358" spans="7:7" ht="12.75">
      <c r="G358" s="290"/>
    </row>
    <row r="359" spans="7:7" ht="12.75">
      <c r="G359" s="290"/>
    </row>
    <row r="360" spans="7:7" ht="12.75">
      <c r="G360" s="290"/>
    </row>
    <row r="361" spans="7:7" ht="12.75">
      <c r="G361" s="290"/>
    </row>
    <row r="362" spans="7:7" ht="12.75">
      <c r="G362" s="290"/>
    </row>
    <row r="363" spans="7:7" ht="12.75">
      <c r="G363" s="290"/>
    </row>
    <row r="364" spans="7:7" ht="12.75">
      <c r="G364" s="290"/>
    </row>
    <row r="365" spans="7:7" ht="12.75">
      <c r="G365" s="290"/>
    </row>
    <row r="366" spans="7:7" ht="12.75">
      <c r="G366" s="290"/>
    </row>
    <row r="367" spans="7:7" ht="12.75">
      <c r="G367" s="290"/>
    </row>
    <row r="368" spans="7:7" ht="12.75">
      <c r="G368" s="290"/>
    </row>
    <row r="369" spans="7:7" ht="12.75">
      <c r="G369" s="290"/>
    </row>
    <row r="370" spans="7:7" ht="12.75">
      <c r="G370" s="290"/>
    </row>
    <row r="371" spans="7:7" ht="12.75">
      <c r="G371" s="290"/>
    </row>
    <row r="372" spans="7:7" ht="12.75">
      <c r="G372" s="290"/>
    </row>
    <row r="373" spans="7:7" ht="12.75">
      <c r="G373" s="290"/>
    </row>
    <row r="374" spans="7:7" ht="12.75">
      <c r="G374" s="290"/>
    </row>
    <row r="375" spans="7:7" ht="12.75">
      <c r="G375" s="290"/>
    </row>
    <row r="376" spans="7:7" ht="12.75">
      <c r="G376" s="290"/>
    </row>
    <row r="377" spans="7:7" ht="12.75">
      <c r="G377" s="290"/>
    </row>
    <row r="378" spans="7:7" ht="12.75">
      <c r="G378" s="290"/>
    </row>
    <row r="379" spans="7:7" ht="12.75">
      <c r="G379" s="290"/>
    </row>
    <row r="380" spans="7:7" ht="12.75">
      <c r="G380" s="290"/>
    </row>
    <row r="381" spans="7:7" ht="12.75">
      <c r="G381" s="290"/>
    </row>
    <row r="382" spans="7:7" ht="12.75">
      <c r="G382" s="290"/>
    </row>
    <row r="383" spans="7:7" ht="12.75">
      <c r="G383" s="290"/>
    </row>
    <row r="384" spans="7:7" ht="12.75">
      <c r="G384" s="290"/>
    </row>
    <row r="385" spans="7:7" ht="12.75">
      <c r="G385" s="290"/>
    </row>
    <row r="386" spans="7:7" ht="12.75">
      <c r="G386" s="290"/>
    </row>
    <row r="387" spans="7:7" ht="12.75">
      <c r="G387" s="290"/>
    </row>
    <row r="388" spans="7:7" ht="12.75">
      <c r="G388" s="290"/>
    </row>
    <row r="389" spans="7:7" ht="12.75">
      <c r="G389" s="290"/>
    </row>
    <row r="390" spans="7:7" ht="12.75">
      <c r="G390" s="290"/>
    </row>
    <row r="391" spans="7:7" ht="12.75">
      <c r="G391" s="290"/>
    </row>
    <row r="392" spans="7:7" ht="12.75">
      <c r="G392" s="290"/>
    </row>
    <row r="393" spans="7:7" ht="12.75">
      <c r="G393" s="290"/>
    </row>
    <row r="394" spans="7:7" ht="12.75">
      <c r="G394" s="290"/>
    </row>
    <row r="395" spans="7:7" ht="12.75">
      <c r="G395" s="290"/>
    </row>
    <row r="396" spans="7:7" ht="12.75">
      <c r="G396" s="290"/>
    </row>
    <row r="397" spans="7:7" ht="12.75">
      <c r="G397" s="290"/>
    </row>
    <row r="398" spans="7:7" ht="12.75">
      <c r="G398" s="290"/>
    </row>
    <row r="399" spans="7:7" ht="12.75">
      <c r="G399" s="290"/>
    </row>
    <row r="400" spans="7:7" ht="12.75">
      <c r="G400" s="290"/>
    </row>
    <row r="401" spans="7:7" ht="12.75">
      <c r="G401" s="290"/>
    </row>
    <row r="402" spans="7:7" ht="12.75">
      <c r="G402" s="290"/>
    </row>
    <row r="403" spans="7:7" ht="12.75">
      <c r="G403" s="290"/>
    </row>
    <row r="404" spans="7:7" ht="12.75">
      <c r="G404" s="290"/>
    </row>
    <row r="405" spans="7:7" ht="12.75">
      <c r="G405" s="290"/>
    </row>
    <row r="406" spans="7:7" ht="12.75">
      <c r="G406" s="290"/>
    </row>
    <row r="407" spans="7:7" ht="12.75">
      <c r="G407" s="290"/>
    </row>
    <row r="408" spans="7:7" ht="12.75">
      <c r="G408" s="290"/>
    </row>
    <row r="409" spans="7:7" ht="12.75">
      <c r="G409" s="290"/>
    </row>
    <row r="410" spans="7:7" ht="12.75">
      <c r="G410" s="290"/>
    </row>
    <row r="411" spans="7:7" ht="12.75">
      <c r="G411" s="290"/>
    </row>
    <row r="412" spans="7:7" ht="12.75">
      <c r="G412" s="290"/>
    </row>
    <row r="413" spans="7:7" ht="12.75">
      <c r="G413" s="290"/>
    </row>
    <row r="414" spans="7:7" ht="12.75">
      <c r="G414" s="290"/>
    </row>
    <row r="415" spans="7:7" ht="12.75">
      <c r="G415" s="290"/>
    </row>
    <row r="416" spans="7:7" ht="12.75">
      <c r="G416" s="290"/>
    </row>
    <row r="417" spans="7:7" ht="12.75">
      <c r="G417" s="290"/>
    </row>
    <row r="418" spans="7:7" ht="12.75">
      <c r="G418" s="290"/>
    </row>
    <row r="419" spans="7:7" ht="12.75">
      <c r="G419" s="290"/>
    </row>
    <row r="420" spans="7:7" ht="12.75">
      <c r="G420" s="290"/>
    </row>
    <row r="421" spans="7:7" ht="12.75">
      <c r="G421" s="290"/>
    </row>
    <row r="422" spans="7:7" ht="12.75">
      <c r="G422" s="290"/>
    </row>
    <row r="423" spans="7:7" ht="12.75">
      <c r="G423" s="290"/>
    </row>
    <row r="424" spans="7:7" ht="12.75">
      <c r="G424" s="290"/>
    </row>
    <row r="425" spans="7:7" ht="12.75">
      <c r="G425" s="290"/>
    </row>
    <row r="426" spans="7:7" ht="12.75">
      <c r="G426" s="290"/>
    </row>
    <row r="427" spans="7:7" ht="12.75">
      <c r="G427" s="290"/>
    </row>
    <row r="428" spans="7:7" ht="12.75">
      <c r="G428" s="290"/>
    </row>
    <row r="429" spans="7:7" ht="12.75">
      <c r="G429" s="290"/>
    </row>
    <row r="430" spans="7:7" ht="12.75">
      <c r="G430" s="290"/>
    </row>
    <row r="431" spans="7:7" ht="12.75">
      <c r="G431" s="290"/>
    </row>
    <row r="432" spans="7:7" ht="12.75">
      <c r="G432" s="290"/>
    </row>
    <row r="433" spans="7:7" ht="12.75">
      <c r="G433" s="290"/>
    </row>
    <row r="434" spans="7:7" ht="12.75">
      <c r="G434" s="290"/>
    </row>
    <row r="435" spans="7:7" ht="12.75">
      <c r="G435" s="290"/>
    </row>
    <row r="436" spans="7:7" ht="12.75">
      <c r="G436" s="290"/>
    </row>
    <row r="437" spans="7:7" ht="12.75">
      <c r="G437" s="290"/>
    </row>
    <row r="438" spans="7:7" ht="12.75">
      <c r="G438" s="290"/>
    </row>
    <row r="439" spans="7:7" ht="12.75">
      <c r="G439" s="290"/>
    </row>
    <row r="440" spans="7:7" ht="12.75">
      <c r="G440" s="290"/>
    </row>
    <row r="441" spans="7:7" ht="12.75">
      <c r="G441" s="290"/>
    </row>
    <row r="442" spans="7:7" ht="12.75">
      <c r="G442" s="290"/>
    </row>
    <row r="443" spans="7:7" ht="12.75">
      <c r="G443" s="290"/>
    </row>
    <row r="444" spans="7:7" ht="12.75">
      <c r="G444" s="290"/>
    </row>
    <row r="445" spans="7:7" ht="12.75">
      <c r="G445" s="290"/>
    </row>
    <row r="446" spans="7:7" ht="12.75">
      <c r="G446" s="290"/>
    </row>
    <row r="447" spans="7:7" ht="12.75">
      <c r="G447" s="290"/>
    </row>
    <row r="448" spans="7:7" ht="12.75">
      <c r="G448" s="290"/>
    </row>
    <row r="449" spans="7:7" ht="12.75">
      <c r="G449" s="290"/>
    </row>
    <row r="450" spans="7:7" ht="12.75">
      <c r="G450" s="290"/>
    </row>
    <row r="451" spans="7:7" ht="12.75">
      <c r="G451" s="290"/>
    </row>
    <row r="452" spans="7:7" ht="12.75">
      <c r="G452" s="290"/>
    </row>
    <row r="453" spans="7:7" ht="12.75">
      <c r="G453" s="290"/>
    </row>
    <row r="454" spans="7:7" ht="12.75">
      <c r="G454" s="290"/>
    </row>
    <row r="455" spans="7:7" ht="12.75">
      <c r="G455" s="290"/>
    </row>
    <row r="456" spans="7:7" ht="12.75">
      <c r="G456" s="290"/>
    </row>
    <row r="457" spans="7:7" ht="12.75">
      <c r="G457" s="290"/>
    </row>
    <row r="458" spans="7:7" ht="12.75">
      <c r="G458" s="290"/>
    </row>
    <row r="459" spans="7:7" ht="12.75">
      <c r="G459" s="290"/>
    </row>
    <row r="460" spans="7:7" ht="12.75">
      <c r="G460" s="290"/>
    </row>
    <row r="461" spans="7:7" ht="12.75">
      <c r="G461" s="290"/>
    </row>
    <row r="462" spans="7:7" ht="12.75">
      <c r="G462" s="290"/>
    </row>
    <row r="463" spans="7:7" ht="12.75">
      <c r="G463" s="290"/>
    </row>
    <row r="464" spans="7:7" ht="12.75">
      <c r="G464" s="290"/>
    </row>
    <row r="465" spans="7:7" ht="12.75">
      <c r="G465" s="290"/>
    </row>
    <row r="466" spans="7:7" ht="12.75">
      <c r="G466" s="290"/>
    </row>
    <row r="467" spans="7:7" ht="12.75">
      <c r="G467" s="290"/>
    </row>
    <row r="468" spans="7:7" ht="12.75">
      <c r="G468" s="290"/>
    </row>
    <row r="469" spans="7:7" ht="12.75">
      <c r="G469" s="290"/>
    </row>
    <row r="470" spans="7:7" ht="12.75">
      <c r="G470" s="290"/>
    </row>
    <row r="471" spans="7:7" ht="12.75">
      <c r="G471" s="290"/>
    </row>
    <row r="472" spans="7:7" ht="12.75">
      <c r="G472" s="290"/>
    </row>
    <row r="473" spans="7:7" ht="12.75">
      <c r="G473" s="290"/>
    </row>
    <row r="474" spans="7:7" ht="12.75">
      <c r="G474" s="290"/>
    </row>
    <row r="475" spans="7:7" ht="12.75">
      <c r="G475" s="290"/>
    </row>
    <row r="476" spans="7:7" ht="12.75">
      <c r="G476" s="290"/>
    </row>
    <row r="477" spans="7:7" ht="12.75">
      <c r="G477" s="290"/>
    </row>
    <row r="478" spans="7:7" ht="12.75">
      <c r="G478" s="290"/>
    </row>
    <row r="479" spans="7:7" ht="12.75">
      <c r="G479" s="290"/>
    </row>
    <row r="480" spans="7:7" ht="12.75">
      <c r="G480" s="290"/>
    </row>
    <row r="481" spans="7:7" ht="12.75">
      <c r="G481" s="290"/>
    </row>
    <row r="482" spans="7:7" ht="12.75">
      <c r="G482" s="290"/>
    </row>
    <row r="483" spans="7:7" ht="12.75">
      <c r="G483" s="290"/>
    </row>
    <row r="484" spans="7:7" ht="12.75">
      <c r="G484" s="290"/>
    </row>
    <row r="485" spans="7:7" ht="12.75">
      <c r="G485" s="290"/>
    </row>
    <row r="486" spans="7:7" ht="12.75">
      <c r="G486" s="290"/>
    </row>
    <row r="487" spans="7:7" ht="12.75">
      <c r="G487" s="290"/>
    </row>
    <row r="488" spans="7:7" ht="12.75">
      <c r="G488" s="290"/>
    </row>
    <row r="489" spans="7:7" ht="12.75">
      <c r="G489" s="290"/>
    </row>
    <row r="490" spans="7:7" ht="12.75">
      <c r="G490" s="290"/>
    </row>
    <row r="491" spans="7:7" ht="12.75">
      <c r="G491" s="290"/>
    </row>
    <row r="492" spans="7:7" ht="12.75">
      <c r="G492" s="290"/>
    </row>
    <row r="493" spans="7:7" ht="12.75">
      <c r="G493" s="290"/>
    </row>
    <row r="494" spans="7:7" ht="12.75">
      <c r="G494" s="290"/>
    </row>
    <row r="495" spans="7:7" ht="12.75">
      <c r="G495" s="290"/>
    </row>
    <row r="496" spans="7:7" ht="12.75">
      <c r="G496" s="290"/>
    </row>
    <row r="497" spans="7:7" ht="12.75">
      <c r="G497" s="290"/>
    </row>
    <row r="498" spans="7:7" ht="12.75">
      <c r="G498" s="290"/>
    </row>
    <row r="499" spans="7:7" ht="12.75">
      <c r="G499" s="290"/>
    </row>
    <row r="500" spans="7:7" ht="12.75">
      <c r="G500" s="290"/>
    </row>
    <row r="501" spans="7:7" ht="12.75">
      <c r="G501" s="290"/>
    </row>
    <row r="502" spans="7:7" ht="12.75">
      <c r="G502" s="290"/>
    </row>
    <row r="503" spans="7:7" ht="12.75">
      <c r="G503" s="290"/>
    </row>
    <row r="504" spans="7:7" ht="12.75">
      <c r="G504" s="290"/>
    </row>
    <row r="505" spans="7:7" ht="12.75">
      <c r="G505" s="290"/>
    </row>
    <row r="506" spans="7:7" ht="12.75">
      <c r="G506" s="290"/>
    </row>
    <row r="507" spans="7:7" ht="12.75">
      <c r="G507" s="290"/>
    </row>
    <row r="508" spans="7:7" ht="12.75">
      <c r="G508" s="290"/>
    </row>
    <row r="509" spans="7:7" ht="12.75">
      <c r="G509" s="290"/>
    </row>
    <row r="510" spans="7:7" ht="12.75">
      <c r="G510" s="290"/>
    </row>
    <row r="511" spans="7:7" ht="12.75">
      <c r="G511" s="290"/>
    </row>
    <row r="512" spans="7:7" ht="12.75">
      <c r="G512" s="290"/>
    </row>
    <row r="513" spans="7:7" ht="12.75">
      <c r="G513" s="290"/>
    </row>
    <row r="514" spans="7:7" ht="12.75">
      <c r="G514" s="290"/>
    </row>
    <row r="515" spans="7:7" ht="12.75">
      <c r="G515" s="290"/>
    </row>
    <row r="516" spans="7:7" ht="12.75">
      <c r="G516" s="290"/>
    </row>
    <row r="517" spans="7:7" ht="12.75">
      <c r="G517" s="290"/>
    </row>
    <row r="518" spans="7:7" ht="12.75">
      <c r="G518" s="290"/>
    </row>
    <row r="519" spans="7:7" ht="12.75">
      <c r="G519" s="290"/>
    </row>
    <row r="520" spans="7:7" ht="12.75">
      <c r="G520" s="290"/>
    </row>
    <row r="521" spans="7:7" ht="12.75">
      <c r="G521" s="290"/>
    </row>
    <row r="522" spans="7:7" ht="12.75">
      <c r="G522" s="290"/>
    </row>
    <row r="523" spans="7:7" ht="12.75">
      <c r="G523" s="290"/>
    </row>
    <row r="524" spans="7:7" ht="12.75">
      <c r="G524" s="290"/>
    </row>
    <row r="525" spans="7:7" ht="12.75">
      <c r="G525" s="290"/>
    </row>
    <row r="526" spans="7:7" ht="12.75">
      <c r="G526" s="290"/>
    </row>
    <row r="527" spans="7:7" ht="12.75">
      <c r="G527" s="290"/>
    </row>
    <row r="528" spans="7:7" ht="12.75">
      <c r="G528" s="290"/>
    </row>
    <row r="529" spans="7:7" ht="12.75">
      <c r="G529" s="290"/>
    </row>
    <row r="530" spans="7:7" ht="12.75">
      <c r="G530" s="290"/>
    </row>
    <row r="531" spans="7:7" ht="12.75">
      <c r="G531" s="290"/>
    </row>
    <row r="532" spans="7:7" ht="12.75">
      <c r="G532" s="290"/>
    </row>
    <row r="533" spans="7:7" ht="12.75">
      <c r="G533" s="290"/>
    </row>
    <row r="534" spans="7:7" ht="12.75">
      <c r="G534" s="290"/>
    </row>
    <row r="535" spans="7:7" ht="12.75">
      <c r="G535" s="290"/>
    </row>
    <row r="536" spans="7:7" ht="12.75">
      <c r="G536" s="290"/>
    </row>
    <row r="537" spans="7:7" ht="12.75">
      <c r="G537" s="290"/>
    </row>
    <row r="538" spans="7:7" ht="12.75">
      <c r="G538" s="290"/>
    </row>
    <row r="539" spans="7:7" ht="12.75">
      <c r="G539" s="290"/>
    </row>
    <row r="540" spans="7:7" ht="12.75">
      <c r="G540" s="290"/>
    </row>
    <row r="541" spans="7:7" ht="12.75">
      <c r="G541" s="290"/>
    </row>
    <row r="542" spans="7:7" ht="12.75">
      <c r="G542" s="290"/>
    </row>
    <row r="543" spans="7:7" ht="12.75">
      <c r="G543" s="290"/>
    </row>
    <row r="544" spans="7:7" ht="12.75">
      <c r="G544" s="290"/>
    </row>
    <row r="545" spans="7:7" ht="12.75">
      <c r="G545" s="290"/>
    </row>
    <row r="546" spans="7:7" ht="12.75">
      <c r="G546" s="290"/>
    </row>
    <row r="547" spans="7:7" ht="12.75">
      <c r="G547" s="290"/>
    </row>
    <row r="548" spans="7:7" ht="12.75">
      <c r="G548" s="290"/>
    </row>
    <row r="549" spans="7:7" ht="12.75">
      <c r="G549" s="290"/>
    </row>
    <row r="550" spans="7:7" ht="12.75">
      <c r="G550" s="290"/>
    </row>
    <row r="551" spans="7:7" ht="12.75">
      <c r="G551" s="290"/>
    </row>
    <row r="552" spans="7:7" ht="12.75">
      <c r="G552" s="290"/>
    </row>
    <row r="553" spans="7:7" ht="12.75">
      <c r="G553" s="290"/>
    </row>
    <row r="554" spans="7:7" ht="12.75">
      <c r="G554" s="290"/>
    </row>
    <row r="555" spans="7:7" ht="12.75">
      <c r="G555" s="290"/>
    </row>
    <row r="556" spans="7:7" ht="12.75">
      <c r="G556" s="290"/>
    </row>
    <row r="557" spans="7:7" ht="12.75">
      <c r="G557" s="290"/>
    </row>
    <row r="558" spans="7:7" ht="12.75">
      <c r="G558" s="290"/>
    </row>
    <row r="559" spans="7:7" ht="12.75">
      <c r="G559" s="290"/>
    </row>
    <row r="560" spans="7:7" ht="12.75">
      <c r="G560" s="290"/>
    </row>
    <row r="561" spans="7:7" ht="12.75">
      <c r="G561" s="290"/>
    </row>
    <row r="562" spans="7:7" ht="12.75">
      <c r="G562" s="290"/>
    </row>
    <row r="563" spans="7:7" ht="12.75">
      <c r="G563" s="290"/>
    </row>
    <row r="564" spans="7:7" ht="12.75">
      <c r="G564" s="290"/>
    </row>
    <row r="565" spans="7:7" ht="12.75">
      <c r="G565" s="290"/>
    </row>
    <row r="566" spans="7:7" ht="12.75">
      <c r="G566" s="290"/>
    </row>
    <row r="567" spans="7:7" ht="12.75">
      <c r="G567" s="290"/>
    </row>
    <row r="568" spans="7:7" ht="12.75">
      <c r="G568" s="290"/>
    </row>
    <row r="569" spans="7:7" ht="12.75">
      <c r="G569" s="290"/>
    </row>
    <row r="570" spans="7:7" ht="12.75">
      <c r="G570" s="290"/>
    </row>
    <row r="571" spans="7:7" ht="12.75">
      <c r="G571" s="290"/>
    </row>
    <row r="572" spans="7:7" ht="12.75">
      <c r="G572" s="290"/>
    </row>
    <row r="573" spans="7:7" ht="12.75">
      <c r="G573" s="290"/>
    </row>
    <row r="574" spans="7:7" ht="12.75">
      <c r="G574" s="290"/>
    </row>
    <row r="575" spans="7:7" ht="12.75">
      <c r="G575" s="290"/>
    </row>
    <row r="576" spans="7:7" ht="12.75">
      <c r="G576" s="290"/>
    </row>
    <row r="577" spans="7:7" ht="12.75">
      <c r="G577" s="290"/>
    </row>
    <row r="578" spans="7:7" ht="12.75">
      <c r="G578" s="290"/>
    </row>
    <row r="579" spans="7:7" ht="12.75">
      <c r="G579" s="290"/>
    </row>
    <row r="580" spans="7:7" ht="12.75">
      <c r="G580" s="290"/>
    </row>
    <row r="581" spans="7:7" ht="12.75">
      <c r="G581" s="290"/>
    </row>
    <row r="582" spans="7:7" ht="12.75">
      <c r="G582" s="290"/>
    </row>
    <row r="583" spans="7:7" ht="12.75">
      <c r="G583" s="290"/>
    </row>
    <row r="584" spans="7:7" ht="12.75">
      <c r="G584" s="290"/>
    </row>
    <row r="585" spans="7:7" ht="12.75">
      <c r="G585" s="290"/>
    </row>
    <row r="586" spans="7:7" ht="12.75">
      <c r="G586" s="290"/>
    </row>
    <row r="587" spans="7:7" ht="12.75">
      <c r="G587" s="290"/>
    </row>
    <row r="588" spans="7:7" ht="12.75">
      <c r="G588" s="290"/>
    </row>
    <row r="589" spans="7:7" ht="12.75">
      <c r="G589" s="290"/>
    </row>
    <row r="590" spans="7:7" ht="12.75">
      <c r="G590" s="290"/>
    </row>
    <row r="591" spans="7:7" ht="12.75">
      <c r="G591" s="290"/>
    </row>
    <row r="592" spans="7:7" ht="12.75">
      <c r="G592" s="290"/>
    </row>
    <row r="593" spans="7:7" ht="12.75">
      <c r="G593" s="290"/>
    </row>
    <row r="594" spans="7:7" ht="12.75">
      <c r="G594" s="290"/>
    </row>
    <row r="595" spans="7:7" ht="12.75">
      <c r="G595" s="290"/>
    </row>
    <row r="596" spans="7:7" ht="12.75">
      <c r="G596" s="290"/>
    </row>
    <row r="597" spans="7:7" ht="12.75">
      <c r="G597" s="290"/>
    </row>
    <row r="598" spans="7:7" ht="12.75">
      <c r="G598" s="290"/>
    </row>
    <row r="599" spans="7:7" ht="12.75">
      <c r="G599" s="290"/>
    </row>
    <row r="600" spans="7:7" ht="12.75">
      <c r="G600" s="290"/>
    </row>
    <row r="601" spans="7:7" ht="12.75">
      <c r="G601" s="290"/>
    </row>
    <row r="602" spans="7:7" ht="12.75">
      <c r="G602" s="290"/>
    </row>
    <row r="603" spans="7:7" ht="12.75">
      <c r="G603" s="290"/>
    </row>
    <row r="604" spans="7:7" ht="12.75">
      <c r="G604" s="290"/>
    </row>
    <row r="605" spans="7:7" ht="12.75">
      <c r="G605" s="290"/>
    </row>
    <row r="606" spans="7:7" ht="12.75">
      <c r="G606" s="290"/>
    </row>
    <row r="607" spans="7:7" ht="12.75">
      <c r="G607" s="290"/>
    </row>
    <row r="608" spans="7:7" ht="12.75">
      <c r="G608" s="290"/>
    </row>
    <row r="609" spans="7:7" ht="12.75">
      <c r="G609" s="290"/>
    </row>
    <row r="610" spans="7:7" ht="12.75">
      <c r="G610" s="290"/>
    </row>
    <row r="611" spans="7:7" ht="12.75">
      <c r="G611" s="290"/>
    </row>
    <row r="612" spans="7:7" ht="12.75">
      <c r="G612" s="290"/>
    </row>
    <row r="613" spans="7:7" ht="12.75">
      <c r="G613" s="290"/>
    </row>
    <row r="614" spans="7:7" ht="12.75">
      <c r="G614" s="290"/>
    </row>
    <row r="615" spans="7:7" ht="12.75">
      <c r="G615" s="290"/>
    </row>
    <row r="616" spans="7:7" ht="12.75">
      <c r="G616" s="290"/>
    </row>
    <row r="617" spans="7:7" ht="12.75">
      <c r="G617" s="290"/>
    </row>
    <row r="618" spans="7:7" ht="12.75">
      <c r="G618" s="290"/>
    </row>
    <row r="619" spans="7:7" ht="12.75">
      <c r="G619" s="290"/>
    </row>
    <row r="620" spans="7:7" ht="12.75">
      <c r="G620" s="290"/>
    </row>
    <row r="621" spans="7:7" ht="12.75">
      <c r="G621" s="290"/>
    </row>
    <row r="622" spans="7:7" ht="12.75">
      <c r="G622" s="290"/>
    </row>
    <row r="623" spans="7:7" ht="12.75">
      <c r="G623" s="290"/>
    </row>
    <row r="624" spans="7:7" ht="12.75">
      <c r="G624" s="290"/>
    </row>
    <row r="625" spans="7:7" ht="12.75">
      <c r="G625" s="290"/>
    </row>
    <row r="626" spans="7:7" ht="12.75">
      <c r="G626" s="290"/>
    </row>
    <row r="627" spans="7:7" ht="12.75">
      <c r="G627" s="290"/>
    </row>
    <row r="628" spans="7:7" ht="12.75">
      <c r="G628" s="290"/>
    </row>
    <row r="629" spans="7:7" ht="12.75">
      <c r="G629" s="290"/>
    </row>
    <row r="630" spans="7:7" ht="12.75">
      <c r="G630" s="290"/>
    </row>
    <row r="631" spans="7:7" ht="12.75">
      <c r="G631" s="290"/>
    </row>
    <row r="632" spans="7:7" ht="12.75">
      <c r="G632" s="290"/>
    </row>
    <row r="633" spans="7:7" ht="12.75">
      <c r="G633" s="290"/>
    </row>
    <row r="634" spans="7:7" ht="12.75">
      <c r="G634" s="290"/>
    </row>
    <row r="635" spans="7:7" ht="12.75">
      <c r="G635" s="290"/>
    </row>
    <row r="636" spans="7:7" ht="12.75">
      <c r="G636" s="290"/>
    </row>
    <row r="637" spans="7:7" ht="12.75">
      <c r="G637" s="290"/>
    </row>
    <row r="638" spans="7:7" ht="12.75">
      <c r="G638" s="290"/>
    </row>
    <row r="639" spans="7:7" ht="12.75">
      <c r="G639" s="290"/>
    </row>
    <row r="640" spans="7:7" ht="12.75">
      <c r="G640" s="290"/>
    </row>
    <row r="641" spans="7:7" ht="12.75">
      <c r="G641" s="290"/>
    </row>
    <row r="642" spans="7:7" ht="12.75">
      <c r="G642" s="290"/>
    </row>
    <row r="643" spans="7:7" ht="12.75">
      <c r="G643" s="290"/>
    </row>
    <row r="644" spans="7:7" ht="12.75">
      <c r="G644" s="290"/>
    </row>
    <row r="645" spans="7:7" ht="12.75">
      <c r="G645" s="290"/>
    </row>
    <row r="646" spans="7:7" ht="12.75">
      <c r="G646" s="290"/>
    </row>
    <row r="647" spans="7:7" ht="12.75">
      <c r="G647" s="290"/>
    </row>
    <row r="648" spans="7:7" ht="12.75">
      <c r="G648" s="290"/>
    </row>
    <row r="649" spans="7:7" ht="12.75">
      <c r="G649" s="290"/>
    </row>
    <row r="650" spans="7:7" ht="12.75">
      <c r="G650" s="290"/>
    </row>
    <row r="651" spans="7:7" ht="12.75">
      <c r="G651" s="290"/>
    </row>
    <row r="652" spans="7:7" ht="12.75">
      <c r="G652" s="290"/>
    </row>
    <row r="653" spans="7:7" ht="12.75">
      <c r="G653" s="290"/>
    </row>
    <row r="654" spans="7:7" ht="12.75">
      <c r="G654" s="290"/>
    </row>
    <row r="655" spans="7:7" ht="12.75">
      <c r="G655" s="290"/>
    </row>
    <row r="656" spans="7:7" ht="12.75">
      <c r="G656" s="290"/>
    </row>
    <row r="657" spans="7:7" ht="12.75">
      <c r="G657" s="290"/>
    </row>
    <row r="658" spans="7:7" ht="12.75">
      <c r="G658" s="290"/>
    </row>
    <row r="659" spans="7:7" ht="12.75">
      <c r="G659" s="290"/>
    </row>
    <row r="660" spans="7:7" ht="12.75">
      <c r="G660" s="290"/>
    </row>
    <row r="661" spans="7:7" ht="12.75">
      <c r="G661" s="290"/>
    </row>
    <row r="662" spans="7:7" ht="12.75">
      <c r="G662" s="290"/>
    </row>
    <row r="663" spans="7:7" ht="12.75">
      <c r="G663" s="290"/>
    </row>
    <row r="664" spans="7:7" ht="12.75">
      <c r="G664" s="290"/>
    </row>
    <row r="665" spans="7:7" ht="12.75">
      <c r="G665" s="290"/>
    </row>
    <row r="666" spans="7:7" ht="12.75">
      <c r="G666" s="290"/>
    </row>
    <row r="667" spans="7:7" ht="12.75">
      <c r="G667" s="290"/>
    </row>
    <row r="668" spans="7:7" ht="12.75">
      <c r="G668" s="290"/>
    </row>
    <row r="669" spans="7:7" ht="12.75">
      <c r="G669" s="290"/>
    </row>
    <row r="670" spans="7:7" ht="12.75">
      <c r="G670" s="290"/>
    </row>
    <row r="671" spans="7:7" ht="12.75">
      <c r="G671" s="290"/>
    </row>
    <row r="672" spans="7:7" ht="12.75">
      <c r="G672" s="290"/>
    </row>
    <row r="673" spans="7:7" ht="12.75">
      <c r="G673" s="290"/>
    </row>
    <row r="674" spans="7:7" ht="12.75">
      <c r="G674" s="290"/>
    </row>
    <row r="675" spans="7:7" ht="12.75">
      <c r="G675" s="290"/>
    </row>
    <row r="676" spans="7:7" ht="12.75">
      <c r="G676" s="290"/>
    </row>
    <row r="677" spans="7:7" ht="12.75">
      <c r="G677" s="290"/>
    </row>
    <row r="678" spans="7:7" ht="12.75">
      <c r="G678" s="290"/>
    </row>
    <row r="679" spans="7:7" ht="12.75">
      <c r="G679" s="290"/>
    </row>
    <row r="680" spans="7:7" ht="12.75">
      <c r="G680" s="290"/>
    </row>
    <row r="681" spans="7:7" ht="12.75">
      <c r="G681" s="290"/>
    </row>
    <row r="682" spans="7:7" ht="12.75">
      <c r="G682" s="290"/>
    </row>
    <row r="683" spans="7:7" ht="12.75">
      <c r="G683" s="290"/>
    </row>
    <row r="684" spans="7:7" ht="12.75">
      <c r="G684" s="290"/>
    </row>
    <row r="685" spans="7:7" ht="12.75">
      <c r="G685" s="290"/>
    </row>
    <row r="686" spans="7:7" ht="12.75">
      <c r="G686" s="290"/>
    </row>
    <row r="687" spans="7:7" ht="12.75">
      <c r="G687" s="290"/>
    </row>
    <row r="688" spans="7:7" ht="12.75">
      <c r="G688" s="290"/>
    </row>
    <row r="689" spans="7:7" ht="12.75">
      <c r="G689" s="290"/>
    </row>
    <row r="690" spans="7:7" ht="12.75">
      <c r="G690" s="290"/>
    </row>
    <row r="691" spans="7:7" ht="12.75">
      <c r="G691" s="290"/>
    </row>
    <row r="692" spans="7:7" ht="12.75">
      <c r="G692" s="290"/>
    </row>
    <row r="693" spans="7:7" ht="12.75">
      <c r="G693" s="290"/>
    </row>
    <row r="694" spans="7:7" ht="12.75">
      <c r="G694" s="290"/>
    </row>
    <row r="695" spans="7:7" ht="12.75">
      <c r="G695" s="290"/>
    </row>
    <row r="696" spans="7:7" ht="12.75">
      <c r="G696" s="290"/>
    </row>
    <row r="697" spans="7:7" ht="12.75">
      <c r="G697" s="290"/>
    </row>
    <row r="698" spans="7:7" ht="12.75">
      <c r="G698" s="290"/>
    </row>
    <row r="699" spans="7:7" ht="12.75">
      <c r="G699" s="290"/>
    </row>
    <row r="700" spans="7:7" ht="12.75">
      <c r="G700" s="290"/>
    </row>
    <row r="701" spans="7:7" ht="12.75">
      <c r="G701" s="290"/>
    </row>
    <row r="702" spans="7:7" ht="12.75">
      <c r="G702" s="290"/>
    </row>
    <row r="703" spans="7:7" ht="12.75">
      <c r="G703" s="290"/>
    </row>
    <row r="704" spans="7:7" ht="12.75">
      <c r="G704" s="290"/>
    </row>
    <row r="705" spans="7:7" ht="12.75">
      <c r="G705" s="290"/>
    </row>
    <row r="706" spans="7:7" ht="12.75">
      <c r="G706" s="290"/>
    </row>
    <row r="707" spans="7:7" ht="12.75">
      <c r="G707" s="290"/>
    </row>
    <row r="708" spans="7:7" ht="12.75">
      <c r="G708" s="290"/>
    </row>
    <row r="709" spans="7:7" ht="12.75">
      <c r="G709" s="290"/>
    </row>
    <row r="710" spans="7:7" ht="12.75">
      <c r="G710" s="290"/>
    </row>
    <row r="711" spans="7:7" ht="12.75">
      <c r="G711" s="290"/>
    </row>
    <row r="712" spans="7:7" ht="12.75">
      <c r="G712" s="290"/>
    </row>
    <row r="713" spans="7:7" ht="12.75">
      <c r="G713" s="290"/>
    </row>
    <row r="714" spans="7:7" ht="12.75">
      <c r="G714" s="290"/>
    </row>
    <row r="715" spans="7:7" ht="12.75">
      <c r="G715" s="290"/>
    </row>
    <row r="716" spans="7:7" ht="12.75">
      <c r="G716" s="290"/>
    </row>
    <row r="717" spans="7:7" ht="12.75">
      <c r="G717" s="290"/>
    </row>
    <row r="718" spans="7:7" ht="12.75">
      <c r="G718" s="290"/>
    </row>
    <row r="719" spans="7:7" ht="12.75">
      <c r="G719" s="290"/>
    </row>
    <row r="720" spans="7:7" ht="12.75">
      <c r="G720" s="290"/>
    </row>
    <row r="721" spans="7:7" ht="12.75">
      <c r="G721" s="290"/>
    </row>
    <row r="722" spans="7:7" ht="12.75">
      <c r="G722" s="290"/>
    </row>
    <row r="723" spans="7:7" ht="12.75">
      <c r="G723" s="290"/>
    </row>
    <row r="724" spans="7:7" ht="12.75">
      <c r="G724" s="290"/>
    </row>
    <row r="725" spans="7:7" ht="12.75">
      <c r="G725" s="290"/>
    </row>
    <row r="726" spans="7:7" ht="12.75">
      <c r="G726" s="290"/>
    </row>
    <row r="727" spans="7:7" ht="12.75">
      <c r="G727" s="290"/>
    </row>
    <row r="728" spans="7:7" ht="12.75">
      <c r="G728" s="290"/>
    </row>
    <row r="729" spans="7:7" ht="12.75">
      <c r="G729" s="290"/>
    </row>
    <row r="730" spans="7:7" ht="12.75">
      <c r="G730" s="290"/>
    </row>
    <row r="731" spans="7:7" ht="12.75">
      <c r="G731" s="290"/>
    </row>
    <row r="732" spans="7:7" ht="12.75">
      <c r="G732" s="290"/>
    </row>
    <row r="733" spans="7:7" ht="12.75">
      <c r="G733" s="290"/>
    </row>
    <row r="734" spans="7:7" ht="12.75">
      <c r="G734" s="290"/>
    </row>
    <row r="735" spans="7:7" ht="12.75">
      <c r="G735" s="290"/>
    </row>
    <row r="736" spans="7:7" ht="12.75">
      <c r="G736" s="290"/>
    </row>
    <row r="737" spans="7:7" ht="12.75">
      <c r="G737" s="290"/>
    </row>
    <row r="738" spans="7:7" ht="12.75">
      <c r="G738" s="290"/>
    </row>
    <row r="739" spans="7:7" ht="12.75">
      <c r="G739" s="290"/>
    </row>
    <row r="740" spans="7:7" ht="12.75">
      <c r="G740" s="290"/>
    </row>
    <row r="741" spans="7:7" ht="12.75">
      <c r="G741" s="290"/>
    </row>
    <row r="742" spans="7:7" ht="12.75">
      <c r="G742" s="290"/>
    </row>
    <row r="743" spans="7:7" ht="12.75">
      <c r="G743" s="290"/>
    </row>
    <row r="744" spans="7:7" ht="12.75">
      <c r="G744" s="290"/>
    </row>
    <row r="745" spans="7:7" ht="12.75">
      <c r="G745" s="290"/>
    </row>
    <row r="746" spans="7:7" ht="12.75">
      <c r="G746" s="290"/>
    </row>
    <row r="747" spans="7:7" ht="12.75">
      <c r="G747" s="290"/>
    </row>
    <row r="748" spans="7:7" ht="12.75">
      <c r="G748" s="290"/>
    </row>
    <row r="749" spans="7:7" ht="12.75">
      <c r="G749" s="290"/>
    </row>
    <row r="750" spans="7:7" ht="12.75">
      <c r="G750" s="290"/>
    </row>
    <row r="751" spans="7:7" ht="12.75">
      <c r="G751" s="290"/>
    </row>
    <row r="752" spans="7:7" ht="12.75">
      <c r="G752" s="290"/>
    </row>
    <row r="753" spans="7:7" ht="12.75">
      <c r="G753" s="290"/>
    </row>
    <row r="754" spans="7:7" ht="12.75">
      <c r="G754" s="290"/>
    </row>
    <row r="755" spans="7:7" ht="12.75">
      <c r="G755" s="290"/>
    </row>
    <row r="756" spans="7:7" ht="12.75">
      <c r="G756" s="290"/>
    </row>
    <row r="757" spans="7:7" ht="12.75">
      <c r="G757" s="290"/>
    </row>
    <row r="758" spans="7:7" ht="12.75">
      <c r="G758" s="290"/>
    </row>
    <row r="759" spans="7:7" ht="12.75">
      <c r="G759" s="290"/>
    </row>
    <row r="760" spans="7:7" ht="12.75">
      <c r="G760" s="290"/>
    </row>
    <row r="761" spans="7:7" ht="12.75">
      <c r="G761" s="290"/>
    </row>
    <row r="762" spans="7:7" ht="12.75">
      <c r="G762" s="290"/>
    </row>
    <row r="763" spans="7:7" ht="12.75">
      <c r="G763" s="290"/>
    </row>
    <row r="764" spans="7:7" ht="12.75">
      <c r="G764" s="290"/>
    </row>
    <row r="765" spans="7:7" ht="12.75">
      <c r="G765" s="290"/>
    </row>
    <row r="766" spans="7:7" ht="12.75">
      <c r="G766" s="290"/>
    </row>
    <row r="767" spans="7:7" ht="12.75">
      <c r="G767" s="290"/>
    </row>
    <row r="768" spans="7:7" ht="12.75">
      <c r="G768" s="290"/>
    </row>
    <row r="769" spans="7:7" ht="12.75">
      <c r="G769" s="290"/>
    </row>
    <row r="770" spans="7:7" ht="12.75">
      <c r="G770" s="290"/>
    </row>
    <row r="771" spans="7:7" ht="12.75">
      <c r="G771" s="290"/>
    </row>
    <row r="772" spans="7:7" ht="12.75">
      <c r="G772" s="290"/>
    </row>
    <row r="773" spans="7:7" ht="12.75">
      <c r="G773" s="290"/>
    </row>
    <row r="774" spans="7:7" ht="12.75">
      <c r="G774" s="290"/>
    </row>
    <row r="775" spans="7:7" ht="12.75">
      <c r="G775" s="290"/>
    </row>
    <row r="776" spans="7:7" ht="12.75">
      <c r="G776" s="290"/>
    </row>
    <row r="777" spans="7:7" ht="12.75">
      <c r="G777" s="290"/>
    </row>
    <row r="778" spans="7:7" ht="12.75">
      <c r="G778" s="290"/>
    </row>
    <row r="779" spans="7:7" ht="12.75">
      <c r="G779" s="290"/>
    </row>
    <row r="780" spans="7:7" ht="12.75">
      <c r="G780" s="290"/>
    </row>
    <row r="781" spans="7:7" ht="12.75">
      <c r="G781" s="290"/>
    </row>
    <row r="782" spans="7:7" ht="12.75">
      <c r="G782" s="290"/>
    </row>
    <row r="783" spans="7:7" ht="12.75">
      <c r="G783" s="290"/>
    </row>
    <row r="784" spans="7:7" ht="12.75">
      <c r="G784" s="290"/>
    </row>
    <row r="785" spans="7:7" ht="12.75">
      <c r="G785" s="290"/>
    </row>
    <row r="786" spans="7:7" ht="12.75">
      <c r="G786" s="290"/>
    </row>
    <row r="787" spans="7:7" ht="12.75">
      <c r="G787" s="290"/>
    </row>
    <row r="788" spans="7:7" ht="12.75">
      <c r="G788" s="290"/>
    </row>
    <row r="789" spans="7:7" ht="12.75">
      <c r="G789" s="290"/>
    </row>
    <row r="790" spans="7:7" ht="12.75">
      <c r="G790" s="290"/>
    </row>
    <row r="791" spans="7:7" ht="12.75">
      <c r="G791" s="290"/>
    </row>
    <row r="792" spans="7:7" ht="12.75">
      <c r="G792" s="290"/>
    </row>
    <row r="793" spans="7:7" ht="12.75">
      <c r="G793" s="290"/>
    </row>
    <row r="794" spans="7:7" ht="12.75">
      <c r="G794" s="290"/>
    </row>
    <row r="795" spans="7:7" ht="12.75">
      <c r="G795" s="290"/>
    </row>
    <row r="796" spans="7:7" ht="12.75">
      <c r="G796" s="290"/>
    </row>
    <row r="797" spans="7:7" ht="12.75">
      <c r="G797" s="290"/>
    </row>
    <row r="798" spans="7:7" ht="12.75">
      <c r="G798" s="290"/>
    </row>
    <row r="799" spans="7:7" ht="12.75">
      <c r="G799" s="290"/>
    </row>
    <row r="800" spans="7:7" ht="12.75">
      <c r="G800" s="290"/>
    </row>
    <row r="801" spans="7:7" ht="12.75">
      <c r="G801" s="290"/>
    </row>
    <row r="802" spans="7:7" ht="12.75">
      <c r="G802" s="290"/>
    </row>
    <row r="803" spans="7:7" ht="12.75">
      <c r="G803" s="290"/>
    </row>
    <row r="804" spans="7:7" ht="12.75">
      <c r="G804" s="290"/>
    </row>
    <row r="805" spans="7:7" ht="12.75">
      <c r="G805" s="290"/>
    </row>
    <row r="806" spans="7:7" ht="12.75">
      <c r="G806" s="290"/>
    </row>
    <row r="807" spans="7:7" ht="12.75">
      <c r="G807" s="290"/>
    </row>
    <row r="808" spans="7:7" ht="12.75">
      <c r="G808" s="290"/>
    </row>
    <row r="809" spans="7:7" ht="12.75">
      <c r="G809" s="290"/>
    </row>
    <row r="810" spans="7:7" ht="12.75">
      <c r="G810" s="290"/>
    </row>
    <row r="811" spans="7:7" ht="12.75">
      <c r="G811" s="290"/>
    </row>
    <row r="812" spans="7:7" ht="12.75">
      <c r="G812" s="290"/>
    </row>
    <row r="813" spans="7:7" ht="12.75">
      <c r="G813" s="290"/>
    </row>
    <row r="814" spans="7:7" ht="12.75">
      <c r="G814" s="290"/>
    </row>
    <row r="815" spans="7:7" ht="12.75">
      <c r="G815" s="290"/>
    </row>
    <row r="816" spans="7:7" ht="12.75">
      <c r="G816" s="290"/>
    </row>
    <row r="817" spans="7:7" ht="12.75">
      <c r="G817" s="290"/>
    </row>
    <row r="818" spans="7:7" ht="12.75">
      <c r="G818" s="290"/>
    </row>
    <row r="819" spans="7:7" ht="12.75">
      <c r="G819" s="290"/>
    </row>
    <row r="820" spans="7:7" ht="12.75">
      <c r="G820" s="290"/>
    </row>
    <row r="821" spans="7:7" ht="12.75">
      <c r="G821" s="290"/>
    </row>
    <row r="822" spans="7:7" ht="12.75">
      <c r="G822" s="290"/>
    </row>
    <row r="823" spans="7:7" ht="12.75">
      <c r="G823" s="290"/>
    </row>
    <row r="824" spans="7:7" ht="12.75">
      <c r="G824" s="290"/>
    </row>
    <row r="825" spans="7:7" ht="12.75">
      <c r="G825" s="290"/>
    </row>
    <row r="826" spans="7:7" ht="12.75">
      <c r="G826" s="290"/>
    </row>
    <row r="827" spans="7:7" ht="12.75">
      <c r="G827" s="290"/>
    </row>
    <row r="828" spans="7:7" ht="12.75">
      <c r="G828" s="290"/>
    </row>
    <row r="829" spans="7:7" ht="12.75">
      <c r="G829" s="290"/>
    </row>
    <row r="830" spans="7:7" ht="12.75">
      <c r="G830" s="290"/>
    </row>
    <row r="831" spans="7:7" ht="12.75">
      <c r="G831" s="290"/>
    </row>
    <row r="832" spans="7:7" ht="12.75">
      <c r="G832" s="290"/>
    </row>
    <row r="833" spans="7:7" ht="12.75">
      <c r="G833" s="290"/>
    </row>
    <row r="834" spans="7:7" ht="12.75">
      <c r="G834" s="290"/>
    </row>
    <row r="835" spans="7:7" ht="12.75">
      <c r="G835" s="290"/>
    </row>
    <row r="836" spans="7:7" ht="12.75">
      <c r="G836" s="290"/>
    </row>
    <row r="837" spans="7:7" ht="12.75">
      <c r="G837" s="290"/>
    </row>
    <row r="838" spans="7:7" ht="12.75">
      <c r="G838" s="290"/>
    </row>
    <row r="839" spans="7:7" ht="12.75">
      <c r="G839" s="290"/>
    </row>
    <row r="840" spans="7:7" ht="12.75">
      <c r="G840" s="290"/>
    </row>
    <row r="841" spans="7:7" ht="12.75">
      <c r="G841" s="290"/>
    </row>
    <row r="842" spans="7:7" ht="12.75">
      <c r="G842" s="290"/>
    </row>
    <row r="843" spans="7:7" ht="12.75">
      <c r="G843" s="290"/>
    </row>
    <row r="844" spans="7:7" ht="12.75">
      <c r="G844" s="290"/>
    </row>
    <row r="845" spans="7:7" ht="12.75">
      <c r="G845" s="290"/>
    </row>
    <row r="846" spans="7:7" ht="12.75">
      <c r="G846" s="290"/>
    </row>
    <row r="847" spans="7:7" ht="12.75">
      <c r="G847" s="290"/>
    </row>
    <row r="848" spans="7:7" ht="12.75">
      <c r="G848" s="290"/>
    </row>
    <row r="849" spans="7:7" ht="12.75">
      <c r="G849" s="290"/>
    </row>
    <row r="850" spans="7:7" ht="12.75">
      <c r="G850" s="290"/>
    </row>
    <row r="851" spans="7:7" ht="12.75">
      <c r="G851" s="290"/>
    </row>
    <row r="852" spans="7:7" ht="12.75">
      <c r="G852" s="290"/>
    </row>
    <row r="853" spans="7:7" ht="12.75">
      <c r="G853" s="290"/>
    </row>
    <row r="854" spans="7:7" ht="12.75">
      <c r="G854" s="290"/>
    </row>
    <row r="855" spans="7:7" ht="12.75">
      <c r="G855" s="290"/>
    </row>
    <row r="856" spans="7:7" ht="12.75">
      <c r="G856" s="290"/>
    </row>
    <row r="857" spans="7:7" ht="12.75">
      <c r="G857" s="290"/>
    </row>
    <row r="858" spans="7:7" ht="12.75">
      <c r="G858" s="290"/>
    </row>
    <row r="859" spans="7:7" ht="12.75">
      <c r="G859" s="290"/>
    </row>
    <row r="860" spans="7:7" ht="12.75">
      <c r="G860" s="290"/>
    </row>
    <row r="861" spans="7:7" ht="12.75">
      <c r="G861" s="290"/>
    </row>
    <row r="862" spans="7:7" ht="12.75">
      <c r="G862" s="290"/>
    </row>
    <row r="863" spans="7:7" ht="12.75">
      <c r="G863" s="290"/>
    </row>
    <row r="864" spans="7:7" ht="12.75">
      <c r="G864" s="290"/>
    </row>
    <row r="865" spans="7:7" ht="12.75">
      <c r="G865" s="290"/>
    </row>
    <row r="866" spans="7:7" ht="12.75">
      <c r="G866" s="290"/>
    </row>
    <row r="867" spans="7:7" ht="12.75">
      <c r="G867" s="290"/>
    </row>
    <row r="868" spans="7:7" ht="12.75">
      <c r="G868" s="290"/>
    </row>
    <row r="869" spans="7:7" ht="12.75">
      <c r="G869" s="290"/>
    </row>
    <row r="870" spans="7:7" ht="12.75">
      <c r="G870" s="290"/>
    </row>
    <row r="871" spans="7:7" ht="12.75">
      <c r="G871" s="290"/>
    </row>
    <row r="872" spans="7:7" ht="12.75">
      <c r="G872" s="290"/>
    </row>
    <row r="873" spans="7:7" ht="12.75">
      <c r="G873" s="290"/>
    </row>
    <row r="874" spans="7:7" ht="12.75">
      <c r="G874" s="290"/>
    </row>
    <row r="875" spans="7:7" ht="12.75">
      <c r="G875" s="290"/>
    </row>
    <row r="876" spans="7:7" ht="12.75">
      <c r="G876" s="290"/>
    </row>
    <row r="877" spans="7:7" ht="12.75">
      <c r="G877" s="290"/>
    </row>
    <row r="878" spans="7:7" ht="12.75">
      <c r="G878" s="290"/>
    </row>
    <row r="879" spans="7:7" ht="12.75">
      <c r="G879" s="290"/>
    </row>
    <row r="880" spans="7:7" ht="12.75">
      <c r="G880" s="290"/>
    </row>
    <row r="881" spans="7:7" ht="12.75">
      <c r="G881" s="290"/>
    </row>
    <row r="882" spans="7:7" ht="12.75">
      <c r="G882" s="290"/>
    </row>
    <row r="883" spans="7:7" ht="12.75">
      <c r="G883" s="290"/>
    </row>
    <row r="884" spans="7:7" ht="12.75">
      <c r="G884" s="290"/>
    </row>
    <row r="885" spans="7:7" ht="12.75">
      <c r="G885" s="290"/>
    </row>
    <row r="886" spans="7:7" ht="12.75">
      <c r="G886" s="290"/>
    </row>
    <row r="887" spans="7:7" ht="12.75">
      <c r="G887" s="290"/>
    </row>
    <row r="888" spans="7:7" ht="12.75">
      <c r="G888" s="290"/>
    </row>
    <row r="889" spans="7:7" ht="12.75">
      <c r="G889" s="290"/>
    </row>
    <row r="890" spans="7:7" ht="12.75">
      <c r="G890" s="290"/>
    </row>
    <row r="891" spans="7:7" ht="12.75">
      <c r="G891" s="290"/>
    </row>
    <row r="892" spans="7:7" ht="12.75">
      <c r="G892" s="290"/>
    </row>
    <row r="893" spans="7:7" ht="12.75">
      <c r="G893" s="290"/>
    </row>
    <row r="894" spans="7:7" ht="12.75">
      <c r="G894" s="290"/>
    </row>
    <row r="895" spans="7:7" ht="12.75">
      <c r="G895" s="290"/>
    </row>
    <row r="896" spans="7:7" ht="12.75">
      <c r="G896" s="290"/>
    </row>
    <row r="897" spans="7:7" ht="12.75">
      <c r="G897" s="290"/>
    </row>
    <row r="898" spans="7:7" ht="12.75">
      <c r="G898" s="290"/>
    </row>
    <row r="899" spans="7:7" ht="12.75">
      <c r="G899" s="290"/>
    </row>
    <row r="900" spans="7:7" ht="12.75">
      <c r="G900" s="290"/>
    </row>
    <row r="901" spans="7:7" ht="12.75">
      <c r="G901" s="290"/>
    </row>
    <row r="902" spans="7:7" ht="12.75">
      <c r="G902" s="290"/>
    </row>
    <row r="903" spans="7:7" ht="12.75">
      <c r="G903" s="290"/>
    </row>
    <row r="904" spans="7:7" ht="12.75">
      <c r="G904" s="290"/>
    </row>
    <row r="905" spans="7:7" ht="12.75">
      <c r="G905" s="290"/>
    </row>
    <row r="906" spans="7:7" ht="12.75">
      <c r="G906" s="290"/>
    </row>
    <row r="907" spans="7:7" ht="12.75">
      <c r="G907" s="290"/>
    </row>
    <row r="908" spans="7:7" ht="12.75">
      <c r="G908" s="290"/>
    </row>
    <row r="909" spans="7:7" ht="12.75">
      <c r="G909" s="290"/>
    </row>
    <row r="910" spans="7:7" ht="12.75">
      <c r="G910" s="290"/>
    </row>
    <row r="911" spans="7:7" ht="12.75">
      <c r="G911" s="290"/>
    </row>
    <row r="912" spans="7:7" ht="12.75">
      <c r="G912" s="290"/>
    </row>
    <row r="913" spans="7:7" ht="12.75">
      <c r="G913" s="290"/>
    </row>
    <row r="914" spans="7:7" ht="12.75">
      <c r="G914" s="290"/>
    </row>
    <row r="915" spans="7:7" ht="12.75">
      <c r="G915" s="290"/>
    </row>
    <row r="916" spans="7:7" ht="12.75">
      <c r="G916" s="290"/>
    </row>
    <row r="917" spans="7:7" ht="12.75">
      <c r="G917" s="290"/>
    </row>
    <row r="918" spans="7:7" ht="12.75">
      <c r="G918" s="290"/>
    </row>
    <row r="919" spans="7:7" ht="12.75">
      <c r="G919" s="290"/>
    </row>
    <row r="920" spans="7:7" ht="12.75">
      <c r="G920" s="290"/>
    </row>
    <row r="921" spans="7:7" ht="12.75">
      <c r="G921" s="290"/>
    </row>
    <row r="922" spans="7:7" ht="12.75">
      <c r="G922" s="290"/>
    </row>
    <row r="923" spans="7:7" ht="12.75">
      <c r="G923" s="290"/>
    </row>
    <row r="924" spans="7:7" ht="12.75">
      <c r="G924" s="290"/>
    </row>
    <row r="925" spans="7:7" ht="12.75">
      <c r="G925" s="290"/>
    </row>
    <row r="926" spans="7:7" ht="12.75">
      <c r="G926" s="290"/>
    </row>
    <row r="927" spans="7:7" ht="12.75">
      <c r="G927" s="290"/>
    </row>
    <row r="928" spans="7:7" ht="12.75">
      <c r="G928" s="290"/>
    </row>
    <row r="929" spans="7:7" ht="12.75">
      <c r="G929" s="290"/>
    </row>
    <row r="930" spans="7:7" ht="12.75">
      <c r="G930" s="290"/>
    </row>
    <row r="931" spans="7:7" ht="12.75">
      <c r="G931" s="290"/>
    </row>
    <row r="932" spans="7:7" ht="12.75">
      <c r="G932" s="290"/>
    </row>
    <row r="933" spans="7:7" ht="12.75">
      <c r="G933" s="290"/>
    </row>
    <row r="934" spans="7:7" ht="12.75">
      <c r="G934" s="290"/>
    </row>
    <row r="935" spans="7:7" ht="12.75">
      <c r="G935" s="290"/>
    </row>
    <row r="936" spans="7:7" ht="12.75">
      <c r="G936" s="290"/>
    </row>
    <row r="937" spans="7:7" ht="12.75">
      <c r="G937" s="290"/>
    </row>
    <row r="938" spans="7:7" ht="12.75">
      <c r="G938" s="290"/>
    </row>
    <row r="939" spans="7:7" ht="12.75">
      <c r="G939" s="290"/>
    </row>
    <row r="940" spans="7:7" ht="12.75">
      <c r="G940" s="290"/>
    </row>
    <row r="941" spans="7:7" ht="12.75">
      <c r="G941" s="290"/>
    </row>
    <row r="942" spans="7:7" ht="12.75">
      <c r="G942" s="290"/>
    </row>
    <row r="943" spans="7:7" ht="12.75">
      <c r="G943" s="290"/>
    </row>
    <row r="944" spans="7:7" ht="12.75">
      <c r="G944" s="290"/>
    </row>
    <row r="945" spans="7:7" ht="12.75">
      <c r="G945" s="290"/>
    </row>
    <row r="946" spans="7:7" ht="12.75">
      <c r="G946" s="290"/>
    </row>
    <row r="947" spans="7:7" ht="12.75">
      <c r="G947" s="290"/>
    </row>
    <row r="948" spans="7:7" ht="12.75">
      <c r="G948" s="290"/>
    </row>
    <row r="949" spans="7:7" ht="12.75">
      <c r="G949" s="290"/>
    </row>
    <row r="950" spans="7:7" ht="12.75">
      <c r="G950" s="290"/>
    </row>
    <row r="951" spans="7:7" ht="12.75">
      <c r="G951" s="290"/>
    </row>
    <row r="952" spans="7:7" ht="12.75">
      <c r="G952" s="290"/>
    </row>
    <row r="953" spans="7:7" ht="12.75">
      <c r="G953" s="290"/>
    </row>
    <row r="954" spans="7:7" ht="12.75">
      <c r="G954" s="290"/>
    </row>
    <row r="955" spans="7:7" ht="12.75">
      <c r="G955" s="290"/>
    </row>
    <row r="956" spans="7:7" ht="12.75">
      <c r="G956" s="290"/>
    </row>
    <row r="957" spans="7:7" ht="12.75">
      <c r="G957" s="290"/>
    </row>
    <row r="958" spans="7:7" ht="12.75">
      <c r="G958" s="290"/>
    </row>
    <row r="959" spans="7:7" ht="12.75">
      <c r="G959" s="290"/>
    </row>
    <row r="960" spans="7:7" ht="12.75">
      <c r="G960" s="290"/>
    </row>
    <row r="961" spans="7:7" ht="12.75">
      <c r="G961" s="290"/>
    </row>
    <row r="962" spans="7:7" ht="12.75">
      <c r="G962" s="290"/>
    </row>
    <row r="963" spans="7:7" ht="12.75">
      <c r="G963" s="290"/>
    </row>
    <row r="964" spans="7:7" ht="12.75">
      <c r="G964" s="290"/>
    </row>
    <row r="965" spans="7:7" ht="12.75">
      <c r="G965" s="290"/>
    </row>
    <row r="966" spans="7:7" ht="12.75">
      <c r="G966" s="290"/>
    </row>
    <row r="967" spans="7:7" ht="12.75">
      <c r="G967" s="290"/>
    </row>
    <row r="968" spans="7:7" ht="12.75">
      <c r="G968" s="290"/>
    </row>
    <row r="969" spans="7:7" ht="12.75">
      <c r="G969" s="290"/>
    </row>
    <row r="970" spans="7:7" ht="12.75">
      <c r="G970" s="290"/>
    </row>
    <row r="971" spans="7:7" ht="12.75">
      <c r="G971" s="290"/>
    </row>
    <row r="972" spans="7:7" ht="12.75">
      <c r="G972" s="290"/>
    </row>
    <row r="973" spans="7:7" ht="12.75">
      <c r="G973" s="290"/>
    </row>
    <row r="974" spans="7:7" ht="12.75">
      <c r="G974" s="290"/>
    </row>
    <row r="975" spans="7:7" ht="12.75">
      <c r="G975" s="290"/>
    </row>
    <row r="976" spans="7:7" ht="12.75">
      <c r="G976" s="290"/>
    </row>
    <row r="977" spans="7:7" ht="12.75">
      <c r="G977" s="290"/>
    </row>
    <row r="978" spans="7:7" ht="12.75">
      <c r="G978" s="290"/>
    </row>
    <row r="979" spans="7:7" ht="12.75">
      <c r="G979" s="290"/>
    </row>
    <row r="980" spans="7:7" ht="12.75">
      <c r="G980" s="290"/>
    </row>
    <row r="981" spans="7:7" ht="12.75">
      <c r="G981" s="290"/>
    </row>
    <row r="982" spans="7:7" ht="12.75">
      <c r="G982" s="290"/>
    </row>
    <row r="983" spans="7:7" ht="12.75">
      <c r="G983" s="290"/>
    </row>
    <row r="984" spans="7:7" ht="12.75">
      <c r="G984" s="290"/>
    </row>
    <row r="985" spans="7:7" ht="12.75">
      <c r="G985" s="290"/>
    </row>
    <row r="986" spans="7:7" ht="12.75">
      <c r="G986" s="290"/>
    </row>
    <row r="987" spans="7:7" ht="12.75">
      <c r="G987" s="290"/>
    </row>
    <row r="988" spans="7:7" ht="12.75">
      <c r="G988" s="290"/>
    </row>
    <row r="989" spans="7:7" ht="12.75">
      <c r="G989" s="290"/>
    </row>
    <row r="990" spans="7:7" ht="12.75">
      <c r="G990" s="290"/>
    </row>
    <row r="991" spans="7:7" ht="12.75">
      <c r="G991" s="290"/>
    </row>
    <row r="992" spans="7:7" ht="12.75">
      <c r="G992" s="290"/>
    </row>
    <row r="993" spans="7:7" ht="12.75">
      <c r="G993" s="290"/>
    </row>
    <row r="994" spans="7:7" ht="12.75">
      <c r="G994" s="290"/>
    </row>
    <row r="995" spans="7:7" ht="12.75">
      <c r="G995" s="290"/>
    </row>
    <row r="996" spans="7:7" ht="12.75">
      <c r="G996" s="290"/>
    </row>
    <row r="997" spans="7:7" ht="12.75">
      <c r="G997" s="290"/>
    </row>
    <row r="998" spans="7:7" ht="12.75">
      <c r="G998" s="290"/>
    </row>
    <row r="999" spans="7:7" ht="12.75">
      <c r="G999" s="290"/>
    </row>
    <row r="1000" spans="7:7" ht="12.75">
      <c r="G1000" s="290"/>
    </row>
    <row r="1001" spans="7:7" ht="12.75">
      <c r="G1001" s="290"/>
    </row>
    <row r="1002" spans="7:7" ht="12.75">
      <c r="G1002" s="290"/>
    </row>
    <row r="1003" spans="7:7" ht="12.75">
      <c r="G1003" s="290"/>
    </row>
    <row r="1004" spans="7:7" ht="12.75">
      <c r="G1004" s="290"/>
    </row>
    <row r="1005" spans="7:7" ht="12.75">
      <c r="G1005" s="290"/>
    </row>
  </sheetData>
  <printOptions horizontalCentered="1" gridLines="1"/>
  <pageMargins left="0.7" right="0.7" top="0.75" bottom="0.75" header="0" footer="0"/>
  <pageSetup paperSize="9" pageOrder="overThenDown" orientation="portrait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P920"/>
  <sheetViews>
    <sheetView workbookViewId="0">
      <selection sqref="A1:M2"/>
    </sheetView>
  </sheetViews>
  <sheetFormatPr defaultColWidth="12.5703125" defaultRowHeight="15.75" customHeight="1"/>
  <cols>
    <col min="1" max="1" width="4.7109375" customWidth="1"/>
    <col min="2" max="2" width="5.140625" customWidth="1"/>
    <col min="3" max="3" width="5.42578125" customWidth="1"/>
    <col min="4" max="4" width="14.140625" customWidth="1"/>
    <col min="5" max="5" width="15.42578125" customWidth="1"/>
    <col min="6" max="6" width="12.5703125" hidden="1"/>
    <col min="7" max="7" width="9.140625" customWidth="1"/>
    <col min="8" max="8" width="12.5703125" hidden="1"/>
    <col min="9" max="9" width="8.5703125" hidden="1" customWidth="1"/>
    <col min="10" max="10" width="13.28515625" hidden="1" customWidth="1"/>
    <col min="11" max="13" width="12.5703125" hidden="1"/>
    <col min="14" max="14" width="10.140625" hidden="1" customWidth="1"/>
    <col min="15" max="15" width="15.42578125" hidden="1" customWidth="1"/>
    <col min="16" max="16" width="20.7109375" customWidth="1"/>
    <col min="17" max="17" width="20.85546875" customWidth="1"/>
    <col min="18" max="18" width="32.7109375" customWidth="1"/>
    <col min="19" max="19" width="24.42578125" customWidth="1"/>
    <col min="20" max="20" width="28.42578125" customWidth="1"/>
    <col min="21" max="21" width="8.28515625" customWidth="1"/>
  </cols>
  <sheetData>
    <row r="1" spans="1:42" ht="15">
      <c r="A1" s="888" t="s">
        <v>180</v>
      </c>
      <c r="B1" s="865"/>
      <c r="C1" s="865"/>
      <c r="D1" s="865"/>
      <c r="E1" s="865"/>
      <c r="F1" s="865"/>
      <c r="G1" s="865"/>
      <c r="H1" s="865"/>
      <c r="I1" s="865"/>
      <c r="J1" s="865"/>
      <c r="K1" s="865"/>
      <c r="L1" s="865"/>
      <c r="M1" s="865"/>
      <c r="N1" s="865"/>
      <c r="O1" s="865"/>
      <c r="P1" s="865"/>
      <c r="Q1" s="865"/>
      <c r="R1" s="865"/>
      <c r="S1" s="865"/>
    </row>
    <row r="2" spans="1:42" ht="15">
      <c r="A2" s="4"/>
      <c r="B2" s="4"/>
      <c r="C2" s="4"/>
      <c r="D2" s="4"/>
      <c r="E2" s="11"/>
      <c r="F2" s="11"/>
      <c r="G2" s="11"/>
      <c r="H2" s="11"/>
      <c r="I2" s="11"/>
      <c r="J2" s="11"/>
      <c r="K2" s="11"/>
      <c r="L2" s="11"/>
      <c r="M2" s="11"/>
      <c r="N2" s="11"/>
      <c r="O2" s="291"/>
      <c r="P2" s="292"/>
      <c r="Q2" s="53"/>
      <c r="R2" s="53"/>
      <c r="S2" s="53"/>
    </row>
    <row r="3" spans="1:42" ht="15" hidden="1">
      <c r="A3" s="864"/>
      <c r="B3" s="865"/>
      <c r="C3" s="865"/>
      <c r="D3" s="865"/>
      <c r="E3" s="865"/>
      <c r="F3" s="865"/>
      <c r="G3" s="865"/>
      <c r="H3" s="865"/>
      <c r="I3" s="865"/>
      <c r="J3" s="865"/>
      <c r="K3" s="865"/>
      <c r="L3" s="865"/>
      <c r="M3" s="865"/>
      <c r="N3" s="1"/>
      <c r="O3" s="1"/>
      <c r="P3" s="2"/>
    </row>
    <row r="4" spans="1:42" ht="15" hidden="1">
      <c r="A4" s="4"/>
      <c r="B4" s="4"/>
      <c r="C4" s="4"/>
      <c r="D4" s="4"/>
      <c r="E4" s="4" t="e">
        <f>G4-#REF!</f>
        <v>#REF!</v>
      </c>
      <c r="F4" s="4"/>
      <c r="G4" s="293">
        <v>38692443.899999999</v>
      </c>
      <c r="H4" s="4"/>
      <c r="I4" s="4"/>
      <c r="J4" s="4"/>
      <c r="K4" s="4"/>
      <c r="L4" s="4"/>
      <c r="M4" s="4"/>
      <c r="N4" s="4"/>
      <c r="O4" s="4"/>
      <c r="P4" s="2"/>
    </row>
    <row r="5" spans="1:42" ht="15" hidden="1">
      <c r="A5" s="889" t="s">
        <v>1</v>
      </c>
      <c r="B5" s="889" t="s">
        <v>2</v>
      </c>
      <c r="C5" s="889" t="s">
        <v>3</v>
      </c>
      <c r="D5" s="890" t="s">
        <v>4</v>
      </c>
      <c r="E5" s="891" t="s">
        <v>181</v>
      </c>
      <c r="F5" s="9"/>
      <c r="G5" s="9"/>
      <c r="H5" s="9"/>
      <c r="I5" s="9"/>
      <c r="J5" s="9"/>
      <c r="K5" s="9"/>
      <c r="L5" s="9"/>
      <c r="M5" s="9"/>
      <c r="N5" s="9"/>
      <c r="O5" s="9"/>
      <c r="P5" s="294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</row>
    <row r="6" spans="1:42" ht="34.5" hidden="1" customHeight="1">
      <c r="A6" s="863"/>
      <c r="B6" s="863"/>
      <c r="C6" s="863"/>
      <c r="D6" s="863"/>
      <c r="E6" s="863"/>
      <c r="F6" s="892" t="s">
        <v>6</v>
      </c>
      <c r="G6" s="867"/>
      <c r="H6" s="867"/>
      <c r="I6" s="867"/>
      <c r="J6" s="867"/>
      <c r="K6" s="867"/>
      <c r="L6" s="867"/>
      <c r="M6" s="867"/>
      <c r="N6" s="867"/>
      <c r="O6" s="867"/>
      <c r="P6" s="868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</row>
    <row r="7" spans="1:42" ht="60.75" hidden="1" customHeight="1">
      <c r="A7" s="862"/>
      <c r="B7" s="862"/>
      <c r="C7" s="862"/>
      <c r="D7" s="862"/>
      <c r="E7" s="862"/>
      <c r="F7" s="295" t="s">
        <v>8</v>
      </c>
      <c r="G7" s="295" t="s">
        <v>9</v>
      </c>
      <c r="H7" s="295" t="s">
        <v>10</v>
      </c>
      <c r="I7" s="295" t="s">
        <v>11</v>
      </c>
      <c r="J7" s="295" t="s">
        <v>12</v>
      </c>
      <c r="K7" s="295" t="s">
        <v>8</v>
      </c>
      <c r="L7" s="295" t="s">
        <v>13</v>
      </c>
      <c r="M7" s="295" t="s">
        <v>10</v>
      </c>
      <c r="N7" s="295" t="s">
        <v>11</v>
      </c>
      <c r="O7" s="295" t="s">
        <v>12</v>
      </c>
      <c r="P7" s="296" t="s">
        <v>182</v>
      </c>
      <c r="Q7" s="296" t="s">
        <v>183</v>
      </c>
      <c r="R7" s="296" t="s">
        <v>184</v>
      </c>
      <c r="S7" s="297"/>
      <c r="T7" s="298"/>
      <c r="U7" s="299"/>
      <c r="V7" s="299"/>
      <c r="W7" s="299"/>
      <c r="X7" s="299"/>
      <c r="Y7" s="299"/>
      <c r="Z7" s="299"/>
      <c r="AA7" s="299"/>
      <c r="AB7" s="300"/>
      <c r="AC7" s="299"/>
      <c r="AD7" s="300"/>
      <c r="AE7" s="300"/>
      <c r="AF7" s="299"/>
      <c r="AG7" s="300"/>
      <c r="AH7" s="299"/>
      <c r="AI7" s="299"/>
      <c r="AJ7" s="299"/>
      <c r="AK7" s="299"/>
      <c r="AL7" s="301"/>
      <c r="AM7" s="302"/>
      <c r="AN7" s="303"/>
      <c r="AO7" s="301"/>
      <c r="AP7" s="301"/>
    </row>
    <row r="8" spans="1:42" ht="15" hidden="1">
      <c r="A8" s="7">
        <v>1</v>
      </c>
      <c r="B8" s="7">
        <v>2</v>
      </c>
      <c r="C8" s="8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9"/>
      <c r="P8" s="304"/>
      <c r="Q8" s="297"/>
      <c r="R8" s="297"/>
      <c r="S8" s="297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</row>
    <row r="9" spans="1:42" ht="15" hidden="1">
      <c r="A9" s="305">
        <v>70</v>
      </c>
      <c r="B9" s="306"/>
      <c r="C9" s="306"/>
      <c r="D9" s="307" t="s">
        <v>51</v>
      </c>
      <c r="E9" s="308">
        <f ca="1">ЦА!E53+'СВОД терр'!E54</f>
        <v>20365689.999999899</v>
      </c>
      <c r="F9" s="308">
        <f ca="1">ЦА!F53+'СВОД терр'!F54</f>
        <v>18305857.999999899</v>
      </c>
      <c r="G9" s="308">
        <f ca="1">ЦА!G53+'СВОД терр'!G54</f>
        <v>18305856.448259901</v>
      </c>
      <c r="H9" s="308">
        <f ca="1">ЦА!H53+'СВОД терр'!H54</f>
        <v>1.5517399999080199</v>
      </c>
      <c r="I9" s="308">
        <f t="shared" ref="I9:I14" ca="1" si="0">G9/F9*100</f>
        <v>99.999991523259951</v>
      </c>
      <c r="J9" s="308"/>
      <c r="K9" s="308">
        <f ca="1">ЦА!K53+'СВОД терр'!K54</f>
        <v>7843575.7999999896</v>
      </c>
      <c r="L9" s="308">
        <f ca="1">ЦА!L53+'СВОД терр'!L54</f>
        <v>7843573.7824499998</v>
      </c>
      <c r="M9" s="308">
        <f ca="1">ЦА!M53+'СВОД терр'!M54</f>
        <v>2.0175499999313602</v>
      </c>
      <c r="N9" s="308">
        <f t="shared" ref="N9:N14" ca="1" si="1">L9/K9*100</f>
        <v>99.999974277675889</v>
      </c>
      <c r="O9" s="309"/>
      <c r="P9" s="310">
        <f t="shared" ref="P9:P14" ca="1" si="2">E9-G9</f>
        <v>2059833.5517399982</v>
      </c>
      <c r="Q9" s="311">
        <f>ЦА!E53-ЦА!G53</f>
        <v>2059832</v>
      </c>
      <c r="R9" s="311">
        <f t="shared" ref="R9:R14" ca="1" si="3">P9-Q9</f>
        <v>1.5517399981617928</v>
      </c>
      <c r="S9" s="312"/>
      <c r="T9" s="313"/>
      <c r="U9" s="313"/>
      <c r="V9" s="313"/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313"/>
      <c r="AI9" s="313"/>
      <c r="AJ9" s="313"/>
      <c r="AK9" s="313"/>
      <c r="AL9" s="313"/>
      <c r="AM9" s="313"/>
      <c r="AN9" s="313"/>
      <c r="AO9" s="313"/>
      <c r="AP9" s="313"/>
    </row>
    <row r="10" spans="1:42" ht="90" hidden="1">
      <c r="A10" s="41"/>
      <c r="B10" s="42">
        <v>100</v>
      </c>
      <c r="C10" s="41"/>
      <c r="D10" s="43" t="s">
        <v>52</v>
      </c>
      <c r="E10" s="44">
        <f ca="1">ЦА!E54+'СВОД терр'!E55</f>
        <v>19211866.999999899</v>
      </c>
      <c r="F10" s="44">
        <f ca="1">ЦА!F54+'СВОД терр'!F55</f>
        <v>18305857.999999899</v>
      </c>
      <c r="G10" s="44">
        <f ca="1">ЦА!G54+'СВОД терр'!G55</f>
        <v>18305856.448259901</v>
      </c>
      <c r="H10" s="44">
        <f ca="1">ЦА!H54+'СВОД терр'!H55</f>
        <v>1.5517399944365</v>
      </c>
      <c r="I10" s="11">
        <f t="shared" ca="1" si="0"/>
        <v>99.999991523259951</v>
      </c>
      <c r="J10" s="44"/>
      <c r="K10" s="44">
        <f ca="1">ЦА!K54+'СВОД терр'!K55</f>
        <v>7843575.7989999903</v>
      </c>
      <c r="L10" s="44">
        <f ca="1">ЦА!L54+'СВОД терр'!L55</f>
        <v>7843573.7814499997</v>
      </c>
      <c r="M10" s="44">
        <f ca="1">ЦА!M54+'СВОД терр'!M55</f>
        <v>2.01754999812692</v>
      </c>
      <c r="N10" s="11">
        <f t="shared" ca="1" si="1"/>
        <v>99.999974277675861</v>
      </c>
      <c r="O10" s="314"/>
      <c r="P10" s="315">
        <f t="shared" ca="1" si="2"/>
        <v>906010.55173999816</v>
      </c>
      <c r="Q10" s="316">
        <f>ЦА!E54-ЦА!G54</f>
        <v>906009</v>
      </c>
      <c r="R10" s="316">
        <f t="shared" ca="1" si="3"/>
        <v>1.5517399981617928</v>
      </c>
      <c r="S10" s="53"/>
    </row>
    <row r="11" spans="1:42" ht="390" hidden="1" customHeight="1">
      <c r="A11" s="861"/>
      <c r="B11" s="317"/>
      <c r="C11" s="317">
        <v>159</v>
      </c>
      <c r="D11" s="317" t="s">
        <v>21</v>
      </c>
      <c r="E11" s="318">
        <f ca="1">ЦА!E55+'СВОД терр'!E56</f>
        <v>872659</v>
      </c>
      <c r="F11" s="318">
        <f ca="1">ЦА!F55+'СВОД терр'!F56</f>
        <v>0</v>
      </c>
      <c r="G11" s="318">
        <f ca="1">ЦА!G55+'СВОД терр'!G56</f>
        <v>0</v>
      </c>
      <c r="H11" s="318">
        <f ca="1">ЦА!H55+'СВОД терр'!H56</f>
        <v>0</v>
      </c>
      <c r="I11" s="318" t="e">
        <f t="shared" ca="1" si="0"/>
        <v>#DIV/0!</v>
      </c>
      <c r="J11" s="318"/>
      <c r="K11" s="318">
        <f ca="1">ЦА!K55+'СВОД терр'!K56</f>
        <v>0</v>
      </c>
      <c r="L11" s="318">
        <f ca="1">ЦА!L55+'СВОД терр'!L56</f>
        <v>0</v>
      </c>
      <c r="M11" s="318">
        <f ca="1">ЦА!M55+'СВОД терр'!M56</f>
        <v>0</v>
      </c>
      <c r="N11" s="318" t="e">
        <f t="shared" ca="1" si="1"/>
        <v>#DIV/0!</v>
      </c>
      <c r="O11" s="319"/>
      <c r="P11" s="320">
        <f t="shared" ca="1" si="2"/>
        <v>872659</v>
      </c>
      <c r="Q11" s="58">
        <f>ЦА!E55-ЦА!G55</f>
        <v>872659</v>
      </c>
      <c r="R11" s="58">
        <f t="shared" ca="1" si="3"/>
        <v>0</v>
      </c>
      <c r="S11" s="321" t="s">
        <v>185</v>
      </c>
    </row>
    <row r="12" spans="1:42" ht="15" hidden="1">
      <c r="A12" s="862"/>
      <c r="B12" s="4"/>
      <c r="C12" s="4">
        <v>161</v>
      </c>
      <c r="D12" s="4" t="s">
        <v>50</v>
      </c>
      <c r="E12" s="11">
        <f ca="1">ЦА!E56+'СВОД терр'!E57</f>
        <v>33712</v>
      </c>
      <c r="F12" s="11">
        <f ca="1">ЦА!F56+'СВОД терр'!F57</f>
        <v>362</v>
      </c>
      <c r="G12" s="11">
        <f ca="1">ЦА!G56+'СВОД терр'!G57</f>
        <v>362</v>
      </c>
      <c r="H12" s="11">
        <f ca="1">ЦА!H56+'СВОД терр'!H57</f>
        <v>0</v>
      </c>
      <c r="I12" s="11">
        <f t="shared" ca="1" si="0"/>
        <v>100</v>
      </c>
      <c r="J12" s="11"/>
      <c r="K12" s="11">
        <f ca="1">ЦА!K56+'СВОД терр'!K57</f>
        <v>362</v>
      </c>
      <c r="L12" s="11">
        <f ca="1">ЦА!L56+'СВОД терр'!L57</f>
        <v>362</v>
      </c>
      <c r="M12" s="11">
        <f ca="1">ЦА!M56+'СВОД терр'!M57</f>
        <v>0</v>
      </c>
      <c r="N12" s="11">
        <f t="shared" ca="1" si="1"/>
        <v>100</v>
      </c>
      <c r="O12" s="291"/>
      <c r="P12" s="315">
        <f t="shared" ca="1" si="2"/>
        <v>33350</v>
      </c>
      <c r="Q12" s="316">
        <f>ЦА!E56-ЦА!G56</f>
        <v>33350</v>
      </c>
      <c r="R12" s="316">
        <f t="shared" ca="1" si="3"/>
        <v>0</v>
      </c>
      <c r="S12" s="53"/>
    </row>
    <row r="13" spans="1:42" ht="73.5" hidden="1" customHeight="1">
      <c r="A13" s="41"/>
      <c r="B13" s="42">
        <v>112</v>
      </c>
      <c r="C13" s="41"/>
      <c r="D13" s="43" t="s">
        <v>53</v>
      </c>
      <c r="E13" s="44">
        <f ca="1">ЦА!E57+'СВОД терр'!E58</f>
        <v>1153823</v>
      </c>
      <c r="F13" s="44">
        <f ca="1">ЦА!F57+'СВОД терр'!F58</f>
        <v>0</v>
      </c>
      <c r="G13" s="44">
        <f ca="1">ЦА!G57+'СВОД терр'!G58</f>
        <v>0</v>
      </c>
      <c r="H13" s="44">
        <f ca="1">ЦА!H57+'СВОД терр'!H58</f>
        <v>0</v>
      </c>
      <c r="I13" s="11" t="e">
        <f t="shared" ca="1" si="0"/>
        <v>#DIV/0!</v>
      </c>
      <c r="J13" s="44"/>
      <c r="K13" s="44">
        <f ca="1">ЦА!K57+'СВОД терр'!K58</f>
        <v>0</v>
      </c>
      <c r="L13" s="44">
        <f ca="1">ЦА!L57+'СВОД терр'!L58</f>
        <v>0</v>
      </c>
      <c r="M13" s="44">
        <f ca="1">ЦА!P59+'СВОД терр'!M58</f>
        <v>0</v>
      </c>
      <c r="N13" s="11" t="e">
        <f t="shared" ca="1" si="1"/>
        <v>#DIV/0!</v>
      </c>
      <c r="O13" s="314"/>
      <c r="P13" s="322">
        <f t="shared" ca="1" si="2"/>
        <v>1153823</v>
      </c>
      <c r="Q13" s="323">
        <f>ЦА!E57-ЦА!G57</f>
        <v>1153823</v>
      </c>
      <c r="R13" s="323">
        <f t="shared" ca="1" si="3"/>
        <v>0</v>
      </c>
      <c r="S13" s="324"/>
    </row>
    <row r="14" spans="1:42" ht="234.75" hidden="1" customHeight="1">
      <c r="A14" s="4"/>
      <c r="B14" s="4"/>
      <c r="C14" s="4">
        <v>418</v>
      </c>
      <c r="D14" s="24" t="s">
        <v>54</v>
      </c>
      <c r="E14" s="11">
        <f ca="1">ЦА!E58+'СВОД терр'!E59</f>
        <v>1045068.7999999999</v>
      </c>
      <c r="F14" s="11">
        <f ca="1">ЦА!F58+'СВОД терр'!F59</f>
        <v>59133.2</v>
      </c>
      <c r="G14" s="11">
        <f ca="1">ЦА!G58+'СВОД терр'!G59</f>
        <v>55421.279999999897</v>
      </c>
      <c r="H14" s="11">
        <f ca="1">ЦА!H58+'СВОД терр'!H59</f>
        <v>3711.9200000000101</v>
      </c>
      <c r="I14" s="11">
        <f t="shared" ca="1" si="0"/>
        <v>93.722781787557409</v>
      </c>
      <c r="J14" s="11"/>
      <c r="K14" s="11">
        <f ca="1">ЦА!K58+'СВОД терр'!K59</f>
        <v>30857.3999999999</v>
      </c>
      <c r="L14" s="11">
        <f ca="1">ЦА!L58+'СВОД терр'!L59</f>
        <v>30856.240000000002</v>
      </c>
      <c r="M14" s="11">
        <f ca="1">ЦА!M58+'СВОД терр'!M59</f>
        <v>1.1599999999962101</v>
      </c>
      <c r="N14" s="11">
        <f t="shared" ca="1" si="1"/>
        <v>99.996240772067964</v>
      </c>
      <c r="O14" s="291"/>
      <c r="P14" s="322">
        <f t="shared" ca="1" si="2"/>
        <v>989647.52</v>
      </c>
      <c r="Q14" s="323">
        <f>ЦА!E58-ЦА!G58</f>
        <v>967869</v>
      </c>
      <c r="R14" s="323">
        <f t="shared" ca="1" si="3"/>
        <v>21778.520000000019</v>
      </c>
      <c r="S14" s="324" t="s">
        <v>186</v>
      </c>
    </row>
    <row r="15" spans="1:42" ht="15" hidden="1">
      <c r="A15" s="48"/>
      <c r="B15" s="48"/>
      <c r="C15" s="49"/>
      <c r="D15" s="50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325"/>
      <c r="P15" s="326"/>
      <c r="Q15" s="327"/>
      <c r="R15" s="327"/>
      <c r="S15" s="327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</row>
    <row r="16" spans="1:42" ht="12.75">
      <c r="D16" s="893" t="s">
        <v>187</v>
      </c>
      <c r="E16" s="865"/>
      <c r="F16" s="865"/>
      <c r="G16" s="865"/>
      <c r="P16" s="2"/>
    </row>
    <row r="17" spans="1:42" ht="12.75">
      <c r="D17" s="898" t="str">
        <f>'по ТД (копия)'!A5</f>
        <v>ВСЕГО по КСЭК МЗ РК</v>
      </c>
      <c r="E17" s="899"/>
      <c r="F17" s="899"/>
      <c r="G17" s="900"/>
      <c r="H17" s="53"/>
      <c r="I17" s="53"/>
      <c r="J17" s="53"/>
      <c r="K17" s="53"/>
      <c r="L17" s="53"/>
      <c r="M17" s="53"/>
      <c r="N17" s="53"/>
      <c r="O17" s="53"/>
      <c r="P17" s="894" t="s">
        <v>188</v>
      </c>
      <c r="Q17" s="895" t="s">
        <v>189</v>
      </c>
      <c r="R17" s="896" t="s">
        <v>190</v>
      </c>
      <c r="S17" s="897" t="s">
        <v>191</v>
      </c>
    </row>
    <row r="18" spans="1:42" ht="12.75">
      <c r="D18" s="901"/>
      <c r="E18" s="865"/>
      <c r="F18" s="865"/>
      <c r="G18" s="876"/>
      <c r="H18" s="53"/>
      <c r="I18" s="53"/>
      <c r="J18" s="53"/>
      <c r="K18" s="53"/>
      <c r="L18" s="53"/>
      <c r="M18" s="53"/>
      <c r="N18" s="53"/>
      <c r="O18" s="53"/>
      <c r="P18" s="862"/>
      <c r="Q18" s="862"/>
      <c r="R18" s="862"/>
      <c r="S18" s="862"/>
    </row>
    <row r="19" spans="1:42" ht="12.75">
      <c r="D19" s="902"/>
      <c r="E19" s="873"/>
      <c r="F19" s="873"/>
      <c r="G19" s="877"/>
      <c r="H19" s="53"/>
      <c r="I19" s="53"/>
      <c r="J19" s="53"/>
      <c r="K19" s="53"/>
      <c r="L19" s="53"/>
      <c r="M19" s="53"/>
      <c r="N19" s="53"/>
      <c r="O19" s="53"/>
      <c r="P19" s="328">
        <f ca="1">'по ТД (копия)'!W5</f>
        <v>2.0175499999313602</v>
      </c>
      <c r="Q19" s="328">
        <f ca="1">SUM(Q20:Q41)</f>
        <v>1.5517399999080224</v>
      </c>
      <c r="R19" s="53"/>
      <c r="S19" s="328">
        <f>SUM(S20:S41)</f>
        <v>0</v>
      </c>
    </row>
    <row r="20" spans="1:42" ht="12.75">
      <c r="A20" s="47"/>
      <c r="B20" s="159"/>
      <c r="C20" s="159"/>
      <c r="D20" s="903" t="str">
        <f>'по ТД (копия)'!A6</f>
        <v>ЦА КСЭК МЗ РК</v>
      </c>
      <c r="E20" s="867"/>
      <c r="F20" s="867"/>
      <c r="G20" s="868"/>
      <c r="H20" s="329"/>
      <c r="I20" s="329"/>
      <c r="J20" s="329"/>
      <c r="K20" s="329"/>
      <c r="L20" s="329"/>
      <c r="M20" s="329"/>
      <c r="N20" s="329"/>
      <c r="O20" s="329"/>
      <c r="P20" s="330">
        <f>'по ТД (копия)'!W6</f>
        <v>0</v>
      </c>
      <c r="Q20" s="330">
        <f>'СВОД с ЦА (анализ)'!Q55</f>
        <v>0</v>
      </c>
      <c r="R20" s="331"/>
      <c r="S20" s="332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</row>
    <row r="21" spans="1:42" ht="12.75">
      <c r="A21" s="47"/>
      <c r="B21" s="159"/>
      <c r="C21" s="159"/>
      <c r="D21" s="904" t="str">
        <f>'по ТД (копия)'!A7</f>
        <v>ДСЭК Акмолинской области КСЭК МЗ РК</v>
      </c>
      <c r="E21" s="867"/>
      <c r="F21" s="867"/>
      <c r="G21" s="868"/>
      <c r="H21" s="159"/>
      <c r="I21" s="159"/>
      <c r="J21" s="159"/>
      <c r="K21" s="159"/>
      <c r="L21" s="159"/>
      <c r="M21" s="159"/>
      <c r="N21" s="159"/>
      <c r="O21" s="159"/>
      <c r="P21" s="333">
        <f ca="1">'по ТД (копия)'!W7</f>
        <v>1.8999999971129E-2</v>
      </c>
      <c r="Q21" s="334">
        <f ca="1">'СВОД с ЦА (анализ)'!Y55</f>
        <v>0.122999999905005</v>
      </c>
      <c r="R21" s="158"/>
      <c r="S21" s="335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</row>
    <row r="22" spans="1:42" ht="12.75">
      <c r="A22" s="47"/>
      <c r="B22" s="159"/>
      <c r="C22" s="159"/>
      <c r="D22" s="904" t="str">
        <f>'по ТД (копия)'!A8</f>
        <v>ДСЭК Актюбинской области КСЭК МЗ РК</v>
      </c>
      <c r="E22" s="867"/>
      <c r="F22" s="867"/>
      <c r="G22" s="868"/>
      <c r="H22" s="159"/>
      <c r="I22" s="159"/>
      <c r="J22" s="159"/>
      <c r="K22" s="159"/>
      <c r="L22" s="159"/>
      <c r="M22" s="159"/>
      <c r="N22" s="159"/>
      <c r="O22" s="159"/>
      <c r="P22" s="336">
        <f ca="1">'по ТД (копия)'!W8</f>
        <v>0</v>
      </c>
      <c r="Q22" s="334">
        <f ca="1">'СВОД с ЦА (анализ)'!Z55</f>
        <v>0.96299999998882402</v>
      </c>
      <c r="R22" s="337"/>
      <c r="S22" s="335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</row>
    <row r="23" spans="1:42" ht="12.75">
      <c r="A23" s="47"/>
      <c r="B23" s="159"/>
      <c r="C23" s="159"/>
      <c r="D23" s="904" t="str">
        <f>'по ТД (копия)'!A9</f>
        <v>ДСЭК Алматинской области КСЭК МЗ РК</v>
      </c>
      <c r="E23" s="867"/>
      <c r="F23" s="867"/>
      <c r="G23" s="868"/>
      <c r="H23" s="159"/>
      <c r="I23" s="159"/>
      <c r="J23" s="159"/>
      <c r="K23" s="159"/>
      <c r="L23" s="159"/>
      <c r="M23" s="159"/>
      <c r="N23" s="159"/>
      <c r="O23" s="159"/>
      <c r="P23" s="333">
        <f ca="1">'по ТД (копия)'!W9</f>
        <v>3.3430000010412103E-2</v>
      </c>
      <c r="Q23" s="334">
        <f ca="1">'СВОД с ЦА (анализ)'!AA55</f>
        <v>2.6860000099986701E-2</v>
      </c>
      <c r="R23" s="338"/>
      <c r="S23" s="335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</row>
    <row r="24" spans="1:42" ht="12.75">
      <c r="A24" s="47"/>
      <c r="B24" s="159"/>
      <c r="C24" s="159"/>
      <c r="D24" s="904" t="str">
        <f>'по ТД (копия)'!A10</f>
        <v>ДСЭК Атырауской области КСЭК МЗ РК</v>
      </c>
      <c r="E24" s="867"/>
      <c r="F24" s="867"/>
      <c r="G24" s="868"/>
      <c r="H24" s="159"/>
      <c r="I24" s="159"/>
      <c r="J24" s="159"/>
      <c r="K24" s="159"/>
      <c r="L24" s="159"/>
      <c r="M24" s="159"/>
      <c r="N24" s="159"/>
      <c r="O24" s="159"/>
      <c r="P24" s="336">
        <f ca="1">'по ТД (копия)'!W10</f>
        <v>0</v>
      </c>
      <c r="Q24" s="333">
        <f ca="1">'СВОД с ЦА (анализ)'!AB55</f>
        <v>6.0000000055879299E-2</v>
      </c>
      <c r="R24" s="337"/>
      <c r="S24" s="335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</row>
    <row r="25" spans="1:42" ht="12.75">
      <c r="A25" s="47"/>
      <c r="B25" s="159"/>
      <c r="C25" s="159"/>
      <c r="D25" s="904" t="str">
        <f>'по ТД (копия)'!A11</f>
        <v>ДСЭК ВКО КСЭК МЗ РК</v>
      </c>
      <c r="E25" s="867"/>
      <c r="F25" s="867"/>
      <c r="G25" s="868"/>
      <c r="H25" s="159"/>
      <c r="I25" s="159"/>
      <c r="J25" s="159"/>
      <c r="K25" s="159"/>
      <c r="L25" s="159"/>
      <c r="M25" s="159"/>
      <c r="N25" s="159"/>
      <c r="O25" s="159"/>
      <c r="P25" s="333">
        <f ca="1">'по ТД (копия)'!W11</f>
        <v>0</v>
      </c>
      <c r="Q25" s="333">
        <f ca="1">'СВОД с ЦА (анализ)'!AC55</f>
        <v>0</v>
      </c>
      <c r="R25" s="158"/>
      <c r="S25" s="339"/>
      <c r="T25" s="340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</row>
    <row r="26" spans="1:42" ht="12.75">
      <c r="A26" s="47"/>
      <c r="B26" s="159"/>
      <c r="C26" s="159"/>
      <c r="D26" s="904" t="str">
        <f>'по ТД (копия)'!A12</f>
        <v>ДСЭК Жамбылской области КСЭК МЗ РК</v>
      </c>
      <c r="E26" s="867"/>
      <c r="F26" s="867"/>
      <c r="G26" s="868"/>
      <c r="H26" s="159"/>
      <c r="I26" s="159"/>
      <c r="J26" s="159"/>
      <c r="K26" s="159"/>
      <c r="L26" s="159"/>
      <c r="M26" s="159"/>
      <c r="N26" s="159"/>
      <c r="O26" s="159"/>
      <c r="P26" s="333">
        <f ca="1">'по ТД (копия)'!W12</f>
        <v>0.14999999996507499</v>
      </c>
      <c r="Q26" s="333">
        <f ca="1">'СВОД с ЦА (анализ)'!AD55</f>
        <v>8.5999999893829199E-2</v>
      </c>
      <c r="R26" s="341"/>
      <c r="S26" s="339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</row>
    <row r="27" spans="1:42" ht="12.75">
      <c r="A27" s="47"/>
      <c r="B27" s="159"/>
      <c r="C27" s="159"/>
      <c r="D27" s="904" t="str">
        <f>'по ТД (копия)'!A13</f>
        <v>ДСЭК ЗКО КСЭК МЗ РК</v>
      </c>
      <c r="E27" s="867"/>
      <c r="F27" s="867"/>
      <c r="G27" s="868"/>
      <c r="H27" s="159"/>
      <c r="I27" s="159"/>
      <c r="J27" s="159"/>
      <c r="K27" s="159"/>
      <c r="L27" s="159"/>
      <c r="M27" s="159"/>
      <c r="N27" s="159"/>
      <c r="O27" s="159"/>
      <c r="P27" s="333">
        <f ca="1">'по ТД (копия)'!W13</f>
        <v>0</v>
      </c>
      <c r="Q27" s="333">
        <f ca="1">'СВОД с ЦА (анализ)'!AE55</f>
        <v>6.5889999968930996E-2</v>
      </c>
      <c r="R27" s="341"/>
      <c r="S27" s="335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</row>
    <row r="28" spans="1:42" ht="12.75">
      <c r="A28" s="47"/>
      <c r="B28" s="159"/>
      <c r="C28" s="159"/>
      <c r="D28" s="904" t="str">
        <f>'по ТД (копия)'!A14</f>
        <v>ДСЭК Карагандинской области КСЭК МЗ РК</v>
      </c>
      <c r="E28" s="867"/>
      <c r="F28" s="867"/>
      <c r="G28" s="868"/>
      <c r="H28" s="159"/>
      <c r="I28" s="159"/>
      <c r="J28" s="159"/>
      <c r="K28" s="159"/>
      <c r="L28" s="159"/>
      <c r="M28" s="159"/>
      <c r="N28" s="159"/>
      <c r="O28" s="159"/>
      <c r="P28" s="336">
        <f ca="1">'по ТД (копия)'!W14</f>
        <v>0</v>
      </c>
      <c r="Q28" s="333">
        <f ca="1">'СВОД с ЦА (анализ)'!AF55</f>
        <v>2.0000000018626399E-2</v>
      </c>
      <c r="R28" s="158"/>
      <c r="S28" s="339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</row>
    <row r="29" spans="1:42" ht="12.75">
      <c r="A29" s="47"/>
      <c r="B29" s="159"/>
      <c r="C29" s="159"/>
      <c r="D29" s="904" t="str">
        <f>'по ТД (копия)'!A15</f>
        <v>ДСЭК Костанайской области КСЭК МЗ РК</v>
      </c>
      <c r="E29" s="867"/>
      <c r="F29" s="867"/>
      <c r="G29" s="868"/>
      <c r="H29" s="159"/>
      <c r="I29" s="159"/>
      <c r="J29" s="159"/>
      <c r="K29" s="159"/>
      <c r="L29" s="159"/>
      <c r="M29" s="159"/>
      <c r="N29" s="159"/>
      <c r="O29" s="159"/>
      <c r="P29" s="333">
        <f ca="1">'по ТД (копия)'!W15</f>
        <v>0</v>
      </c>
      <c r="Q29" s="333">
        <f ca="1">'СВОД с ЦА (анализ)'!AG55</f>
        <v>1.23700000112876E-2</v>
      </c>
      <c r="R29" s="158"/>
      <c r="S29" s="339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</row>
    <row r="30" spans="1:42" ht="12.75">
      <c r="A30" s="47"/>
      <c r="B30" s="159"/>
      <c r="C30" s="159"/>
      <c r="D30" s="904" t="str">
        <f>'по ТД (копия)'!A16</f>
        <v>ДСЭК Кызылординской области КСЭК МЗ РК</v>
      </c>
      <c r="E30" s="867"/>
      <c r="F30" s="867"/>
      <c r="G30" s="868"/>
      <c r="H30" s="159"/>
      <c r="I30" s="159"/>
      <c r="J30" s="159"/>
      <c r="K30" s="159"/>
      <c r="L30" s="159"/>
      <c r="M30" s="159"/>
      <c r="N30" s="159"/>
      <c r="O30" s="159"/>
      <c r="P30" s="333">
        <f ca="1">'по ТД (копия)'!W16</f>
        <v>0</v>
      </c>
      <c r="Q30" s="342">
        <f ca="1">'СВОД с ЦА (анализ)'!AH55</f>
        <v>3.7999999942258E-2</v>
      </c>
      <c r="R30" s="343"/>
      <c r="S30" s="335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</row>
    <row r="31" spans="1:42" ht="12.75">
      <c r="A31" s="47"/>
      <c r="B31" s="159"/>
      <c r="C31" s="159"/>
      <c r="D31" s="904" t="str">
        <f>'по ТД (копия)'!A17</f>
        <v>ДСЭК Мангистауской области КСЭК МЗ РК</v>
      </c>
      <c r="E31" s="867"/>
      <c r="F31" s="867"/>
      <c r="G31" s="868"/>
      <c r="H31" s="159"/>
      <c r="I31" s="159"/>
      <c r="J31" s="159"/>
      <c r="K31" s="159"/>
      <c r="L31" s="159"/>
      <c r="M31" s="159"/>
      <c r="N31" s="159"/>
      <c r="O31" s="159"/>
      <c r="P31" s="336">
        <f ca="1">'по ТД (копия)'!W17</f>
        <v>6.5119999984744895E-2</v>
      </c>
      <c r="Q31" s="333">
        <f ca="1">'СВОД с ЦА (анализ)'!AI55</f>
        <v>1.6620000009424901E-2</v>
      </c>
      <c r="R31" s="337"/>
      <c r="S31" s="339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</row>
    <row r="32" spans="1:42" ht="12.75">
      <c r="A32" s="47"/>
      <c r="B32" s="159"/>
      <c r="C32" s="159"/>
      <c r="D32" s="904" t="str">
        <f>'по ТД (копия)'!A18</f>
        <v>ДСЭК Павлодарской области КСЭК МЗ РК</v>
      </c>
      <c r="E32" s="867"/>
      <c r="F32" s="867"/>
      <c r="G32" s="868"/>
      <c r="H32" s="159"/>
      <c r="I32" s="159"/>
      <c r="J32" s="159"/>
      <c r="K32" s="159"/>
      <c r="L32" s="159"/>
      <c r="M32" s="159"/>
      <c r="N32" s="159"/>
      <c r="O32" s="159"/>
      <c r="P32" s="333">
        <f ca="1">'по ТД (копия)'!W18</f>
        <v>0</v>
      </c>
      <c r="Q32" s="333">
        <f ca="1">'СВОД с ЦА (анализ)'!AJ55</f>
        <v>0</v>
      </c>
      <c r="R32" s="158"/>
      <c r="S32" s="339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</row>
    <row r="33" spans="1:42" ht="12.75">
      <c r="A33" s="47"/>
      <c r="B33" s="159"/>
      <c r="C33" s="159"/>
      <c r="D33" s="904" t="str">
        <f>'по ТД (копия)'!A19</f>
        <v>ДСЭК СКО КСЭК МЗ РК</v>
      </c>
      <c r="E33" s="867"/>
      <c r="F33" s="867"/>
      <c r="G33" s="868"/>
      <c r="H33" s="159"/>
      <c r="I33" s="159"/>
      <c r="J33" s="159"/>
      <c r="K33" s="159"/>
      <c r="L33" s="159"/>
      <c r="M33" s="159"/>
      <c r="N33" s="159"/>
      <c r="O33" s="159"/>
      <c r="P33" s="333">
        <f ca="1">'по ТД (копия)'!W19</f>
        <v>0</v>
      </c>
      <c r="Q33" s="333">
        <f ca="1">'СВОД с ЦА (анализ)'!AK55</f>
        <v>5.0000000046566101E-2</v>
      </c>
      <c r="R33" s="158"/>
      <c r="S33" s="335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</row>
    <row r="34" spans="1:42" ht="12.75">
      <c r="A34" s="47"/>
      <c r="B34" s="159"/>
      <c r="C34" s="159"/>
      <c r="D34" s="904" t="str">
        <f>'по ТД (копия)'!A20</f>
        <v>ДСЭК Туркестанской области КСЭК МЗ РК</v>
      </c>
      <c r="E34" s="867"/>
      <c r="F34" s="867"/>
      <c r="G34" s="868"/>
      <c r="H34" s="159"/>
      <c r="I34" s="159"/>
      <c r="J34" s="159"/>
      <c r="K34" s="159"/>
      <c r="L34" s="159"/>
      <c r="M34" s="159"/>
      <c r="N34" s="159"/>
      <c r="O34" s="159"/>
      <c r="P34" s="333">
        <f ca="1">'по ТД (копия)'!W20</f>
        <v>0.82000000006519203</v>
      </c>
      <c r="Q34" s="333">
        <f ca="1">'СВОД с ЦА (анализ)'!AL55</f>
        <v>4.30000000633299E-2</v>
      </c>
      <c r="R34" s="158" t="s">
        <v>192</v>
      </c>
      <c r="S34" s="335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</row>
    <row r="35" spans="1:42" ht="12.75">
      <c r="A35" s="47"/>
      <c r="B35" s="159"/>
      <c r="C35" s="159"/>
      <c r="D35" s="905" t="str">
        <f>'по ТД (копия)'!A21</f>
        <v>ДСЭК города Шымкент КСЭК МЗ РК</v>
      </c>
      <c r="E35" s="867"/>
      <c r="F35" s="867"/>
      <c r="G35" s="868"/>
      <c r="H35" s="159"/>
      <c r="I35" s="159"/>
      <c r="J35" s="159"/>
      <c r="K35" s="159"/>
      <c r="L35" s="159"/>
      <c r="M35" s="159"/>
      <c r="N35" s="159"/>
      <c r="O35" s="159"/>
      <c r="P35" s="333">
        <f ca="1">'по ТД (копия)'!W21</f>
        <v>0</v>
      </c>
      <c r="Q35" s="342">
        <f ca="1">'СВОД с ЦА (анализ)'!AM55</f>
        <v>4.6999999904073698E-2</v>
      </c>
      <c r="R35" s="344"/>
      <c r="S35" s="339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</row>
    <row r="36" spans="1:42" ht="12.75">
      <c r="A36" s="47"/>
      <c r="B36" s="159"/>
      <c r="C36" s="159"/>
      <c r="D36" s="905" t="str">
        <f>'по ТД (копия)'!A22</f>
        <v>ДСЭК города Алматы КСЭК МЗ РК</v>
      </c>
      <c r="E36" s="867"/>
      <c r="F36" s="867"/>
      <c r="G36" s="868"/>
      <c r="H36" s="159"/>
      <c r="I36" s="159"/>
      <c r="J36" s="159"/>
      <c r="K36" s="159"/>
      <c r="L36" s="159"/>
      <c r="M36" s="159"/>
      <c r="N36" s="159"/>
      <c r="O36" s="159"/>
      <c r="P36" s="333">
        <f ca="1">'по ТД (копия)'!W23</f>
        <v>0.84799999999813702</v>
      </c>
      <c r="Q36" s="342">
        <f ca="1">'СВОД с ЦА (анализ)'!AN55</f>
        <v>0</v>
      </c>
      <c r="R36" s="343" t="s">
        <v>193</v>
      </c>
      <c r="S36" s="345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</row>
    <row r="37" spans="1:42" ht="12.75">
      <c r="A37" s="47"/>
      <c r="B37" s="159"/>
      <c r="C37" s="159"/>
      <c r="D37" s="904" t="str">
        <f>'по ТД (копия)'!A23</f>
        <v>ДСЭК города Нур-Султан КСЭК МЗ РК</v>
      </c>
      <c r="E37" s="867"/>
      <c r="F37" s="867"/>
      <c r="G37" s="868"/>
      <c r="H37" s="159"/>
      <c r="I37" s="159"/>
      <c r="J37" s="159"/>
      <c r="K37" s="159"/>
      <c r="L37" s="159"/>
      <c r="M37" s="159"/>
      <c r="N37" s="159"/>
      <c r="O37" s="159"/>
      <c r="P37" s="346" t="e">
        <f>#REF!</f>
        <v>#REF!</v>
      </c>
      <c r="Q37" s="333">
        <f ca="1">'СВОД с ЦА (анализ)'!AO55</f>
        <v>0</v>
      </c>
      <c r="R37" s="158" t="s">
        <v>194</v>
      </c>
      <c r="S37" s="335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</row>
    <row r="38" spans="1:42" ht="12.75">
      <c r="A38" s="47"/>
      <c r="B38" s="159"/>
      <c r="C38" s="159"/>
      <c r="D38" s="904" t="str">
        <f>'по ТД (копия)'!A24</f>
        <v>ДСЭК на транспорте КСЭК МЗ РК</v>
      </c>
      <c r="E38" s="867"/>
      <c r="F38" s="867"/>
      <c r="G38" s="868"/>
      <c r="H38" s="159"/>
      <c r="I38" s="159"/>
      <c r="J38" s="159"/>
      <c r="K38" s="159"/>
      <c r="L38" s="159"/>
      <c r="M38" s="159"/>
      <c r="N38" s="159"/>
      <c r="O38" s="159"/>
      <c r="P38" s="333">
        <f ca="1">'по ТД (копия)'!W24</f>
        <v>0</v>
      </c>
      <c r="Q38" s="347">
        <f ca="1">'СВОД с ЦА (анализ)'!AP55</f>
        <v>0</v>
      </c>
      <c r="R38" s="348"/>
      <c r="S38" s="339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</row>
    <row r="39" spans="1:42" ht="12.75">
      <c r="A39" s="47"/>
      <c r="B39" s="47"/>
      <c r="C39" s="47"/>
      <c r="D39" s="904" t="str">
        <f>'по ТД (копия)'!A25</f>
        <v>Улытау</v>
      </c>
      <c r="E39" s="867"/>
      <c r="F39" s="867"/>
      <c r="G39" s="868"/>
      <c r="H39" s="159"/>
      <c r="I39" s="159"/>
      <c r="J39" s="159"/>
      <c r="K39" s="159"/>
      <c r="L39" s="159"/>
      <c r="M39" s="159"/>
      <c r="N39" s="159"/>
      <c r="O39" s="159"/>
      <c r="P39" s="333">
        <f ca="1">'по ТД (копия)'!W25</f>
        <v>0</v>
      </c>
      <c r="Q39" s="349">
        <f ca="1">'СВОД с ЦА (анализ)'!AQ55</f>
        <v>0</v>
      </c>
      <c r="R39" s="350" t="s">
        <v>195</v>
      </c>
      <c r="S39" s="339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</row>
    <row r="40" spans="1:42" ht="12.75">
      <c r="A40" s="47"/>
      <c r="B40" s="47"/>
      <c r="C40" s="47"/>
      <c r="D40" s="904" t="str">
        <f>'по ТД (копия)'!A26</f>
        <v>Жетису</v>
      </c>
      <c r="E40" s="867"/>
      <c r="F40" s="867"/>
      <c r="G40" s="868"/>
      <c r="H40" s="159"/>
      <c r="I40" s="159"/>
      <c r="J40" s="159"/>
      <c r="K40" s="159"/>
      <c r="L40" s="159"/>
      <c r="M40" s="159"/>
      <c r="N40" s="159"/>
      <c r="O40" s="159"/>
      <c r="P40" s="333">
        <f ca="1">'по ТД (копия)'!W26</f>
        <v>5.5999999982304802E-2</v>
      </c>
      <c r="Q40" s="349">
        <f ca="1">'СВОД с ЦА (анализ)'!AR55</f>
        <v>0</v>
      </c>
      <c r="R40" s="350"/>
      <c r="S40" s="339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</row>
    <row r="41" spans="1:42" ht="12.75">
      <c r="A41" s="47"/>
      <c r="B41" s="47"/>
      <c r="C41" s="47"/>
      <c r="D41" s="904" t="str">
        <f>'по ТД (копия)'!A27</f>
        <v>Абай</v>
      </c>
      <c r="E41" s="867"/>
      <c r="F41" s="867"/>
      <c r="G41" s="868"/>
      <c r="H41" s="159"/>
      <c r="I41" s="159"/>
      <c r="J41" s="159"/>
      <c r="K41" s="159"/>
      <c r="L41" s="159"/>
      <c r="M41" s="159"/>
      <c r="N41" s="159"/>
      <c r="O41" s="159"/>
      <c r="P41" s="333">
        <f ca="1">'по ТД (копия)'!W27</f>
        <v>0</v>
      </c>
      <c r="Q41" s="349">
        <f ca="1">'СВОД с ЦА (анализ)'!AS55</f>
        <v>0</v>
      </c>
      <c r="R41" s="350"/>
      <c r="S41" s="351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</row>
    <row r="42" spans="1:42" ht="12.75">
      <c r="D42" s="352"/>
      <c r="P42" s="2"/>
      <c r="Q42" s="13">
        <f ca="1">Q24+Q36</f>
        <v>6.0000000055879299E-2</v>
      </c>
    </row>
    <row r="43" spans="1:42" ht="25.5">
      <c r="D43" s="887"/>
      <c r="E43" s="867"/>
      <c r="F43" s="867"/>
      <c r="G43" s="868"/>
      <c r="P43" s="353" t="s">
        <v>196</v>
      </c>
      <c r="Q43" s="353" t="s">
        <v>197</v>
      </c>
      <c r="R43" s="353" t="s">
        <v>198</v>
      </c>
      <c r="S43" s="353" t="s">
        <v>199</v>
      </c>
      <c r="T43" s="354" t="s">
        <v>200</v>
      </c>
    </row>
    <row r="44" spans="1:42" ht="15">
      <c r="D44" s="887"/>
      <c r="E44" s="867"/>
      <c r="F44" s="867"/>
      <c r="G44" s="868"/>
      <c r="P44" s="355">
        <f t="shared" ref="P44:R44" ca="1" si="4">SUM(P45:P65)</f>
        <v>7843213.799999998</v>
      </c>
      <c r="Q44" s="355">
        <f t="shared" ca="1" si="4"/>
        <v>7843211.782449998</v>
      </c>
      <c r="R44" s="355">
        <f t="shared" ca="1" si="4"/>
        <v>2.0175499999313602</v>
      </c>
      <c r="S44" s="356"/>
      <c r="T44" s="53"/>
    </row>
    <row r="45" spans="1:42" ht="14.25">
      <c r="D45" s="887" t="str">
        <f>'по ТД (копия)'!A7</f>
        <v>ДСЭК Акмолинской области КСЭК МЗ РК</v>
      </c>
      <c r="E45" s="867"/>
      <c r="F45" s="867"/>
      <c r="G45" s="868"/>
      <c r="P45" s="357">
        <f ca="1">IFERROR(__xludf.DUMMYFUNCTION("IMPORTRANGE(""https://docs.google.com/spreadsheets/d/1PsUKG3ee57b5sx42omjfZd9CYxuRONokMWtiORmUc0s/edit#gid=1568135178"",""По ТД!N31:P51"")"),677010.5)</f>
        <v>677010.5</v>
      </c>
      <c r="Q45" s="339">
        <f ca="1">IFERROR(__xludf.DUMMYFUNCTION("""COMPUTED_VALUE"""),677010.481)</f>
        <v>677010.48100000003</v>
      </c>
      <c r="R45" s="315">
        <f ca="1">IFERROR(__xludf.DUMMYFUNCTION("""COMPUTED_VALUE"""),0.018999999971129)</f>
        <v>1.8999999971129E-2</v>
      </c>
      <c r="S45" s="358"/>
      <c r="T45" s="359"/>
    </row>
    <row r="46" spans="1:42" ht="12.75">
      <c r="D46" s="887" t="str">
        <f>'по ТД (копия)'!A8</f>
        <v>ДСЭК Актюбинской области КСЭК МЗ РК</v>
      </c>
      <c r="E46" s="867"/>
      <c r="F46" s="867"/>
      <c r="G46" s="868"/>
      <c r="P46" s="315">
        <f ca="1">IFERROR(__xludf.DUMMYFUNCTION("""COMPUTED_VALUE"""),414257.8)</f>
        <v>414257.8</v>
      </c>
      <c r="Q46" s="339">
        <f ca="1">IFERROR(__xludf.DUMMYFUNCTION("""COMPUTED_VALUE"""),414257.8)</f>
        <v>414257.8</v>
      </c>
      <c r="R46" s="315">
        <f ca="1">IFERROR(__xludf.DUMMYFUNCTION("""COMPUTED_VALUE"""),0)</f>
        <v>0</v>
      </c>
      <c r="S46" s="358"/>
      <c r="T46" s="359"/>
    </row>
    <row r="47" spans="1:42" ht="12.75">
      <c r="D47" s="887" t="str">
        <f>'по ТД (копия)'!A9</f>
        <v>ДСЭК Алматинской области КСЭК МЗ РК</v>
      </c>
      <c r="E47" s="867"/>
      <c r="F47" s="867"/>
      <c r="G47" s="868"/>
      <c r="P47" s="315">
        <f ca="1">IFERROR(__xludf.DUMMYFUNCTION("""COMPUTED_VALUE"""),155930.6)</f>
        <v>155930.6</v>
      </c>
      <c r="Q47" s="339">
        <f ca="1">IFERROR(__xludf.DUMMYFUNCTION("""COMPUTED_VALUE"""),155930.56657)</f>
        <v>155930.56657</v>
      </c>
      <c r="R47" s="315">
        <f ca="1">IFERROR(__xludf.DUMMYFUNCTION("""COMPUTED_VALUE"""),0.0334300000104121)</f>
        <v>3.3430000010412103E-2</v>
      </c>
      <c r="S47" s="358"/>
      <c r="T47" s="359"/>
    </row>
    <row r="48" spans="1:42" ht="12.75">
      <c r="D48" s="887" t="str">
        <f>'по ТД (копия)'!A10</f>
        <v>ДСЭК Атырауской области КСЭК МЗ РК</v>
      </c>
      <c r="E48" s="867"/>
      <c r="F48" s="867"/>
      <c r="G48" s="868"/>
      <c r="P48" s="315">
        <f ca="1">IFERROR(__xludf.DUMMYFUNCTION("""COMPUTED_VALUE"""),266805.7)</f>
        <v>266805.7</v>
      </c>
      <c r="Q48" s="339">
        <f ca="1">IFERROR(__xludf.DUMMYFUNCTION("""COMPUTED_VALUE"""),266805.7)</f>
        <v>266805.7</v>
      </c>
      <c r="R48" s="315">
        <f ca="1">IFERROR(__xludf.DUMMYFUNCTION("""COMPUTED_VALUE"""),0)</f>
        <v>0</v>
      </c>
      <c r="S48" s="358"/>
      <c r="T48" s="358"/>
    </row>
    <row r="49" spans="4:20" ht="12.75">
      <c r="D49" s="887" t="str">
        <f>'по ТД (копия)'!A11</f>
        <v>ДСЭК ВКО КСЭК МЗ РК</v>
      </c>
      <c r="E49" s="867"/>
      <c r="F49" s="867"/>
      <c r="G49" s="868"/>
      <c r="P49" s="315">
        <f ca="1">IFERROR(__xludf.DUMMYFUNCTION("""COMPUTED_VALUE"""),624803.1)</f>
        <v>624803.1</v>
      </c>
      <c r="Q49" s="339">
        <f ca="1">IFERROR(__xludf.DUMMYFUNCTION("""COMPUTED_VALUE"""),624803.1)</f>
        <v>624803.1</v>
      </c>
      <c r="R49" s="315">
        <f ca="1">IFERROR(__xludf.DUMMYFUNCTION("""COMPUTED_VALUE"""),0)</f>
        <v>0</v>
      </c>
      <c r="S49" s="358"/>
      <c r="T49" s="158"/>
    </row>
    <row r="50" spans="4:20" ht="12.75">
      <c r="D50" s="887" t="str">
        <f>'по ТД (копия)'!A12</f>
        <v>ДСЭК Жамбылской области КСЭК МЗ РК</v>
      </c>
      <c r="E50" s="867"/>
      <c r="F50" s="867"/>
      <c r="G50" s="868"/>
      <c r="P50" s="315">
        <f ca="1">IFERROR(__xludf.DUMMYFUNCTION("""COMPUTED_VALUE"""),446494.3)</f>
        <v>446494.3</v>
      </c>
      <c r="Q50" s="339">
        <f ca="1">IFERROR(__xludf.DUMMYFUNCTION("""COMPUTED_VALUE"""),446494.15)</f>
        <v>446494.15</v>
      </c>
      <c r="R50" s="315">
        <f ca="1">IFERROR(__xludf.DUMMYFUNCTION("""COMPUTED_VALUE"""),0.149999999965075)</f>
        <v>0.14999999996507499</v>
      </c>
      <c r="S50" s="358"/>
      <c r="T50" s="358"/>
    </row>
    <row r="51" spans="4:20" ht="12.75">
      <c r="D51" s="887" t="str">
        <f>'по ТД (копия)'!A13</f>
        <v>ДСЭК ЗКО КСЭК МЗ РК</v>
      </c>
      <c r="E51" s="867"/>
      <c r="F51" s="867"/>
      <c r="G51" s="868"/>
      <c r="P51" s="315">
        <f ca="1">IFERROR(__xludf.DUMMYFUNCTION("""COMPUTED_VALUE"""),286487)</f>
        <v>286487</v>
      </c>
      <c r="Q51" s="339">
        <f ca="1">IFERROR(__xludf.DUMMYFUNCTION("""COMPUTED_VALUE"""),286487)</f>
        <v>286487</v>
      </c>
      <c r="R51" s="315">
        <f ca="1">IFERROR(__xludf.DUMMYFUNCTION("""COMPUTED_VALUE"""),0)</f>
        <v>0</v>
      </c>
      <c r="S51" s="358"/>
      <c r="T51" s="358"/>
    </row>
    <row r="52" spans="4:20" ht="12.75">
      <c r="D52" s="887" t="str">
        <f>'по ТД (копия)'!A14</f>
        <v>ДСЭК Карагандинской области КСЭК МЗ РК</v>
      </c>
      <c r="E52" s="867"/>
      <c r="F52" s="867"/>
      <c r="G52" s="868"/>
      <c r="P52" s="315">
        <f ca="1">IFERROR(__xludf.DUMMYFUNCTION("""COMPUTED_VALUE"""),354488)</f>
        <v>354488</v>
      </c>
      <c r="Q52" s="339">
        <f ca="1">IFERROR(__xludf.DUMMYFUNCTION("""COMPUTED_VALUE"""),354488)</f>
        <v>354488</v>
      </c>
      <c r="R52" s="315">
        <f ca="1">IFERROR(__xludf.DUMMYFUNCTION("""COMPUTED_VALUE"""),0)</f>
        <v>0</v>
      </c>
      <c r="S52" s="358"/>
      <c r="T52" s="358"/>
    </row>
    <row r="53" spans="4:20" ht="12.75">
      <c r="D53" s="887" t="str">
        <f>'по ТД (копия)'!A15</f>
        <v>ДСЭК Костанайской области КСЭК МЗ РК</v>
      </c>
      <c r="E53" s="867"/>
      <c r="F53" s="867"/>
      <c r="G53" s="868"/>
      <c r="P53" s="315">
        <f ca="1">IFERROR(__xludf.DUMMYFUNCTION("""COMPUTED_VALUE"""),342419.4)</f>
        <v>342419.4</v>
      </c>
      <c r="Q53" s="339">
        <f ca="1">IFERROR(__xludf.DUMMYFUNCTION("""COMPUTED_VALUE"""),342419.4)</f>
        <v>342419.4</v>
      </c>
      <c r="R53" s="315">
        <f ca="1">IFERROR(__xludf.DUMMYFUNCTION("""COMPUTED_VALUE"""),0)</f>
        <v>0</v>
      </c>
      <c r="S53" s="358"/>
      <c r="T53" s="358"/>
    </row>
    <row r="54" spans="4:20" ht="12.75">
      <c r="D54" s="887" t="str">
        <f>'по ТД (копия)'!A16</f>
        <v>ДСЭК Кызылординской области КСЭК МЗ РК</v>
      </c>
      <c r="E54" s="867"/>
      <c r="F54" s="867"/>
      <c r="G54" s="868"/>
      <c r="P54" s="315">
        <f ca="1">IFERROR(__xludf.DUMMYFUNCTION("""COMPUTED_VALUE"""),432080.6)</f>
        <v>432080.6</v>
      </c>
      <c r="Q54" s="339">
        <f ca="1">IFERROR(__xludf.DUMMYFUNCTION("""COMPUTED_VALUE"""),432080.6)</f>
        <v>432080.6</v>
      </c>
      <c r="R54" s="360">
        <f ca="1">IFERROR(__xludf.DUMMYFUNCTION("""COMPUTED_VALUE"""),0)</f>
        <v>0</v>
      </c>
      <c r="S54" s="358"/>
      <c r="T54" s="361"/>
    </row>
    <row r="55" spans="4:20" ht="12.75">
      <c r="D55" s="887" t="str">
        <f>'по ТД (копия)'!A17</f>
        <v>ДСЭК Мангистауской области КСЭК МЗ РК</v>
      </c>
      <c r="E55" s="867"/>
      <c r="F55" s="867"/>
      <c r="G55" s="868"/>
      <c r="P55" s="315">
        <f ca="1">IFERROR(__xludf.DUMMYFUNCTION("""COMPUTED_VALUE"""),295631.3)</f>
        <v>295631.3</v>
      </c>
      <c r="Q55" s="339">
        <f ca="1">IFERROR(__xludf.DUMMYFUNCTION("""COMPUTED_VALUE"""),295631.23488)</f>
        <v>295631.23488</v>
      </c>
      <c r="R55" s="315">
        <f ca="1">IFERROR(__xludf.DUMMYFUNCTION("""COMPUTED_VALUE"""),0.0651199999847449)</f>
        <v>6.5119999984744895E-2</v>
      </c>
      <c r="S55" s="358"/>
      <c r="T55" s="362"/>
    </row>
    <row r="56" spans="4:20" ht="12.75">
      <c r="D56" s="887" t="str">
        <f>'по ТД (копия)'!A18</f>
        <v>ДСЭК Павлодарской области КСЭК МЗ РК</v>
      </c>
      <c r="E56" s="867"/>
      <c r="F56" s="867"/>
      <c r="G56" s="868"/>
      <c r="P56" s="315">
        <f ca="1">IFERROR(__xludf.DUMMYFUNCTION("""COMPUTED_VALUE"""),388129.6)</f>
        <v>388129.6</v>
      </c>
      <c r="Q56" s="339">
        <f ca="1">IFERROR(__xludf.DUMMYFUNCTION("""COMPUTED_VALUE"""),388129.6)</f>
        <v>388129.6</v>
      </c>
      <c r="R56" s="315">
        <f ca="1">IFERROR(__xludf.DUMMYFUNCTION("""COMPUTED_VALUE"""),0)</f>
        <v>0</v>
      </c>
      <c r="S56" s="358"/>
      <c r="T56" s="359"/>
    </row>
    <row r="57" spans="4:20" ht="12.75">
      <c r="D57" s="887" t="str">
        <f>'по ТД (копия)'!A19</f>
        <v>ДСЭК СКО КСЭК МЗ РК</v>
      </c>
      <c r="E57" s="867"/>
      <c r="F57" s="867"/>
      <c r="G57" s="868"/>
      <c r="P57" s="315">
        <f ca="1">IFERROR(__xludf.DUMMYFUNCTION("""COMPUTED_VALUE"""),490519.8)</f>
        <v>490519.8</v>
      </c>
      <c r="Q57" s="339">
        <f ca="1">IFERROR(__xludf.DUMMYFUNCTION("""COMPUTED_VALUE"""),490519.8)</f>
        <v>490519.8</v>
      </c>
      <c r="R57" s="315">
        <f ca="1">IFERROR(__xludf.DUMMYFUNCTION("""COMPUTED_VALUE"""),0)</f>
        <v>0</v>
      </c>
      <c r="S57" s="358"/>
      <c r="T57" s="358"/>
    </row>
    <row r="58" spans="4:20" ht="12.75">
      <c r="D58" s="887" t="str">
        <f>'по ТД (копия)'!A20</f>
        <v>ДСЭК Туркестанской области КСЭК МЗ РК</v>
      </c>
      <c r="E58" s="867"/>
      <c r="F58" s="867"/>
      <c r="G58" s="868"/>
      <c r="P58" s="315">
        <f ca="1">IFERROR(__xludf.DUMMYFUNCTION("""COMPUTED_VALUE"""),526393.3)</f>
        <v>526393.30000000005</v>
      </c>
      <c r="Q58" s="339">
        <f ca="1">IFERROR(__xludf.DUMMYFUNCTION("""COMPUTED_VALUE"""),526392.48)</f>
        <v>526392.48</v>
      </c>
      <c r="R58" s="315">
        <f ca="1">IFERROR(__xludf.DUMMYFUNCTION("""COMPUTED_VALUE"""),0.820000000065192)</f>
        <v>0.82000000006519203</v>
      </c>
      <c r="S58" s="358"/>
      <c r="T58" s="358"/>
    </row>
    <row r="59" spans="4:20" ht="12.75">
      <c r="D59" s="887" t="str">
        <f>'по ТД (копия)'!A21</f>
        <v>ДСЭК города Шымкент КСЭК МЗ РК</v>
      </c>
      <c r="E59" s="867"/>
      <c r="F59" s="867"/>
      <c r="G59" s="868"/>
      <c r="P59" s="315">
        <f ca="1">IFERROR(__xludf.DUMMYFUNCTION("""COMPUTED_VALUE"""),231015.6)</f>
        <v>231015.6</v>
      </c>
      <c r="Q59" s="339">
        <f ca="1">IFERROR(__xludf.DUMMYFUNCTION("""COMPUTED_VALUE"""),231015.6)</f>
        <v>231015.6</v>
      </c>
      <c r="R59" s="315">
        <f ca="1">IFERROR(__xludf.DUMMYFUNCTION("""COMPUTED_VALUE"""),0)</f>
        <v>0</v>
      </c>
      <c r="S59" s="358"/>
      <c r="T59" s="358"/>
    </row>
    <row r="60" spans="4:20" ht="12.75">
      <c r="D60" s="887" t="str">
        <f>'по ТД (копия)'!A22</f>
        <v>ДСЭК города Алматы КСЭК МЗ РК</v>
      </c>
      <c r="E60" s="867"/>
      <c r="F60" s="867"/>
      <c r="G60" s="868"/>
      <c r="P60" s="315">
        <f ca="1">IFERROR(__xludf.DUMMYFUNCTION("""COMPUTED_VALUE"""),575051.1)</f>
        <v>575051.1</v>
      </c>
      <c r="Q60" s="339">
        <f ca="1">IFERROR(__xludf.DUMMYFUNCTION("""COMPUTED_VALUE"""),575051.074)</f>
        <v>575051.07400000002</v>
      </c>
      <c r="R60" s="315">
        <f ca="1">IFERROR(__xludf.DUMMYFUNCTION("""COMPUTED_VALUE"""),0.0259999999543651)</f>
        <v>2.59999999543651E-2</v>
      </c>
      <c r="S60" s="358"/>
      <c r="T60" s="358"/>
    </row>
    <row r="61" spans="4:20" ht="12.75">
      <c r="D61" s="887" t="str">
        <f>'по ТД (копия)'!A23</f>
        <v>ДСЭК города Нур-Султан КСЭК МЗ РК</v>
      </c>
      <c r="E61" s="867"/>
      <c r="F61" s="867"/>
      <c r="G61" s="868"/>
      <c r="P61" s="315">
        <f ca="1">IFERROR(__xludf.DUMMYFUNCTION("""COMPUTED_VALUE"""),476685.3)</f>
        <v>476685.3</v>
      </c>
      <c r="Q61" s="339">
        <f ca="1">IFERROR(__xludf.DUMMYFUNCTION("""COMPUTED_VALUE"""),476684.452)</f>
        <v>476684.45199999999</v>
      </c>
      <c r="R61" s="315">
        <f ca="1">IFERROR(__xludf.DUMMYFUNCTION("""COMPUTED_VALUE"""),0.847999999998137)</f>
        <v>0.84799999999813702</v>
      </c>
      <c r="S61" s="358"/>
      <c r="T61" s="358"/>
    </row>
    <row r="62" spans="4:20" ht="12.75">
      <c r="D62" s="887" t="str">
        <f>'по ТД (копия)'!A24</f>
        <v>ДСЭК на транспорте КСЭК МЗ РК</v>
      </c>
      <c r="E62" s="867"/>
      <c r="F62" s="867"/>
      <c r="G62" s="868"/>
      <c r="P62" s="315">
        <f ca="1">IFERROR(__xludf.DUMMYFUNCTION("""COMPUTED_VALUE"""),43999.3)</f>
        <v>43999.3</v>
      </c>
      <c r="Q62" s="339">
        <f ca="1">IFERROR(__xludf.DUMMYFUNCTION("""COMPUTED_VALUE"""),43999.3)</f>
        <v>43999.3</v>
      </c>
      <c r="R62" s="315">
        <f ca="1">IFERROR(__xludf.DUMMYFUNCTION("""COMPUTED_VALUE"""),0)</f>
        <v>0</v>
      </c>
      <c r="S62" s="358"/>
      <c r="T62" s="358"/>
    </row>
    <row r="63" spans="4:20" ht="12.75">
      <c r="D63" s="887" t="str">
        <f>'по ТД (копия)'!A25</f>
        <v>Улытау</v>
      </c>
      <c r="E63" s="867"/>
      <c r="F63" s="867"/>
      <c r="G63" s="868"/>
      <c r="P63" s="315">
        <f ca="1">IFERROR(__xludf.DUMMYFUNCTION("""COMPUTED_VALUE"""),56021.4)</f>
        <v>56021.4</v>
      </c>
      <c r="Q63" s="339">
        <f ca="1">IFERROR(__xludf.DUMMYFUNCTION("""COMPUTED_VALUE"""),56021.4)</f>
        <v>56021.4</v>
      </c>
      <c r="R63" s="315">
        <f ca="1">IFERROR(__xludf.DUMMYFUNCTION("""COMPUTED_VALUE"""),0)</f>
        <v>0</v>
      </c>
      <c r="S63" s="358"/>
      <c r="T63" s="53"/>
    </row>
    <row r="64" spans="4:20" ht="12.75">
      <c r="D64" s="887" t="str">
        <f>'по ТД (копия)'!A26</f>
        <v>Жетису</v>
      </c>
      <c r="E64" s="867"/>
      <c r="F64" s="867"/>
      <c r="G64" s="868"/>
      <c r="P64" s="315">
        <f ca="1">IFERROR(__xludf.DUMMYFUNCTION("""COMPUTED_VALUE"""),279667.6)</f>
        <v>279667.59999999998</v>
      </c>
      <c r="Q64" s="339">
        <f ca="1">IFERROR(__xludf.DUMMYFUNCTION("""COMPUTED_VALUE"""),279667.544)</f>
        <v>279667.54399999999</v>
      </c>
      <c r="R64" s="315">
        <f ca="1">IFERROR(__xludf.DUMMYFUNCTION("""COMPUTED_VALUE"""),0.0559999999823048)</f>
        <v>5.5999999982304802E-2</v>
      </c>
      <c r="S64" s="358"/>
      <c r="T64" s="53"/>
    </row>
    <row r="65" spans="4:20" ht="12.75">
      <c r="D65" s="887" t="str">
        <f>'по ТД (копия)'!A27</f>
        <v>Абай</v>
      </c>
      <c r="E65" s="867"/>
      <c r="F65" s="867"/>
      <c r="G65" s="868"/>
      <c r="P65" s="315">
        <f ca="1">IFERROR(__xludf.DUMMYFUNCTION("""COMPUTED_VALUE"""),479322.5)</f>
        <v>479322.5</v>
      </c>
      <c r="Q65" s="339">
        <f ca="1">IFERROR(__xludf.DUMMYFUNCTION("""COMPUTED_VALUE"""),479322.5)</f>
        <v>479322.5</v>
      </c>
      <c r="R65" s="315">
        <f ca="1">IFERROR(__xludf.DUMMYFUNCTION("""COMPUTED_VALUE"""),0)</f>
        <v>0</v>
      </c>
      <c r="S65" s="358"/>
      <c r="T65" s="53"/>
    </row>
    <row r="66" spans="4:20" ht="12.75">
      <c r="D66" s="887" t="str">
        <f>'по ТД (копия)'!A29</f>
        <v>караганда 136</v>
      </c>
      <c r="E66" s="867"/>
      <c r="F66" s="867"/>
      <c r="G66" s="868"/>
      <c r="P66" s="2"/>
    </row>
    <row r="67" spans="4:20" ht="12.75">
      <c r="D67" s="887"/>
      <c r="E67" s="867"/>
      <c r="F67" s="867"/>
      <c r="G67" s="868"/>
      <c r="P67" s="2"/>
    </row>
    <row r="68" spans="4:20" ht="12.75">
      <c r="P68" s="2"/>
    </row>
    <row r="69" spans="4:20" ht="12.75">
      <c r="P69" s="2"/>
    </row>
    <row r="70" spans="4:20" ht="12.75">
      <c r="P70" s="2"/>
    </row>
    <row r="71" spans="4:20" ht="12.75">
      <c r="P71" s="2"/>
    </row>
    <row r="72" spans="4:20" ht="12.75">
      <c r="P72" s="2"/>
    </row>
    <row r="73" spans="4:20" ht="12.75">
      <c r="P73" s="2"/>
    </row>
    <row r="74" spans="4:20" ht="12.75">
      <c r="P74" s="2"/>
    </row>
    <row r="75" spans="4:20" ht="12.75">
      <c r="P75" s="2"/>
    </row>
    <row r="76" spans="4:20" ht="12.75">
      <c r="P76" s="2"/>
    </row>
    <row r="77" spans="4:20" ht="12.75">
      <c r="P77" s="2"/>
    </row>
    <row r="78" spans="4:20" ht="12.75">
      <c r="P78" s="2"/>
    </row>
    <row r="79" spans="4:20" ht="12.75">
      <c r="P79" s="2"/>
    </row>
    <row r="80" spans="4:20" ht="12.75">
      <c r="P80" s="2"/>
    </row>
    <row r="81" spans="16:16" ht="12.75">
      <c r="P81" s="2"/>
    </row>
    <row r="82" spans="16:16" ht="12.75">
      <c r="P82" s="2"/>
    </row>
    <row r="83" spans="16:16" ht="12.75">
      <c r="P83" s="2"/>
    </row>
    <row r="84" spans="16:16" ht="12.75">
      <c r="P84" s="2"/>
    </row>
    <row r="85" spans="16:16" ht="12.75">
      <c r="P85" s="2"/>
    </row>
    <row r="86" spans="16:16" ht="12.75">
      <c r="P86" s="2"/>
    </row>
    <row r="87" spans="16:16" ht="12.75">
      <c r="P87" s="2"/>
    </row>
    <row r="88" spans="16:16" ht="12.75">
      <c r="P88" s="2"/>
    </row>
    <row r="89" spans="16:16" ht="12.75">
      <c r="P89" s="2"/>
    </row>
    <row r="90" spans="16:16" ht="12.75">
      <c r="P90" s="2"/>
    </row>
    <row r="91" spans="16:16" ht="12.75">
      <c r="P91" s="2"/>
    </row>
    <row r="92" spans="16:16" ht="12.75">
      <c r="P92" s="2"/>
    </row>
    <row r="93" spans="16:16" ht="12.75">
      <c r="P93" s="2"/>
    </row>
    <row r="94" spans="16:16" ht="12.75">
      <c r="P94" s="2"/>
    </row>
    <row r="95" spans="16:16" ht="12.75">
      <c r="P95" s="2"/>
    </row>
    <row r="96" spans="16:16" ht="12.75">
      <c r="P96" s="2"/>
    </row>
    <row r="97" spans="16:16" ht="12.75">
      <c r="P97" s="2"/>
    </row>
    <row r="98" spans="16:16" ht="12.75">
      <c r="P98" s="2"/>
    </row>
    <row r="99" spans="16:16" ht="12.75">
      <c r="P99" s="2"/>
    </row>
    <row r="100" spans="16:16" ht="12.75">
      <c r="P100" s="2"/>
    </row>
    <row r="101" spans="16:16" ht="12.75">
      <c r="P101" s="2"/>
    </row>
    <row r="102" spans="16:16" ht="12.75">
      <c r="P102" s="2"/>
    </row>
    <row r="103" spans="16:16" ht="12.75">
      <c r="P103" s="2"/>
    </row>
    <row r="104" spans="16:16" ht="12.75">
      <c r="P104" s="2"/>
    </row>
    <row r="105" spans="16:16" ht="12.75">
      <c r="P105" s="2"/>
    </row>
    <row r="106" spans="16:16" ht="12.75">
      <c r="P106" s="2"/>
    </row>
    <row r="107" spans="16:16" ht="12.75">
      <c r="P107" s="2"/>
    </row>
    <row r="108" spans="16:16" ht="12.75">
      <c r="P108" s="2"/>
    </row>
    <row r="109" spans="16:16" ht="12.75">
      <c r="P109" s="2"/>
    </row>
    <row r="110" spans="16:16" ht="12.75">
      <c r="P110" s="2"/>
    </row>
    <row r="111" spans="16:16" ht="12.75">
      <c r="P111" s="2"/>
    </row>
    <row r="112" spans="16:16" ht="12.75">
      <c r="P112" s="2"/>
    </row>
    <row r="113" spans="16:16" ht="12.75">
      <c r="P113" s="2"/>
    </row>
    <row r="114" spans="16:16" ht="12.75">
      <c r="P114" s="2"/>
    </row>
    <row r="115" spans="16:16" ht="12.75">
      <c r="P115" s="2"/>
    </row>
    <row r="116" spans="16:16" ht="12.75">
      <c r="P116" s="2"/>
    </row>
    <row r="117" spans="16:16" ht="12.75">
      <c r="P117" s="2"/>
    </row>
    <row r="118" spans="16:16" ht="12.75">
      <c r="P118" s="2"/>
    </row>
    <row r="119" spans="16:16" ht="12.75">
      <c r="P119" s="2"/>
    </row>
    <row r="120" spans="16:16" ht="12.75">
      <c r="P120" s="2"/>
    </row>
    <row r="121" spans="16:16" ht="12.75">
      <c r="P121" s="2"/>
    </row>
    <row r="122" spans="16:16" ht="12.75">
      <c r="P122" s="2"/>
    </row>
    <row r="123" spans="16:16" ht="12.75">
      <c r="P123" s="2"/>
    </row>
    <row r="124" spans="16:16" ht="12.75">
      <c r="P124" s="2"/>
    </row>
    <row r="125" spans="16:16" ht="12.75">
      <c r="P125" s="2"/>
    </row>
    <row r="126" spans="16:16" ht="12.75">
      <c r="P126" s="2"/>
    </row>
    <row r="127" spans="16:16" ht="12.75">
      <c r="P127" s="2"/>
    </row>
    <row r="128" spans="16:16" ht="12.75">
      <c r="P128" s="2"/>
    </row>
    <row r="129" spans="16:16" ht="12.75">
      <c r="P129" s="2"/>
    </row>
    <row r="130" spans="16:16" ht="12.75">
      <c r="P130" s="2"/>
    </row>
    <row r="131" spans="16:16" ht="12.75">
      <c r="P131" s="2"/>
    </row>
    <row r="132" spans="16:16" ht="12.75">
      <c r="P132" s="2"/>
    </row>
    <row r="133" spans="16:16" ht="12.75">
      <c r="P133" s="2"/>
    </row>
    <row r="134" spans="16:16" ht="12.75">
      <c r="P134" s="2"/>
    </row>
    <row r="135" spans="16:16" ht="12.75">
      <c r="P135" s="2"/>
    </row>
    <row r="136" spans="16:16" ht="12.75">
      <c r="P136" s="2"/>
    </row>
    <row r="137" spans="16:16" ht="12.75">
      <c r="P137" s="2"/>
    </row>
    <row r="138" spans="16:16" ht="12.75">
      <c r="P138" s="2"/>
    </row>
    <row r="139" spans="16:16" ht="12.75">
      <c r="P139" s="2"/>
    </row>
    <row r="140" spans="16:16" ht="12.75">
      <c r="P140" s="2"/>
    </row>
    <row r="141" spans="16:16" ht="12.75">
      <c r="P141" s="2"/>
    </row>
    <row r="142" spans="16:16" ht="12.75">
      <c r="P142" s="2"/>
    </row>
    <row r="143" spans="16:16" ht="12.75">
      <c r="P143" s="2"/>
    </row>
    <row r="144" spans="16:16" ht="12.75">
      <c r="P144" s="2"/>
    </row>
    <row r="145" spans="16:16" ht="12.75">
      <c r="P145" s="2"/>
    </row>
    <row r="146" spans="16:16" ht="12.75">
      <c r="P146" s="2"/>
    </row>
    <row r="147" spans="16:16" ht="12.75">
      <c r="P147" s="2"/>
    </row>
    <row r="148" spans="16:16" ht="12.75">
      <c r="P148" s="2"/>
    </row>
    <row r="149" spans="16:16" ht="12.75">
      <c r="P149" s="2"/>
    </row>
    <row r="150" spans="16:16" ht="12.75">
      <c r="P150" s="2"/>
    </row>
    <row r="151" spans="16:16" ht="12.75">
      <c r="P151" s="2"/>
    </row>
    <row r="152" spans="16:16" ht="12.75">
      <c r="P152" s="2"/>
    </row>
    <row r="153" spans="16:16" ht="12.75">
      <c r="P153" s="2"/>
    </row>
    <row r="154" spans="16:16" ht="12.75">
      <c r="P154" s="2"/>
    </row>
    <row r="155" spans="16:16" ht="12.75">
      <c r="P155" s="2"/>
    </row>
    <row r="156" spans="16:16" ht="12.75">
      <c r="P156" s="2"/>
    </row>
    <row r="157" spans="16:16" ht="12.75">
      <c r="P157" s="2"/>
    </row>
    <row r="158" spans="16:16" ht="12.75">
      <c r="P158" s="2"/>
    </row>
    <row r="159" spans="16:16" ht="12.75">
      <c r="P159" s="2"/>
    </row>
    <row r="160" spans="16:16" ht="12.75">
      <c r="P160" s="2"/>
    </row>
    <row r="161" spans="16:16" ht="12.75">
      <c r="P161" s="2"/>
    </row>
    <row r="162" spans="16:16" ht="12.75">
      <c r="P162" s="2"/>
    </row>
    <row r="163" spans="16:16" ht="12.75">
      <c r="P163" s="2"/>
    </row>
    <row r="164" spans="16:16" ht="12.75">
      <c r="P164" s="2"/>
    </row>
    <row r="165" spans="16:16" ht="12.75">
      <c r="P165" s="2"/>
    </row>
    <row r="166" spans="16:16" ht="12.75">
      <c r="P166" s="2"/>
    </row>
    <row r="167" spans="16:16" ht="12.75">
      <c r="P167" s="2"/>
    </row>
    <row r="168" spans="16:16" ht="12.75">
      <c r="P168" s="2"/>
    </row>
    <row r="169" spans="16:16" ht="12.75">
      <c r="P169" s="2"/>
    </row>
    <row r="170" spans="16:16" ht="12.75">
      <c r="P170" s="2"/>
    </row>
    <row r="171" spans="16:16" ht="12.75">
      <c r="P171" s="2"/>
    </row>
    <row r="172" spans="16:16" ht="12.75">
      <c r="P172" s="2"/>
    </row>
    <row r="173" spans="16:16" ht="12.75">
      <c r="P173" s="2"/>
    </row>
    <row r="174" spans="16:16" ht="12.75">
      <c r="P174" s="2"/>
    </row>
    <row r="175" spans="16:16" ht="12.75">
      <c r="P175" s="2"/>
    </row>
    <row r="176" spans="16:16" ht="12.75">
      <c r="P176" s="2"/>
    </row>
    <row r="177" spans="16:16" ht="12.75">
      <c r="P177" s="2"/>
    </row>
    <row r="178" spans="16:16" ht="12.75">
      <c r="P178" s="2"/>
    </row>
    <row r="179" spans="16:16" ht="12.75">
      <c r="P179" s="2"/>
    </row>
    <row r="180" spans="16:16" ht="12.75">
      <c r="P180" s="2"/>
    </row>
    <row r="181" spans="16:16" ht="12.75">
      <c r="P181" s="2"/>
    </row>
    <row r="182" spans="16:16" ht="12.75">
      <c r="P182" s="2"/>
    </row>
    <row r="183" spans="16:16" ht="12.75">
      <c r="P183" s="2"/>
    </row>
    <row r="184" spans="16:16" ht="12.75">
      <c r="P184" s="2"/>
    </row>
    <row r="185" spans="16:16" ht="12.75">
      <c r="P185" s="2"/>
    </row>
    <row r="186" spans="16:16" ht="12.75">
      <c r="P186" s="2"/>
    </row>
    <row r="187" spans="16:16" ht="12.75">
      <c r="P187" s="2"/>
    </row>
    <row r="188" spans="16:16" ht="12.75">
      <c r="P188" s="2"/>
    </row>
    <row r="189" spans="16:16" ht="12.75">
      <c r="P189" s="2"/>
    </row>
    <row r="190" spans="16:16" ht="12.75">
      <c r="P190" s="2"/>
    </row>
    <row r="191" spans="16:16" ht="12.75">
      <c r="P191" s="2"/>
    </row>
    <row r="192" spans="16:16" ht="12.75">
      <c r="P192" s="2"/>
    </row>
    <row r="193" spans="16:16" ht="12.75">
      <c r="P193" s="2"/>
    </row>
    <row r="194" spans="16:16" ht="12.75">
      <c r="P194" s="2"/>
    </row>
    <row r="195" spans="16:16" ht="12.75">
      <c r="P195" s="2"/>
    </row>
    <row r="196" spans="16:16" ht="12.75">
      <c r="P196" s="2"/>
    </row>
    <row r="197" spans="16:16" ht="12.75">
      <c r="P197" s="2"/>
    </row>
    <row r="198" spans="16:16" ht="12.75">
      <c r="P198" s="2"/>
    </row>
    <row r="199" spans="16:16" ht="12.75">
      <c r="P199" s="2"/>
    </row>
    <row r="200" spans="16:16" ht="12.75">
      <c r="P200" s="2"/>
    </row>
    <row r="201" spans="16:16" ht="12.75">
      <c r="P201" s="2"/>
    </row>
    <row r="202" spans="16:16" ht="12.75">
      <c r="P202" s="2"/>
    </row>
    <row r="203" spans="16:16" ht="12.75">
      <c r="P203" s="2"/>
    </row>
    <row r="204" spans="16:16" ht="12.75">
      <c r="P204" s="2"/>
    </row>
    <row r="205" spans="16:16" ht="12.75">
      <c r="P205" s="2"/>
    </row>
    <row r="206" spans="16:16" ht="12.75">
      <c r="P206" s="2"/>
    </row>
    <row r="207" spans="16:16" ht="12.75">
      <c r="P207" s="2"/>
    </row>
    <row r="208" spans="16:16" ht="12.75">
      <c r="P208" s="2"/>
    </row>
    <row r="209" spans="16:16" ht="12.75">
      <c r="P209" s="2"/>
    </row>
    <row r="210" spans="16:16" ht="12.75">
      <c r="P210" s="2"/>
    </row>
    <row r="211" spans="16:16" ht="12.75">
      <c r="P211" s="2"/>
    </row>
    <row r="212" spans="16:16" ht="12.75">
      <c r="P212" s="2"/>
    </row>
    <row r="213" spans="16:16" ht="12.75">
      <c r="P213" s="2"/>
    </row>
    <row r="214" spans="16:16" ht="12.75">
      <c r="P214" s="2"/>
    </row>
    <row r="215" spans="16:16" ht="12.75">
      <c r="P215" s="2"/>
    </row>
    <row r="216" spans="16:16" ht="12.75">
      <c r="P216" s="2"/>
    </row>
    <row r="217" spans="16:16" ht="12.75">
      <c r="P217" s="2"/>
    </row>
    <row r="218" spans="16:16" ht="12.75">
      <c r="P218" s="2"/>
    </row>
    <row r="219" spans="16:16" ht="12.75">
      <c r="P219" s="2"/>
    </row>
    <row r="220" spans="16:16" ht="12.75">
      <c r="P220" s="2"/>
    </row>
    <row r="221" spans="16:16" ht="12.75">
      <c r="P221" s="2"/>
    </row>
    <row r="222" spans="16:16" ht="12.75">
      <c r="P222" s="2"/>
    </row>
    <row r="223" spans="16:16" ht="12.75">
      <c r="P223" s="2"/>
    </row>
    <row r="224" spans="16:16" ht="12.75">
      <c r="P224" s="2"/>
    </row>
    <row r="225" spans="16:16" ht="12.75">
      <c r="P225" s="2"/>
    </row>
    <row r="226" spans="16:16" ht="12.75">
      <c r="P226" s="2"/>
    </row>
    <row r="227" spans="16:16" ht="12.75">
      <c r="P227" s="2"/>
    </row>
    <row r="228" spans="16:16" ht="12.75">
      <c r="P228" s="2"/>
    </row>
    <row r="229" spans="16:16" ht="12.75">
      <c r="P229" s="2"/>
    </row>
    <row r="230" spans="16:16" ht="12.75">
      <c r="P230" s="2"/>
    </row>
    <row r="231" spans="16:16" ht="12.75">
      <c r="P231" s="2"/>
    </row>
    <row r="232" spans="16:16" ht="12.75">
      <c r="P232" s="2"/>
    </row>
    <row r="233" spans="16:16" ht="12.75">
      <c r="P233" s="2"/>
    </row>
    <row r="234" spans="16:16" ht="12.75">
      <c r="P234" s="2"/>
    </row>
    <row r="235" spans="16:16" ht="12.75">
      <c r="P235" s="2"/>
    </row>
    <row r="236" spans="16:16" ht="12.75">
      <c r="P236" s="2"/>
    </row>
    <row r="237" spans="16:16" ht="12.75">
      <c r="P237" s="2"/>
    </row>
    <row r="238" spans="16:16" ht="12.75">
      <c r="P238" s="2"/>
    </row>
    <row r="239" spans="16:16" ht="12.75">
      <c r="P239" s="2"/>
    </row>
    <row r="240" spans="16:16" ht="12.75">
      <c r="P240" s="2"/>
    </row>
    <row r="241" spans="16:16" ht="12.75">
      <c r="P241" s="2"/>
    </row>
    <row r="242" spans="16:16" ht="12.75">
      <c r="P242" s="2"/>
    </row>
    <row r="243" spans="16:16" ht="12.75">
      <c r="P243" s="2"/>
    </row>
    <row r="244" spans="16:16" ht="12.75">
      <c r="P244" s="2"/>
    </row>
    <row r="245" spans="16:16" ht="12.75">
      <c r="P245" s="2"/>
    </row>
    <row r="246" spans="16:16" ht="12.75">
      <c r="P246" s="2"/>
    </row>
    <row r="247" spans="16:16" ht="12.75">
      <c r="P247" s="2"/>
    </row>
    <row r="248" spans="16:16" ht="12.75">
      <c r="P248" s="2"/>
    </row>
    <row r="249" spans="16:16" ht="12.75">
      <c r="P249" s="2"/>
    </row>
    <row r="250" spans="16:16" ht="12.75">
      <c r="P250" s="2"/>
    </row>
    <row r="251" spans="16:16" ht="12.75">
      <c r="P251" s="2"/>
    </row>
    <row r="252" spans="16:16" ht="12.75">
      <c r="P252" s="2"/>
    </row>
    <row r="253" spans="16:16" ht="12.75">
      <c r="P253" s="2"/>
    </row>
    <row r="254" spans="16:16" ht="12.75">
      <c r="P254" s="2"/>
    </row>
    <row r="255" spans="16:16" ht="12.75">
      <c r="P255" s="2"/>
    </row>
    <row r="256" spans="16:16" ht="12.75">
      <c r="P256" s="2"/>
    </row>
    <row r="257" spans="16:16" ht="12.75">
      <c r="P257" s="2"/>
    </row>
    <row r="258" spans="16:16" ht="12.75">
      <c r="P258" s="2"/>
    </row>
    <row r="259" spans="16:16" ht="12.75">
      <c r="P259" s="2"/>
    </row>
    <row r="260" spans="16:16" ht="12.75">
      <c r="P260" s="2"/>
    </row>
    <row r="261" spans="16:16" ht="12.75">
      <c r="P261" s="2"/>
    </row>
    <row r="262" spans="16:16" ht="12.75">
      <c r="P262" s="2"/>
    </row>
    <row r="263" spans="16:16" ht="12.75">
      <c r="P263" s="2"/>
    </row>
    <row r="264" spans="16:16" ht="12.75">
      <c r="P264" s="2"/>
    </row>
    <row r="265" spans="16:16" ht="12.75">
      <c r="P265" s="2"/>
    </row>
    <row r="266" spans="16:16" ht="12.75">
      <c r="P266" s="2"/>
    </row>
    <row r="267" spans="16:16" ht="12.75">
      <c r="P267" s="2"/>
    </row>
    <row r="268" spans="16:16" ht="12.75">
      <c r="P268" s="2"/>
    </row>
    <row r="269" spans="16:16" ht="12.75">
      <c r="P269" s="2"/>
    </row>
    <row r="270" spans="16:16" ht="12.75">
      <c r="P270" s="2"/>
    </row>
    <row r="271" spans="16:16" ht="12.75">
      <c r="P271" s="2"/>
    </row>
    <row r="272" spans="16:16" ht="12.75">
      <c r="P272" s="2"/>
    </row>
    <row r="273" spans="16:16" ht="12.75">
      <c r="P273" s="2"/>
    </row>
    <row r="274" spans="16:16" ht="12.75">
      <c r="P274" s="2"/>
    </row>
    <row r="275" spans="16:16" ht="12.75">
      <c r="P275" s="2"/>
    </row>
    <row r="276" spans="16:16" ht="12.75">
      <c r="P276" s="2"/>
    </row>
    <row r="277" spans="16:16" ht="12.75">
      <c r="P277" s="2"/>
    </row>
    <row r="278" spans="16:16" ht="12.75">
      <c r="P278" s="2"/>
    </row>
    <row r="279" spans="16:16" ht="12.75">
      <c r="P279" s="2"/>
    </row>
    <row r="280" spans="16:16" ht="12.75">
      <c r="P280" s="2"/>
    </row>
    <row r="281" spans="16:16" ht="12.75">
      <c r="P281" s="2"/>
    </row>
    <row r="282" spans="16:16" ht="12.75">
      <c r="P282" s="2"/>
    </row>
    <row r="283" spans="16:16" ht="12.75">
      <c r="P283" s="2"/>
    </row>
    <row r="284" spans="16:16" ht="12.75">
      <c r="P284" s="2"/>
    </row>
    <row r="285" spans="16:16" ht="12.75">
      <c r="P285" s="2"/>
    </row>
    <row r="286" spans="16:16" ht="12.75">
      <c r="P286" s="2"/>
    </row>
    <row r="287" spans="16:16" ht="12.75">
      <c r="P287" s="2"/>
    </row>
    <row r="288" spans="16:16" ht="12.75">
      <c r="P288" s="2"/>
    </row>
    <row r="289" spans="16:16" ht="12.75">
      <c r="P289" s="2"/>
    </row>
    <row r="290" spans="16:16" ht="12.75">
      <c r="P290" s="2"/>
    </row>
    <row r="291" spans="16:16" ht="12.75">
      <c r="P291" s="2"/>
    </row>
    <row r="292" spans="16:16" ht="12.75">
      <c r="P292" s="2"/>
    </row>
    <row r="293" spans="16:16" ht="12.75">
      <c r="P293" s="2"/>
    </row>
    <row r="294" spans="16:16" ht="12.75">
      <c r="P294" s="2"/>
    </row>
    <row r="295" spans="16:16" ht="12.75">
      <c r="P295" s="2"/>
    </row>
    <row r="296" spans="16:16" ht="12.75">
      <c r="P296" s="2"/>
    </row>
    <row r="297" spans="16:16" ht="12.75">
      <c r="P297" s="2"/>
    </row>
    <row r="298" spans="16:16" ht="12.75">
      <c r="P298" s="2"/>
    </row>
    <row r="299" spans="16:16" ht="12.75">
      <c r="P299" s="2"/>
    </row>
    <row r="300" spans="16:16" ht="12.75">
      <c r="P300" s="2"/>
    </row>
    <row r="301" spans="16:16" ht="12.75">
      <c r="P301" s="2"/>
    </row>
    <row r="302" spans="16:16" ht="12.75">
      <c r="P302" s="2"/>
    </row>
    <row r="303" spans="16:16" ht="12.75">
      <c r="P303" s="2"/>
    </row>
    <row r="304" spans="16:16" ht="12.75">
      <c r="P304" s="2"/>
    </row>
    <row r="305" spans="16:16" ht="12.75">
      <c r="P305" s="2"/>
    </row>
    <row r="306" spans="16:16" ht="12.75">
      <c r="P306" s="2"/>
    </row>
    <row r="307" spans="16:16" ht="12.75">
      <c r="P307" s="2"/>
    </row>
    <row r="308" spans="16:16" ht="12.75">
      <c r="P308" s="2"/>
    </row>
    <row r="309" spans="16:16" ht="12.75">
      <c r="P309" s="2"/>
    </row>
    <row r="310" spans="16:16" ht="12.75">
      <c r="P310" s="2"/>
    </row>
    <row r="311" spans="16:16" ht="12.75">
      <c r="P311" s="2"/>
    </row>
    <row r="312" spans="16:16" ht="12.75">
      <c r="P312" s="2"/>
    </row>
    <row r="313" spans="16:16" ht="12.75">
      <c r="P313" s="2"/>
    </row>
    <row r="314" spans="16:16" ht="12.75">
      <c r="P314" s="2"/>
    </row>
    <row r="315" spans="16:16" ht="12.75">
      <c r="P315" s="2"/>
    </row>
    <row r="316" spans="16:16" ht="12.75">
      <c r="P316" s="2"/>
    </row>
    <row r="317" spans="16:16" ht="12.75">
      <c r="P317" s="2"/>
    </row>
    <row r="318" spans="16:16" ht="12.75">
      <c r="P318" s="2"/>
    </row>
    <row r="319" spans="16:16" ht="12.75">
      <c r="P319" s="2"/>
    </row>
    <row r="320" spans="16:16" ht="12.75">
      <c r="P320" s="2"/>
    </row>
    <row r="321" spans="16:16" ht="12.75">
      <c r="P321" s="2"/>
    </row>
    <row r="322" spans="16:16" ht="12.75">
      <c r="P322" s="2"/>
    </row>
    <row r="323" spans="16:16" ht="12.75">
      <c r="P323" s="2"/>
    </row>
    <row r="324" spans="16:16" ht="12.75">
      <c r="P324" s="2"/>
    </row>
    <row r="325" spans="16:16" ht="12.75">
      <c r="P325" s="2"/>
    </row>
    <row r="326" spans="16:16" ht="12.75">
      <c r="P326" s="2"/>
    </row>
    <row r="327" spans="16:16" ht="12.75">
      <c r="P327" s="2"/>
    </row>
    <row r="328" spans="16:16" ht="12.75">
      <c r="P328" s="2"/>
    </row>
    <row r="329" spans="16:16" ht="12.75">
      <c r="P329" s="2"/>
    </row>
    <row r="330" spans="16:16" ht="12.75">
      <c r="P330" s="2"/>
    </row>
    <row r="331" spans="16:16" ht="12.75">
      <c r="P331" s="2"/>
    </row>
    <row r="332" spans="16:16" ht="12.75">
      <c r="P332" s="2"/>
    </row>
    <row r="333" spans="16:16" ht="12.75">
      <c r="P333" s="2"/>
    </row>
    <row r="334" spans="16:16" ht="12.75">
      <c r="P334" s="2"/>
    </row>
    <row r="335" spans="16:16" ht="12.75">
      <c r="P335" s="2"/>
    </row>
    <row r="336" spans="16:16" ht="12.75">
      <c r="P336" s="2"/>
    </row>
    <row r="337" spans="16:16" ht="12.75">
      <c r="P337" s="2"/>
    </row>
    <row r="338" spans="16:16" ht="12.75">
      <c r="P338" s="2"/>
    </row>
    <row r="339" spans="16:16" ht="12.75">
      <c r="P339" s="2"/>
    </row>
    <row r="340" spans="16:16" ht="12.75">
      <c r="P340" s="2"/>
    </row>
    <row r="341" spans="16:16" ht="12.75">
      <c r="P341" s="2"/>
    </row>
    <row r="342" spans="16:16" ht="12.75">
      <c r="P342" s="2"/>
    </row>
    <row r="343" spans="16:16" ht="12.75">
      <c r="P343" s="2"/>
    </row>
    <row r="344" spans="16:16" ht="12.75">
      <c r="P344" s="2"/>
    </row>
    <row r="345" spans="16:16" ht="12.75">
      <c r="P345" s="2"/>
    </row>
    <row r="346" spans="16:16" ht="12.75">
      <c r="P346" s="2"/>
    </row>
    <row r="347" spans="16:16" ht="12.75">
      <c r="P347" s="2"/>
    </row>
    <row r="348" spans="16:16" ht="12.75">
      <c r="P348" s="2"/>
    </row>
    <row r="349" spans="16:16" ht="12.75">
      <c r="P349" s="2"/>
    </row>
    <row r="350" spans="16:16" ht="12.75">
      <c r="P350" s="2"/>
    </row>
    <row r="351" spans="16:16" ht="12.75">
      <c r="P351" s="2"/>
    </row>
    <row r="352" spans="16:16" ht="12.75">
      <c r="P352" s="2"/>
    </row>
    <row r="353" spans="16:16" ht="12.75">
      <c r="P353" s="2"/>
    </row>
    <row r="354" spans="16:16" ht="12.75">
      <c r="P354" s="2"/>
    </row>
    <row r="355" spans="16:16" ht="12.75">
      <c r="P355" s="2"/>
    </row>
    <row r="356" spans="16:16" ht="12.75">
      <c r="P356" s="2"/>
    </row>
    <row r="357" spans="16:16" ht="12.75">
      <c r="P357" s="2"/>
    </row>
    <row r="358" spans="16:16" ht="12.75">
      <c r="P358" s="2"/>
    </row>
    <row r="359" spans="16:16" ht="12.75">
      <c r="P359" s="2"/>
    </row>
    <row r="360" spans="16:16" ht="12.75">
      <c r="P360" s="2"/>
    </row>
    <row r="361" spans="16:16" ht="12.75">
      <c r="P361" s="2"/>
    </row>
    <row r="362" spans="16:16" ht="12.75">
      <c r="P362" s="2"/>
    </row>
    <row r="363" spans="16:16" ht="12.75">
      <c r="P363" s="2"/>
    </row>
    <row r="364" spans="16:16" ht="12.75">
      <c r="P364" s="2"/>
    </row>
    <row r="365" spans="16:16" ht="12.75">
      <c r="P365" s="2"/>
    </row>
    <row r="366" spans="16:16" ht="12.75">
      <c r="P366" s="2"/>
    </row>
    <row r="367" spans="16:16" ht="12.75">
      <c r="P367" s="2"/>
    </row>
    <row r="368" spans="16:16" ht="12.75">
      <c r="P368" s="2"/>
    </row>
    <row r="369" spans="16:16" ht="12.75">
      <c r="P369" s="2"/>
    </row>
    <row r="370" spans="16:16" ht="12.75">
      <c r="P370" s="2"/>
    </row>
    <row r="371" spans="16:16" ht="12.75">
      <c r="P371" s="2"/>
    </row>
    <row r="372" spans="16:16" ht="12.75">
      <c r="P372" s="2"/>
    </row>
    <row r="373" spans="16:16" ht="12.75">
      <c r="P373" s="2"/>
    </row>
    <row r="374" spans="16:16" ht="12.75">
      <c r="P374" s="2"/>
    </row>
    <row r="375" spans="16:16" ht="12.75">
      <c r="P375" s="2"/>
    </row>
    <row r="376" spans="16:16" ht="12.75">
      <c r="P376" s="2"/>
    </row>
    <row r="377" spans="16:16" ht="12.75">
      <c r="P377" s="2"/>
    </row>
    <row r="378" spans="16:16" ht="12.75">
      <c r="P378" s="2"/>
    </row>
    <row r="379" spans="16:16" ht="12.75">
      <c r="P379" s="2"/>
    </row>
    <row r="380" spans="16:16" ht="12.75">
      <c r="P380" s="2"/>
    </row>
    <row r="381" spans="16:16" ht="12.75">
      <c r="P381" s="2"/>
    </row>
    <row r="382" spans="16:16" ht="12.75">
      <c r="P382" s="2"/>
    </row>
    <row r="383" spans="16:16" ht="12.75">
      <c r="P383" s="2"/>
    </row>
    <row r="384" spans="16:16" ht="12.75">
      <c r="P384" s="2"/>
    </row>
    <row r="385" spans="16:16" ht="12.75">
      <c r="P385" s="2"/>
    </row>
    <row r="386" spans="16:16" ht="12.75">
      <c r="P386" s="2"/>
    </row>
    <row r="387" spans="16:16" ht="12.75">
      <c r="P387" s="2"/>
    </row>
    <row r="388" spans="16:16" ht="12.75">
      <c r="P388" s="2"/>
    </row>
    <row r="389" spans="16:16" ht="12.75">
      <c r="P389" s="2"/>
    </row>
    <row r="390" spans="16:16" ht="12.75">
      <c r="P390" s="2"/>
    </row>
    <row r="391" spans="16:16" ht="12.75">
      <c r="P391" s="2"/>
    </row>
    <row r="392" spans="16:16" ht="12.75">
      <c r="P392" s="2"/>
    </row>
    <row r="393" spans="16:16" ht="12.75">
      <c r="P393" s="2"/>
    </row>
    <row r="394" spans="16:16" ht="12.75">
      <c r="P394" s="2"/>
    </row>
    <row r="395" spans="16:16" ht="12.75">
      <c r="P395" s="2"/>
    </row>
    <row r="396" spans="16:16" ht="12.75">
      <c r="P396" s="2"/>
    </row>
    <row r="397" spans="16:16" ht="12.75">
      <c r="P397" s="2"/>
    </row>
    <row r="398" spans="16:16" ht="12.75">
      <c r="P398" s="2"/>
    </row>
    <row r="399" spans="16:16" ht="12.75">
      <c r="P399" s="2"/>
    </row>
    <row r="400" spans="16:16" ht="12.75">
      <c r="P400" s="2"/>
    </row>
    <row r="401" spans="16:16" ht="12.75">
      <c r="P401" s="2"/>
    </row>
    <row r="402" spans="16:16" ht="12.75">
      <c r="P402" s="2"/>
    </row>
    <row r="403" spans="16:16" ht="12.75">
      <c r="P403" s="2"/>
    </row>
    <row r="404" spans="16:16" ht="12.75">
      <c r="P404" s="2"/>
    </row>
    <row r="405" spans="16:16" ht="12.75">
      <c r="P405" s="2"/>
    </row>
    <row r="406" spans="16:16" ht="12.75">
      <c r="P406" s="2"/>
    </row>
    <row r="407" spans="16:16" ht="12.75">
      <c r="P407" s="2"/>
    </row>
    <row r="408" spans="16:16" ht="12.75">
      <c r="P408" s="2"/>
    </row>
    <row r="409" spans="16:16" ht="12.75">
      <c r="P409" s="2"/>
    </row>
    <row r="410" spans="16:16" ht="12.75">
      <c r="P410" s="2"/>
    </row>
    <row r="411" spans="16:16" ht="12.75">
      <c r="P411" s="2"/>
    </row>
    <row r="412" spans="16:16" ht="12.75">
      <c r="P412" s="2"/>
    </row>
    <row r="413" spans="16:16" ht="12.75">
      <c r="P413" s="2"/>
    </row>
    <row r="414" spans="16:16" ht="12.75">
      <c r="P414" s="2"/>
    </row>
    <row r="415" spans="16:16" ht="12.75">
      <c r="P415" s="2"/>
    </row>
    <row r="416" spans="16:16" ht="12.75">
      <c r="P416" s="2"/>
    </row>
    <row r="417" spans="16:16" ht="12.75">
      <c r="P417" s="2"/>
    </row>
    <row r="418" spans="16:16" ht="12.75">
      <c r="P418" s="2"/>
    </row>
    <row r="419" spans="16:16" ht="12.75">
      <c r="P419" s="2"/>
    </row>
    <row r="420" spans="16:16" ht="12.75">
      <c r="P420" s="2"/>
    </row>
    <row r="421" spans="16:16" ht="12.75">
      <c r="P421" s="2"/>
    </row>
    <row r="422" spans="16:16" ht="12.75">
      <c r="P422" s="2"/>
    </row>
    <row r="423" spans="16:16" ht="12.75">
      <c r="P423" s="2"/>
    </row>
    <row r="424" spans="16:16" ht="12.75">
      <c r="P424" s="2"/>
    </row>
    <row r="425" spans="16:16" ht="12.75">
      <c r="P425" s="2"/>
    </row>
    <row r="426" spans="16:16" ht="12.75">
      <c r="P426" s="2"/>
    </row>
    <row r="427" spans="16:16" ht="12.75">
      <c r="P427" s="2"/>
    </row>
    <row r="428" spans="16:16" ht="12.75">
      <c r="P428" s="2"/>
    </row>
    <row r="429" spans="16:16" ht="12.75">
      <c r="P429" s="2"/>
    </row>
    <row r="430" spans="16:16" ht="12.75">
      <c r="P430" s="2"/>
    </row>
    <row r="431" spans="16:16" ht="12.75">
      <c r="P431" s="2"/>
    </row>
    <row r="432" spans="16:16" ht="12.75">
      <c r="P432" s="2"/>
    </row>
    <row r="433" spans="16:16" ht="12.75">
      <c r="P433" s="2"/>
    </row>
    <row r="434" spans="16:16" ht="12.75">
      <c r="P434" s="2"/>
    </row>
    <row r="435" spans="16:16" ht="12.75">
      <c r="P435" s="2"/>
    </row>
    <row r="436" spans="16:16" ht="12.75">
      <c r="P436" s="2"/>
    </row>
    <row r="437" spans="16:16" ht="12.75">
      <c r="P437" s="2"/>
    </row>
    <row r="438" spans="16:16" ht="12.75">
      <c r="P438" s="2"/>
    </row>
    <row r="439" spans="16:16" ht="12.75">
      <c r="P439" s="2"/>
    </row>
    <row r="440" spans="16:16" ht="12.75">
      <c r="P440" s="2"/>
    </row>
    <row r="441" spans="16:16" ht="12.75">
      <c r="P441" s="2"/>
    </row>
    <row r="442" spans="16:16" ht="12.75">
      <c r="P442" s="2"/>
    </row>
    <row r="443" spans="16:16" ht="12.75">
      <c r="P443" s="2"/>
    </row>
    <row r="444" spans="16:16" ht="12.75">
      <c r="P444" s="2"/>
    </row>
    <row r="445" spans="16:16" ht="12.75">
      <c r="P445" s="2"/>
    </row>
    <row r="446" spans="16:16" ht="12.75">
      <c r="P446" s="2"/>
    </row>
    <row r="447" spans="16:16" ht="12.75">
      <c r="P447" s="2"/>
    </row>
    <row r="448" spans="16:16" ht="12.75">
      <c r="P448" s="2"/>
    </row>
    <row r="449" spans="16:16" ht="12.75">
      <c r="P449" s="2"/>
    </row>
    <row r="450" spans="16:16" ht="12.75">
      <c r="P450" s="2"/>
    </row>
    <row r="451" spans="16:16" ht="12.75">
      <c r="P451" s="2"/>
    </row>
    <row r="452" spans="16:16" ht="12.75">
      <c r="P452" s="2"/>
    </row>
    <row r="453" spans="16:16" ht="12.75">
      <c r="P453" s="2"/>
    </row>
    <row r="454" spans="16:16" ht="12.75">
      <c r="P454" s="2"/>
    </row>
    <row r="455" spans="16:16" ht="12.75">
      <c r="P455" s="2"/>
    </row>
    <row r="456" spans="16:16" ht="12.75">
      <c r="P456" s="2"/>
    </row>
    <row r="457" spans="16:16" ht="12.75">
      <c r="P457" s="2"/>
    </row>
    <row r="458" spans="16:16" ht="12.75">
      <c r="P458" s="2"/>
    </row>
    <row r="459" spans="16:16" ht="12.75">
      <c r="P459" s="2"/>
    </row>
    <row r="460" spans="16:16" ht="12.75">
      <c r="P460" s="2"/>
    </row>
    <row r="461" spans="16:16" ht="12.75">
      <c r="P461" s="2"/>
    </row>
    <row r="462" spans="16:16" ht="12.75">
      <c r="P462" s="2"/>
    </row>
    <row r="463" spans="16:16" ht="12.75">
      <c r="P463" s="2"/>
    </row>
    <row r="464" spans="16:16" ht="12.75">
      <c r="P464" s="2"/>
    </row>
    <row r="465" spans="16:16" ht="12.75">
      <c r="P465" s="2"/>
    </row>
    <row r="466" spans="16:16" ht="12.75">
      <c r="P466" s="2"/>
    </row>
    <row r="467" spans="16:16" ht="12.75">
      <c r="P467" s="2"/>
    </row>
    <row r="468" spans="16:16" ht="12.75">
      <c r="P468" s="2"/>
    </row>
    <row r="469" spans="16:16" ht="12.75">
      <c r="P469" s="2"/>
    </row>
    <row r="470" spans="16:16" ht="12.75">
      <c r="P470" s="2"/>
    </row>
    <row r="471" spans="16:16" ht="12.75">
      <c r="P471" s="2"/>
    </row>
    <row r="472" spans="16:16" ht="12.75">
      <c r="P472" s="2"/>
    </row>
    <row r="473" spans="16:16" ht="12.75">
      <c r="P473" s="2"/>
    </row>
    <row r="474" spans="16:16" ht="12.75">
      <c r="P474" s="2"/>
    </row>
    <row r="475" spans="16:16" ht="12.75">
      <c r="P475" s="2"/>
    </row>
    <row r="476" spans="16:16" ht="12.75">
      <c r="P476" s="2"/>
    </row>
    <row r="477" spans="16:16" ht="12.75">
      <c r="P477" s="2"/>
    </row>
    <row r="478" spans="16:16" ht="12.75">
      <c r="P478" s="2"/>
    </row>
    <row r="479" spans="16:16" ht="12.75">
      <c r="P479" s="2"/>
    </row>
    <row r="480" spans="16:16" ht="12.75">
      <c r="P480" s="2"/>
    </row>
    <row r="481" spans="16:16" ht="12.75">
      <c r="P481" s="2"/>
    </row>
    <row r="482" spans="16:16" ht="12.75">
      <c r="P482" s="2"/>
    </row>
    <row r="483" spans="16:16" ht="12.75">
      <c r="P483" s="2"/>
    </row>
    <row r="484" spans="16:16" ht="12.75">
      <c r="P484" s="2"/>
    </row>
    <row r="485" spans="16:16" ht="12.75">
      <c r="P485" s="2"/>
    </row>
    <row r="486" spans="16:16" ht="12.75">
      <c r="P486" s="2"/>
    </row>
    <row r="487" spans="16:16" ht="12.75">
      <c r="P487" s="2"/>
    </row>
    <row r="488" spans="16:16" ht="12.75">
      <c r="P488" s="2"/>
    </row>
    <row r="489" spans="16:16" ht="12.75">
      <c r="P489" s="2"/>
    </row>
    <row r="490" spans="16:16" ht="12.75">
      <c r="P490" s="2"/>
    </row>
    <row r="491" spans="16:16" ht="12.75">
      <c r="P491" s="2"/>
    </row>
    <row r="492" spans="16:16" ht="12.75">
      <c r="P492" s="2"/>
    </row>
    <row r="493" spans="16:16" ht="12.75">
      <c r="P493" s="2"/>
    </row>
    <row r="494" spans="16:16" ht="12.75">
      <c r="P494" s="2"/>
    </row>
    <row r="495" spans="16:16" ht="12.75">
      <c r="P495" s="2"/>
    </row>
    <row r="496" spans="16:16" ht="12.75">
      <c r="P496" s="2"/>
    </row>
    <row r="497" spans="16:16" ht="12.75">
      <c r="P497" s="2"/>
    </row>
    <row r="498" spans="16:16" ht="12.75">
      <c r="P498" s="2"/>
    </row>
    <row r="499" spans="16:16" ht="12.75">
      <c r="P499" s="2"/>
    </row>
    <row r="500" spans="16:16" ht="12.75">
      <c r="P500" s="2"/>
    </row>
    <row r="501" spans="16:16" ht="12.75">
      <c r="P501" s="2"/>
    </row>
    <row r="502" spans="16:16" ht="12.75">
      <c r="P502" s="2"/>
    </row>
    <row r="503" spans="16:16" ht="12.75">
      <c r="P503" s="2"/>
    </row>
    <row r="504" spans="16:16" ht="12.75">
      <c r="P504" s="2"/>
    </row>
    <row r="505" spans="16:16" ht="12.75">
      <c r="P505" s="2"/>
    </row>
    <row r="506" spans="16:16" ht="12.75">
      <c r="P506" s="2"/>
    </row>
    <row r="507" spans="16:16" ht="12.75">
      <c r="P507" s="2"/>
    </row>
    <row r="508" spans="16:16" ht="12.75">
      <c r="P508" s="2"/>
    </row>
    <row r="509" spans="16:16" ht="12.75">
      <c r="P509" s="2"/>
    </row>
    <row r="510" spans="16:16" ht="12.75">
      <c r="P510" s="2"/>
    </row>
    <row r="511" spans="16:16" ht="12.75">
      <c r="P511" s="2"/>
    </row>
    <row r="512" spans="16:16" ht="12.75">
      <c r="P512" s="2"/>
    </row>
    <row r="513" spans="16:16" ht="12.75">
      <c r="P513" s="2"/>
    </row>
    <row r="514" spans="16:16" ht="12.75">
      <c r="P514" s="2"/>
    </row>
    <row r="515" spans="16:16" ht="12.75">
      <c r="P515" s="2"/>
    </row>
    <row r="516" spans="16:16" ht="12.75">
      <c r="P516" s="2"/>
    </row>
    <row r="517" spans="16:16" ht="12.75">
      <c r="P517" s="2"/>
    </row>
    <row r="518" spans="16:16" ht="12.75">
      <c r="P518" s="2"/>
    </row>
    <row r="519" spans="16:16" ht="12.75">
      <c r="P519" s="2"/>
    </row>
    <row r="520" spans="16:16" ht="12.75">
      <c r="P520" s="2"/>
    </row>
    <row r="521" spans="16:16" ht="12.75">
      <c r="P521" s="2"/>
    </row>
    <row r="522" spans="16:16" ht="12.75">
      <c r="P522" s="2"/>
    </row>
    <row r="523" spans="16:16" ht="12.75">
      <c r="P523" s="2"/>
    </row>
    <row r="524" spans="16:16" ht="12.75">
      <c r="P524" s="2"/>
    </row>
    <row r="525" spans="16:16" ht="12.75">
      <c r="P525" s="2"/>
    </row>
    <row r="526" spans="16:16" ht="12.75">
      <c r="P526" s="2"/>
    </row>
    <row r="527" spans="16:16" ht="12.75">
      <c r="P527" s="2"/>
    </row>
    <row r="528" spans="16:16" ht="12.75">
      <c r="P528" s="2"/>
    </row>
    <row r="529" spans="16:16" ht="12.75">
      <c r="P529" s="2"/>
    </row>
    <row r="530" spans="16:16" ht="12.75">
      <c r="P530" s="2"/>
    </row>
    <row r="531" spans="16:16" ht="12.75">
      <c r="P531" s="2"/>
    </row>
    <row r="532" spans="16:16" ht="12.75">
      <c r="P532" s="2"/>
    </row>
    <row r="533" spans="16:16" ht="12.75">
      <c r="P533" s="2"/>
    </row>
    <row r="534" spans="16:16" ht="12.75">
      <c r="P534" s="2"/>
    </row>
    <row r="535" spans="16:16" ht="12.75">
      <c r="P535" s="2"/>
    </row>
    <row r="536" spans="16:16" ht="12.75">
      <c r="P536" s="2"/>
    </row>
    <row r="537" spans="16:16" ht="12.75">
      <c r="P537" s="2"/>
    </row>
    <row r="538" spans="16:16" ht="12.75">
      <c r="P538" s="2"/>
    </row>
    <row r="539" spans="16:16" ht="12.75">
      <c r="P539" s="2"/>
    </row>
    <row r="540" spans="16:16" ht="12.75">
      <c r="P540" s="2"/>
    </row>
    <row r="541" spans="16:16" ht="12.75">
      <c r="P541" s="2"/>
    </row>
    <row r="542" spans="16:16" ht="12.75">
      <c r="P542" s="2"/>
    </row>
    <row r="543" spans="16:16" ht="12.75">
      <c r="P543" s="2"/>
    </row>
    <row r="544" spans="16:16" ht="12.75">
      <c r="P544" s="2"/>
    </row>
    <row r="545" spans="16:16" ht="12.75">
      <c r="P545" s="2"/>
    </row>
    <row r="546" spans="16:16" ht="12.75">
      <c r="P546" s="2"/>
    </row>
    <row r="547" spans="16:16" ht="12.75">
      <c r="P547" s="2"/>
    </row>
    <row r="548" spans="16:16" ht="12.75">
      <c r="P548" s="2"/>
    </row>
    <row r="549" spans="16:16" ht="12.75">
      <c r="P549" s="2"/>
    </row>
    <row r="550" spans="16:16" ht="12.75">
      <c r="P550" s="2"/>
    </row>
    <row r="551" spans="16:16" ht="12.75">
      <c r="P551" s="2"/>
    </row>
    <row r="552" spans="16:16" ht="12.75">
      <c r="P552" s="2"/>
    </row>
    <row r="553" spans="16:16" ht="12.75">
      <c r="P553" s="2"/>
    </row>
    <row r="554" spans="16:16" ht="12.75">
      <c r="P554" s="2"/>
    </row>
    <row r="555" spans="16:16" ht="12.75">
      <c r="P555" s="2"/>
    </row>
    <row r="556" spans="16:16" ht="12.75">
      <c r="P556" s="2"/>
    </row>
    <row r="557" spans="16:16" ht="12.75">
      <c r="P557" s="2"/>
    </row>
    <row r="558" spans="16:16" ht="12.75">
      <c r="P558" s="2"/>
    </row>
    <row r="559" spans="16:16" ht="12.75">
      <c r="P559" s="2"/>
    </row>
    <row r="560" spans="16:16" ht="12.75">
      <c r="P560" s="2"/>
    </row>
    <row r="561" spans="16:16" ht="12.75">
      <c r="P561" s="2"/>
    </row>
    <row r="562" spans="16:16" ht="12.75">
      <c r="P562" s="2"/>
    </row>
    <row r="563" spans="16:16" ht="12.75">
      <c r="P563" s="2"/>
    </row>
    <row r="564" spans="16:16" ht="12.75">
      <c r="P564" s="2"/>
    </row>
    <row r="565" spans="16:16" ht="12.75">
      <c r="P565" s="2"/>
    </row>
    <row r="566" spans="16:16" ht="12.75">
      <c r="P566" s="2"/>
    </row>
    <row r="567" spans="16:16" ht="12.75">
      <c r="P567" s="2"/>
    </row>
    <row r="568" spans="16:16" ht="12.75">
      <c r="P568" s="2"/>
    </row>
    <row r="569" spans="16:16" ht="12.75">
      <c r="P569" s="2"/>
    </row>
    <row r="570" spans="16:16" ht="12.75">
      <c r="P570" s="2"/>
    </row>
    <row r="571" spans="16:16" ht="12.75">
      <c r="P571" s="2"/>
    </row>
    <row r="572" spans="16:16" ht="12.75">
      <c r="P572" s="2"/>
    </row>
    <row r="573" spans="16:16" ht="12.75">
      <c r="P573" s="2"/>
    </row>
    <row r="574" spans="16:16" ht="12.75">
      <c r="P574" s="2"/>
    </row>
    <row r="575" spans="16:16" ht="12.75">
      <c r="P575" s="2"/>
    </row>
    <row r="576" spans="16:16" ht="12.75">
      <c r="P576" s="2"/>
    </row>
    <row r="577" spans="16:16" ht="12.75">
      <c r="P577" s="2"/>
    </row>
    <row r="578" spans="16:16" ht="12.75">
      <c r="P578" s="2"/>
    </row>
    <row r="579" spans="16:16" ht="12.75">
      <c r="P579" s="2"/>
    </row>
    <row r="580" spans="16:16" ht="12.75">
      <c r="P580" s="2"/>
    </row>
    <row r="581" spans="16:16" ht="12.75">
      <c r="P581" s="2"/>
    </row>
    <row r="582" spans="16:16" ht="12.75">
      <c r="P582" s="2"/>
    </row>
    <row r="583" spans="16:16" ht="12.75">
      <c r="P583" s="2"/>
    </row>
    <row r="584" spans="16:16" ht="12.75">
      <c r="P584" s="2"/>
    </row>
    <row r="585" spans="16:16" ht="12.75">
      <c r="P585" s="2"/>
    </row>
    <row r="586" spans="16:16" ht="12.75">
      <c r="P586" s="2"/>
    </row>
    <row r="587" spans="16:16" ht="12.75">
      <c r="P587" s="2"/>
    </row>
    <row r="588" spans="16:16" ht="12.75">
      <c r="P588" s="2"/>
    </row>
    <row r="589" spans="16:16" ht="12.75">
      <c r="P589" s="2"/>
    </row>
    <row r="590" spans="16:16" ht="12.75">
      <c r="P590" s="2"/>
    </row>
    <row r="591" spans="16:16" ht="12.75">
      <c r="P591" s="2"/>
    </row>
    <row r="592" spans="16:16" ht="12.75">
      <c r="P592" s="2"/>
    </row>
    <row r="593" spans="16:16" ht="12.75">
      <c r="P593" s="2"/>
    </row>
    <row r="594" spans="16:16" ht="12.75">
      <c r="P594" s="2"/>
    </row>
    <row r="595" spans="16:16" ht="12.75">
      <c r="P595" s="2"/>
    </row>
    <row r="596" spans="16:16" ht="12.75">
      <c r="P596" s="2"/>
    </row>
    <row r="597" spans="16:16" ht="12.75">
      <c r="P597" s="2"/>
    </row>
    <row r="598" spans="16:16" ht="12.75">
      <c r="P598" s="2"/>
    </row>
    <row r="599" spans="16:16" ht="12.75">
      <c r="P599" s="2"/>
    </row>
    <row r="600" spans="16:16" ht="12.75">
      <c r="P600" s="2"/>
    </row>
    <row r="601" spans="16:16" ht="12.75">
      <c r="P601" s="2"/>
    </row>
    <row r="602" spans="16:16" ht="12.75">
      <c r="P602" s="2"/>
    </row>
    <row r="603" spans="16:16" ht="12.75">
      <c r="P603" s="2"/>
    </row>
    <row r="604" spans="16:16" ht="12.75">
      <c r="P604" s="2"/>
    </row>
    <row r="605" spans="16:16" ht="12.75">
      <c r="P605" s="2"/>
    </row>
    <row r="606" spans="16:16" ht="12.75">
      <c r="P606" s="2"/>
    </row>
    <row r="607" spans="16:16" ht="12.75">
      <c r="P607" s="2"/>
    </row>
    <row r="608" spans="16:16" ht="12.75">
      <c r="P608" s="2"/>
    </row>
    <row r="609" spans="16:16" ht="12.75">
      <c r="P609" s="2"/>
    </row>
    <row r="610" spans="16:16" ht="12.75">
      <c r="P610" s="2"/>
    </row>
    <row r="611" spans="16:16" ht="12.75">
      <c r="P611" s="2"/>
    </row>
    <row r="612" spans="16:16" ht="12.75">
      <c r="P612" s="2"/>
    </row>
    <row r="613" spans="16:16" ht="12.75">
      <c r="P613" s="2"/>
    </row>
    <row r="614" spans="16:16" ht="12.75">
      <c r="P614" s="2"/>
    </row>
    <row r="615" spans="16:16" ht="12.75">
      <c r="P615" s="2"/>
    </row>
    <row r="616" spans="16:16" ht="12.75">
      <c r="P616" s="2"/>
    </row>
    <row r="617" spans="16:16" ht="12.75">
      <c r="P617" s="2"/>
    </row>
    <row r="618" spans="16:16" ht="12.75">
      <c r="P618" s="2"/>
    </row>
    <row r="619" spans="16:16" ht="12.75">
      <c r="P619" s="2"/>
    </row>
    <row r="620" spans="16:16" ht="12.75">
      <c r="P620" s="2"/>
    </row>
    <row r="621" spans="16:16" ht="12.75">
      <c r="P621" s="2"/>
    </row>
    <row r="622" spans="16:16" ht="12.75">
      <c r="P622" s="2"/>
    </row>
    <row r="623" spans="16:16" ht="12.75">
      <c r="P623" s="2"/>
    </row>
    <row r="624" spans="16:16" ht="12.75">
      <c r="P624" s="2"/>
    </row>
    <row r="625" spans="16:16" ht="12.75">
      <c r="P625" s="2"/>
    </row>
    <row r="626" spans="16:16" ht="12.75">
      <c r="P626" s="2"/>
    </row>
    <row r="627" spans="16:16" ht="12.75">
      <c r="P627" s="2"/>
    </row>
    <row r="628" spans="16:16" ht="12.75">
      <c r="P628" s="2"/>
    </row>
    <row r="629" spans="16:16" ht="12.75">
      <c r="P629" s="2"/>
    </row>
    <row r="630" spans="16:16" ht="12.75">
      <c r="P630" s="2"/>
    </row>
    <row r="631" spans="16:16" ht="12.75">
      <c r="P631" s="2"/>
    </row>
    <row r="632" spans="16:16" ht="12.75">
      <c r="P632" s="2"/>
    </row>
    <row r="633" spans="16:16" ht="12.75">
      <c r="P633" s="2"/>
    </row>
    <row r="634" spans="16:16" ht="12.75">
      <c r="P634" s="2"/>
    </row>
    <row r="635" spans="16:16" ht="12.75">
      <c r="P635" s="2"/>
    </row>
    <row r="636" spans="16:16" ht="12.75">
      <c r="P636" s="2"/>
    </row>
    <row r="637" spans="16:16" ht="12.75">
      <c r="P637" s="2"/>
    </row>
    <row r="638" spans="16:16" ht="12.75">
      <c r="P638" s="2"/>
    </row>
    <row r="639" spans="16:16" ht="12.75">
      <c r="P639" s="2"/>
    </row>
    <row r="640" spans="16:16" ht="12.75">
      <c r="P640" s="2"/>
    </row>
    <row r="641" spans="16:16" ht="12.75">
      <c r="P641" s="2"/>
    </row>
    <row r="642" spans="16:16" ht="12.75">
      <c r="P642" s="2"/>
    </row>
    <row r="643" spans="16:16" ht="12.75">
      <c r="P643" s="2"/>
    </row>
    <row r="644" spans="16:16" ht="12.75">
      <c r="P644" s="2"/>
    </row>
    <row r="645" spans="16:16" ht="12.75">
      <c r="P645" s="2"/>
    </row>
    <row r="646" spans="16:16" ht="12.75">
      <c r="P646" s="2"/>
    </row>
    <row r="647" spans="16:16" ht="12.75">
      <c r="P647" s="2"/>
    </row>
    <row r="648" spans="16:16" ht="12.75">
      <c r="P648" s="2"/>
    </row>
    <row r="649" spans="16:16" ht="12.75">
      <c r="P649" s="2"/>
    </row>
    <row r="650" spans="16:16" ht="12.75">
      <c r="P650" s="2"/>
    </row>
    <row r="651" spans="16:16" ht="12.75">
      <c r="P651" s="2"/>
    </row>
    <row r="652" spans="16:16" ht="12.75">
      <c r="P652" s="2"/>
    </row>
    <row r="653" spans="16:16" ht="12.75">
      <c r="P653" s="2"/>
    </row>
    <row r="654" spans="16:16" ht="12.75">
      <c r="P654" s="2"/>
    </row>
    <row r="655" spans="16:16" ht="12.75">
      <c r="P655" s="2"/>
    </row>
    <row r="656" spans="16:16" ht="12.75">
      <c r="P656" s="2"/>
    </row>
    <row r="657" spans="16:16" ht="12.75">
      <c r="P657" s="2"/>
    </row>
    <row r="658" spans="16:16" ht="12.75">
      <c r="P658" s="2"/>
    </row>
    <row r="659" spans="16:16" ht="12.75">
      <c r="P659" s="2"/>
    </row>
    <row r="660" spans="16:16" ht="12.75">
      <c r="P660" s="2"/>
    </row>
    <row r="661" spans="16:16" ht="12.75">
      <c r="P661" s="2"/>
    </row>
    <row r="662" spans="16:16" ht="12.75">
      <c r="P662" s="2"/>
    </row>
    <row r="663" spans="16:16" ht="12.75">
      <c r="P663" s="2"/>
    </row>
    <row r="664" spans="16:16" ht="12.75">
      <c r="P664" s="2"/>
    </row>
    <row r="665" spans="16:16" ht="12.75">
      <c r="P665" s="2"/>
    </row>
    <row r="666" spans="16:16" ht="12.75">
      <c r="P666" s="2"/>
    </row>
    <row r="667" spans="16:16" ht="12.75">
      <c r="P667" s="2"/>
    </row>
    <row r="668" spans="16:16" ht="12.75">
      <c r="P668" s="2"/>
    </row>
    <row r="669" spans="16:16" ht="12.75">
      <c r="P669" s="2"/>
    </row>
    <row r="670" spans="16:16" ht="12.75">
      <c r="P670" s="2"/>
    </row>
    <row r="671" spans="16:16" ht="12.75">
      <c r="P671" s="2"/>
    </row>
    <row r="672" spans="16:16" ht="12.75">
      <c r="P672" s="2"/>
    </row>
    <row r="673" spans="16:16" ht="12.75">
      <c r="P673" s="2"/>
    </row>
    <row r="674" spans="16:16" ht="12.75">
      <c r="P674" s="2"/>
    </row>
    <row r="675" spans="16:16" ht="12.75">
      <c r="P675" s="2"/>
    </row>
    <row r="676" spans="16:16" ht="12.75">
      <c r="P676" s="2"/>
    </row>
    <row r="677" spans="16:16" ht="12.75">
      <c r="P677" s="2"/>
    </row>
    <row r="678" spans="16:16" ht="12.75">
      <c r="P678" s="2"/>
    </row>
    <row r="679" spans="16:16" ht="12.75">
      <c r="P679" s="2"/>
    </row>
    <row r="680" spans="16:16" ht="12.75">
      <c r="P680" s="2"/>
    </row>
    <row r="681" spans="16:16" ht="12.75">
      <c r="P681" s="2"/>
    </row>
    <row r="682" spans="16:16" ht="12.75">
      <c r="P682" s="2"/>
    </row>
    <row r="683" spans="16:16" ht="12.75">
      <c r="P683" s="2"/>
    </row>
    <row r="684" spans="16:16" ht="12.75">
      <c r="P684" s="2"/>
    </row>
    <row r="685" spans="16:16" ht="12.75">
      <c r="P685" s="2"/>
    </row>
    <row r="686" spans="16:16" ht="12.75">
      <c r="P686" s="2"/>
    </row>
    <row r="687" spans="16:16" ht="12.75">
      <c r="P687" s="2"/>
    </row>
    <row r="688" spans="16:16" ht="12.75">
      <c r="P688" s="2"/>
    </row>
    <row r="689" spans="16:16" ht="12.75">
      <c r="P689" s="2"/>
    </row>
    <row r="690" spans="16:16" ht="12.75">
      <c r="P690" s="2"/>
    </row>
    <row r="691" spans="16:16" ht="12.75">
      <c r="P691" s="2"/>
    </row>
    <row r="692" spans="16:16" ht="12.75">
      <c r="P692" s="2"/>
    </row>
    <row r="693" spans="16:16" ht="12.75">
      <c r="P693" s="2"/>
    </row>
    <row r="694" spans="16:16" ht="12.75">
      <c r="P694" s="2"/>
    </row>
    <row r="695" spans="16:16" ht="12.75">
      <c r="P695" s="2"/>
    </row>
    <row r="696" spans="16:16" ht="12.75">
      <c r="P696" s="2"/>
    </row>
    <row r="697" spans="16:16" ht="12.75">
      <c r="P697" s="2"/>
    </row>
    <row r="698" spans="16:16" ht="12.75">
      <c r="P698" s="2"/>
    </row>
    <row r="699" spans="16:16" ht="12.75">
      <c r="P699" s="2"/>
    </row>
    <row r="700" spans="16:16" ht="12.75">
      <c r="P700" s="2"/>
    </row>
    <row r="701" spans="16:16" ht="12.75">
      <c r="P701" s="2"/>
    </row>
    <row r="702" spans="16:16" ht="12.75">
      <c r="P702" s="2"/>
    </row>
    <row r="703" spans="16:16" ht="12.75">
      <c r="P703" s="2"/>
    </row>
    <row r="704" spans="16:16" ht="12.75">
      <c r="P704" s="2"/>
    </row>
    <row r="705" spans="16:16" ht="12.75">
      <c r="P705" s="2"/>
    </row>
    <row r="706" spans="16:16" ht="12.75">
      <c r="P706" s="2"/>
    </row>
    <row r="707" spans="16:16" ht="12.75">
      <c r="P707" s="2"/>
    </row>
    <row r="708" spans="16:16" ht="12.75">
      <c r="P708" s="2"/>
    </row>
    <row r="709" spans="16:16" ht="12.75">
      <c r="P709" s="2"/>
    </row>
    <row r="710" spans="16:16" ht="12.75">
      <c r="P710" s="2"/>
    </row>
    <row r="711" spans="16:16" ht="12.75">
      <c r="P711" s="2"/>
    </row>
    <row r="712" spans="16:16" ht="12.75">
      <c r="P712" s="2"/>
    </row>
    <row r="713" spans="16:16" ht="12.75">
      <c r="P713" s="2"/>
    </row>
    <row r="714" spans="16:16" ht="12.75">
      <c r="P714" s="2"/>
    </row>
    <row r="715" spans="16:16" ht="12.75">
      <c r="P715" s="2"/>
    </row>
    <row r="716" spans="16:16" ht="12.75">
      <c r="P716" s="2"/>
    </row>
    <row r="717" spans="16:16" ht="12.75">
      <c r="P717" s="2"/>
    </row>
    <row r="718" spans="16:16" ht="12.75">
      <c r="P718" s="2"/>
    </row>
    <row r="719" spans="16:16" ht="12.75">
      <c r="P719" s="2"/>
    </row>
    <row r="720" spans="16:16" ht="12.75">
      <c r="P720" s="2"/>
    </row>
    <row r="721" spans="16:16" ht="12.75">
      <c r="P721" s="2"/>
    </row>
    <row r="722" spans="16:16" ht="12.75">
      <c r="P722" s="2"/>
    </row>
    <row r="723" spans="16:16" ht="12.75">
      <c r="P723" s="2"/>
    </row>
    <row r="724" spans="16:16" ht="12.75">
      <c r="P724" s="2"/>
    </row>
    <row r="725" spans="16:16" ht="12.75">
      <c r="P725" s="2"/>
    </row>
    <row r="726" spans="16:16" ht="12.75">
      <c r="P726" s="2"/>
    </row>
    <row r="727" spans="16:16" ht="12.75">
      <c r="P727" s="2"/>
    </row>
    <row r="728" spans="16:16" ht="12.75">
      <c r="P728" s="2"/>
    </row>
    <row r="729" spans="16:16" ht="12.75">
      <c r="P729" s="2"/>
    </row>
    <row r="730" spans="16:16" ht="12.75">
      <c r="P730" s="2"/>
    </row>
    <row r="731" spans="16:16" ht="12.75">
      <c r="P731" s="2"/>
    </row>
    <row r="732" spans="16:16" ht="12.75">
      <c r="P732" s="2"/>
    </row>
    <row r="733" spans="16:16" ht="12.75">
      <c r="P733" s="2"/>
    </row>
    <row r="734" spans="16:16" ht="12.75">
      <c r="P734" s="2"/>
    </row>
    <row r="735" spans="16:16" ht="12.75">
      <c r="P735" s="2"/>
    </row>
    <row r="736" spans="16:16" ht="12.75">
      <c r="P736" s="2"/>
    </row>
    <row r="737" spans="16:16" ht="12.75">
      <c r="P737" s="2"/>
    </row>
    <row r="738" spans="16:16" ht="12.75">
      <c r="P738" s="2"/>
    </row>
    <row r="739" spans="16:16" ht="12.75">
      <c r="P739" s="2"/>
    </row>
    <row r="740" spans="16:16" ht="12.75">
      <c r="P740" s="2"/>
    </row>
    <row r="741" spans="16:16" ht="12.75">
      <c r="P741" s="2"/>
    </row>
    <row r="742" spans="16:16" ht="12.75">
      <c r="P742" s="2"/>
    </row>
    <row r="743" spans="16:16" ht="12.75">
      <c r="P743" s="2"/>
    </row>
    <row r="744" spans="16:16" ht="12.75">
      <c r="P744" s="2"/>
    </row>
    <row r="745" spans="16:16" ht="12.75">
      <c r="P745" s="2"/>
    </row>
    <row r="746" spans="16:16" ht="12.75">
      <c r="P746" s="2"/>
    </row>
    <row r="747" spans="16:16" ht="12.75">
      <c r="P747" s="2"/>
    </row>
    <row r="748" spans="16:16" ht="12.75">
      <c r="P748" s="2"/>
    </row>
    <row r="749" spans="16:16" ht="12.75">
      <c r="P749" s="2"/>
    </row>
    <row r="750" spans="16:16" ht="12.75">
      <c r="P750" s="2"/>
    </row>
    <row r="751" spans="16:16" ht="12.75">
      <c r="P751" s="2"/>
    </row>
    <row r="752" spans="16:16" ht="12.75">
      <c r="P752" s="2"/>
    </row>
    <row r="753" spans="16:16" ht="12.75">
      <c r="P753" s="2"/>
    </row>
    <row r="754" spans="16:16" ht="12.75">
      <c r="P754" s="2"/>
    </row>
    <row r="755" spans="16:16" ht="12.75">
      <c r="P755" s="2"/>
    </row>
    <row r="756" spans="16:16" ht="12.75">
      <c r="P756" s="2"/>
    </row>
    <row r="757" spans="16:16" ht="12.75">
      <c r="P757" s="2"/>
    </row>
    <row r="758" spans="16:16" ht="12.75">
      <c r="P758" s="2"/>
    </row>
    <row r="759" spans="16:16" ht="12.75">
      <c r="P759" s="2"/>
    </row>
    <row r="760" spans="16:16" ht="12.75">
      <c r="P760" s="2"/>
    </row>
    <row r="761" spans="16:16" ht="12.75">
      <c r="P761" s="2"/>
    </row>
    <row r="762" spans="16:16" ht="12.75">
      <c r="P762" s="2"/>
    </row>
    <row r="763" spans="16:16" ht="12.75">
      <c r="P763" s="2"/>
    </row>
    <row r="764" spans="16:16" ht="12.75">
      <c r="P764" s="2"/>
    </row>
    <row r="765" spans="16:16" ht="12.75">
      <c r="P765" s="2"/>
    </row>
    <row r="766" spans="16:16" ht="12.75">
      <c r="P766" s="2"/>
    </row>
    <row r="767" spans="16:16" ht="12.75">
      <c r="P767" s="2"/>
    </row>
    <row r="768" spans="16:16" ht="12.75">
      <c r="P768" s="2"/>
    </row>
    <row r="769" spans="16:16" ht="12.75">
      <c r="P769" s="2"/>
    </row>
    <row r="770" spans="16:16" ht="12.75">
      <c r="P770" s="2"/>
    </row>
    <row r="771" spans="16:16" ht="12.75">
      <c r="P771" s="2"/>
    </row>
    <row r="772" spans="16:16" ht="12.75">
      <c r="P772" s="2"/>
    </row>
    <row r="773" spans="16:16" ht="12.75">
      <c r="P773" s="2"/>
    </row>
    <row r="774" spans="16:16" ht="12.75">
      <c r="P774" s="2"/>
    </row>
    <row r="775" spans="16:16" ht="12.75">
      <c r="P775" s="2"/>
    </row>
    <row r="776" spans="16:16" ht="12.75">
      <c r="P776" s="2"/>
    </row>
    <row r="777" spans="16:16" ht="12.75">
      <c r="P777" s="2"/>
    </row>
    <row r="778" spans="16:16" ht="12.75">
      <c r="P778" s="2"/>
    </row>
    <row r="779" spans="16:16" ht="12.75">
      <c r="P779" s="2"/>
    </row>
    <row r="780" spans="16:16" ht="12.75">
      <c r="P780" s="2"/>
    </row>
    <row r="781" spans="16:16" ht="12.75">
      <c r="P781" s="2"/>
    </row>
    <row r="782" spans="16:16" ht="12.75">
      <c r="P782" s="2"/>
    </row>
    <row r="783" spans="16:16" ht="12.75">
      <c r="P783" s="2"/>
    </row>
    <row r="784" spans="16:16" ht="12.75">
      <c r="P784" s="2"/>
    </row>
    <row r="785" spans="16:16" ht="12.75">
      <c r="P785" s="2"/>
    </row>
    <row r="786" spans="16:16" ht="12.75">
      <c r="P786" s="2"/>
    </row>
    <row r="787" spans="16:16" ht="12.75">
      <c r="P787" s="2"/>
    </row>
    <row r="788" spans="16:16" ht="12.75">
      <c r="P788" s="2"/>
    </row>
    <row r="789" spans="16:16" ht="12.75">
      <c r="P789" s="2"/>
    </row>
    <row r="790" spans="16:16" ht="12.75">
      <c r="P790" s="2"/>
    </row>
    <row r="791" spans="16:16" ht="12.75">
      <c r="P791" s="2"/>
    </row>
    <row r="792" spans="16:16" ht="12.75">
      <c r="P792" s="2"/>
    </row>
    <row r="793" spans="16:16" ht="12.75">
      <c r="P793" s="2"/>
    </row>
    <row r="794" spans="16:16" ht="12.75">
      <c r="P794" s="2"/>
    </row>
    <row r="795" spans="16:16" ht="12.75">
      <c r="P795" s="2"/>
    </row>
    <row r="796" spans="16:16" ht="12.75">
      <c r="P796" s="2"/>
    </row>
    <row r="797" spans="16:16" ht="12.75">
      <c r="P797" s="2"/>
    </row>
    <row r="798" spans="16:16" ht="12.75">
      <c r="P798" s="2"/>
    </row>
    <row r="799" spans="16:16" ht="12.75">
      <c r="P799" s="2"/>
    </row>
    <row r="800" spans="16:16" ht="12.75">
      <c r="P800" s="2"/>
    </row>
    <row r="801" spans="16:16" ht="12.75">
      <c r="P801" s="2"/>
    </row>
    <row r="802" spans="16:16" ht="12.75">
      <c r="P802" s="2"/>
    </row>
    <row r="803" spans="16:16" ht="12.75">
      <c r="P803" s="2"/>
    </row>
    <row r="804" spans="16:16" ht="12.75">
      <c r="P804" s="2"/>
    </row>
    <row r="805" spans="16:16" ht="12.75">
      <c r="P805" s="2"/>
    </row>
    <row r="806" spans="16:16" ht="12.75">
      <c r="P806" s="2"/>
    </row>
    <row r="807" spans="16:16" ht="12.75">
      <c r="P807" s="2"/>
    </row>
    <row r="808" spans="16:16" ht="12.75">
      <c r="P808" s="2"/>
    </row>
    <row r="809" spans="16:16" ht="12.75">
      <c r="P809" s="2"/>
    </row>
    <row r="810" spans="16:16" ht="12.75">
      <c r="P810" s="2"/>
    </row>
    <row r="811" spans="16:16" ht="12.75">
      <c r="P811" s="2"/>
    </row>
    <row r="812" spans="16:16" ht="12.75">
      <c r="P812" s="2"/>
    </row>
    <row r="813" spans="16:16" ht="12.75">
      <c r="P813" s="2"/>
    </row>
    <row r="814" spans="16:16" ht="12.75">
      <c r="P814" s="2"/>
    </row>
    <row r="815" spans="16:16" ht="12.75">
      <c r="P815" s="2"/>
    </row>
    <row r="816" spans="16:16" ht="12.75">
      <c r="P816" s="2"/>
    </row>
    <row r="817" spans="16:16" ht="12.75">
      <c r="P817" s="2"/>
    </row>
    <row r="818" spans="16:16" ht="12.75">
      <c r="P818" s="2"/>
    </row>
    <row r="819" spans="16:16" ht="12.75">
      <c r="P819" s="2"/>
    </row>
    <row r="820" spans="16:16" ht="12.75">
      <c r="P820" s="2"/>
    </row>
    <row r="821" spans="16:16" ht="12.75">
      <c r="P821" s="2"/>
    </row>
    <row r="822" spans="16:16" ht="12.75">
      <c r="P822" s="2"/>
    </row>
    <row r="823" spans="16:16" ht="12.75">
      <c r="P823" s="2"/>
    </row>
    <row r="824" spans="16:16" ht="12.75">
      <c r="P824" s="2"/>
    </row>
    <row r="825" spans="16:16" ht="12.75">
      <c r="P825" s="2"/>
    </row>
    <row r="826" spans="16:16" ht="12.75">
      <c r="P826" s="2"/>
    </row>
    <row r="827" spans="16:16" ht="12.75">
      <c r="P827" s="2"/>
    </row>
    <row r="828" spans="16:16" ht="12.75">
      <c r="P828" s="2"/>
    </row>
    <row r="829" spans="16:16" ht="12.75">
      <c r="P829" s="2"/>
    </row>
    <row r="830" spans="16:16" ht="12.75">
      <c r="P830" s="2"/>
    </row>
    <row r="831" spans="16:16" ht="12.75">
      <c r="P831" s="2"/>
    </row>
    <row r="832" spans="16:16" ht="12.75">
      <c r="P832" s="2"/>
    </row>
    <row r="833" spans="16:16" ht="12.75">
      <c r="P833" s="2"/>
    </row>
    <row r="834" spans="16:16" ht="12.75">
      <c r="P834" s="2"/>
    </row>
    <row r="835" spans="16:16" ht="12.75">
      <c r="P835" s="2"/>
    </row>
    <row r="836" spans="16:16" ht="12.75">
      <c r="P836" s="2"/>
    </row>
    <row r="837" spans="16:16" ht="12.75">
      <c r="P837" s="2"/>
    </row>
    <row r="838" spans="16:16" ht="12.75">
      <c r="P838" s="2"/>
    </row>
    <row r="839" spans="16:16" ht="12.75">
      <c r="P839" s="2"/>
    </row>
    <row r="840" spans="16:16" ht="12.75">
      <c r="P840" s="2"/>
    </row>
    <row r="841" spans="16:16" ht="12.75">
      <c r="P841" s="2"/>
    </row>
    <row r="842" spans="16:16" ht="12.75">
      <c r="P842" s="2"/>
    </row>
    <row r="843" spans="16:16" ht="12.75">
      <c r="P843" s="2"/>
    </row>
    <row r="844" spans="16:16" ht="12.75">
      <c r="P844" s="2"/>
    </row>
    <row r="845" spans="16:16" ht="12.75">
      <c r="P845" s="2"/>
    </row>
    <row r="846" spans="16:16" ht="12.75">
      <c r="P846" s="2"/>
    </row>
    <row r="847" spans="16:16" ht="12.75">
      <c r="P847" s="2"/>
    </row>
    <row r="848" spans="16:16" ht="12.75">
      <c r="P848" s="2"/>
    </row>
    <row r="849" spans="16:16" ht="12.75">
      <c r="P849" s="2"/>
    </row>
    <row r="850" spans="16:16" ht="12.75">
      <c r="P850" s="2"/>
    </row>
    <row r="851" spans="16:16" ht="12.75">
      <c r="P851" s="2"/>
    </row>
    <row r="852" spans="16:16" ht="12.75">
      <c r="P852" s="2"/>
    </row>
    <row r="853" spans="16:16" ht="12.75">
      <c r="P853" s="2"/>
    </row>
    <row r="854" spans="16:16" ht="12.75">
      <c r="P854" s="2"/>
    </row>
    <row r="855" spans="16:16" ht="12.75">
      <c r="P855" s="2"/>
    </row>
    <row r="856" spans="16:16" ht="12.75">
      <c r="P856" s="2"/>
    </row>
    <row r="857" spans="16:16" ht="12.75">
      <c r="P857" s="2"/>
    </row>
    <row r="858" spans="16:16" ht="12.75">
      <c r="P858" s="2"/>
    </row>
    <row r="859" spans="16:16" ht="12.75">
      <c r="P859" s="2"/>
    </row>
    <row r="860" spans="16:16" ht="12.75">
      <c r="P860" s="2"/>
    </row>
    <row r="861" spans="16:16" ht="12.75">
      <c r="P861" s="2"/>
    </row>
    <row r="862" spans="16:16" ht="12.75">
      <c r="P862" s="2"/>
    </row>
    <row r="863" spans="16:16" ht="12.75">
      <c r="P863" s="2"/>
    </row>
    <row r="864" spans="16:16" ht="12.75">
      <c r="P864" s="2"/>
    </row>
    <row r="865" spans="16:16" ht="12.75">
      <c r="P865" s="2"/>
    </row>
    <row r="866" spans="16:16" ht="12.75">
      <c r="P866" s="2"/>
    </row>
    <row r="867" spans="16:16" ht="12.75">
      <c r="P867" s="2"/>
    </row>
    <row r="868" spans="16:16" ht="12.75">
      <c r="P868" s="2"/>
    </row>
    <row r="869" spans="16:16" ht="12.75">
      <c r="P869" s="2"/>
    </row>
    <row r="870" spans="16:16" ht="12.75">
      <c r="P870" s="2"/>
    </row>
    <row r="871" spans="16:16" ht="12.75">
      <c r="P871" s="2"/>
    </row>
    <row r="872" spans="16:16" ht="12.75">
      <c r="P872" s="2"/>
    </row>
    <row r="873" spans="16:16" ht="12.75">
      <c r="P873" s="2"/>
    </row>
    <row r="874" spans="16:16" ht="12.75">
      <c r="P874" s="2"/>
    </row>
    <row r="875" spans="16:16" ht="12.75">
      <c r="P875" s="2"/>
    </row>
    <row r="876" spans="16:16" ht="12.75">
      <c r="P876" s="2"/>
    </row>
    <row r="877" spans="16:16" ht="12.75">
      <c r="P877" s="2"/>
    </row>
    <row r="878" spans="16:16" ht="12.75">
      <c r="P878" s="2"/>
    </row>
    <row r="879" spans="16:16" ht="12.75">
      <c r="P879" s="2"/>
    </row>
    <row r="880" spans="16:16" ht="12.75">
      <c r="P880" s="2"/>
    </row>
    <row r="881" spans="16:16" ht="12.75">
      <c r="P881" s="2"/>
    </row>
    <row r="882" spans="16:16" ht="12.75">
      <c r="P882" s="2"/>
    </row>
    <row r="883" spans="16:16" ht="12.75">
      <c r="P883" s="2"/>
    </row>
    <row r="884" spans="16:16" ht="12.75">
      <c r="P884" s="2"/>
    </row>
    <row r="885" spans="16:16" ht="12.75">
      <c r="P885" s="2"/>
    </row>
    <row r="886" spans="16:16" ht="12.75">
      <c r="P886" s="2"/>
    </row>
    <row r="887" spans="16:16" ht="12.75">
      <c r="P887" s="2"/>
    </row>
    <row r="888" spans="16:16" ht="12.75">
      <c r="P888" s="2"/>
    </row>
    <row r="889" spans="16:16" ht="12.75">
      <c r="P889" s="2"/>
    </row>
    <row r="890" spans="16:16" ht="12.75">
      <c r="P890" s="2"/>
    </row>
    <row r="891" spans="16:16" ht="12.75">
      <c r="P891" s="2"/>
    </row>
    <row r="892" spans="16:16" ht="12.75">
      <c r="P892" s="2"/>
    </row>
    <row r="893" spans="16:16" ht="12.75">
      <c r="P893" s="2"/>
    </row>
    <row r="894" spans="16:16" ht="12.75">
      <c r="P894" s="2"/>
    </row>
    <row r="895" spans="16:16" ht="12.75">
      <c r="P895" s="2"/>
    </row>
    <row r="896" spans="16:16" ht="12.75">
      <c r="P896" s="2"/>
    </row>
    <row r="897" spans="16:16" ht="12.75">
      <c r="P897" s="2"/>
    </row>
    <row r="898" spans="16:16" ht="12.75">
      <c r="P898" s="2"/>
    </row>
    <row r="899" spans="16:16" ht="12.75">
      <c r="P899" s="2"/>
    </row>
    <row r="900" spans="16:16" ht="12.75">
      <c r="P900" s="2"/>
    </row>
    <row r="901" spans="16:16" ht="12.75">
      <c r="P901" s="2"/>
    </row>
    <row r="902" spans="16:16" ht="12.75">
      <c r="P902" s="2"/>
    </row>
    <row r="903" spans="16:16" ht="12.75">
      <c r="P903" s="2"/>
    </row>
    <row r="904" spans="16:16" ht="12.75">
      <c r="P904" s="2"/>
    </row>
    <row r="905" spans="16:16" ht="12.75">
      <c r="P905" s="2"/>
    </row>
    <row r="906" spans="16:16" ht="12.75">
      <c r="P906" s="2"/>
    </row>
    <row r="907" spans="16:16" ht="12.75">
      <c r="P907" s="2"/>
    </row>
    <row r="908" spans="16:16" ht="12.75">
      <c r="P908" s="2"/>
    </row>
    <row r="909" spans="16:16" ht="12.75">
      <c r="P909" s="2"/>
    </row>
    <row r="910" spans="16:16" ht="12.75">
      <c r="P910" s="2"/>
    </row>
    <row r="911" spans="16:16" ht="12.75">
      <c r="P911" s="2"/>
    </row>
    <row r="912" spans="16:16" ht="12.75">
      <c r="P912" s="2"/>
    </row>
    <row r="913" spans="16:16" ht="12.75">
      <c r="P913" s="2"/>
    </row>
    <row r="914" spans="16:16" ht="12.75">
      <c r="P914" s="2"/>
    </row>
    <row r="915" spans="16:16" ht="12.75">
      <c r="P915" s="2"/>
    </row>
    <row r="916" spans="16:16" ht="12.75">
      <c r="P916" s="2"/>
    </row>
    <row r="917" spans="16:16" ht="12.75">
      <c r="P917" s="2"/>
    </row>
    <row r="918" spans="16:16" ht="12.75">
      <c r="P918" s="2"/>
    </row>
    <row r="919" spans="16:16" ht="12.75">
      <c r="P919" s="2"/>
    </row>
    <row r="920" spans="16:16" ht="12.75">
      <c r="P920" s="2"/>
    </row>
  </sheetData>
  <mergeCells count="62">
    <mergeCell ref="D54:G54"/>
    <mergeCell ref="D49:G49"/>
    <mergeCell ref="D50:G50"/>
    <mergeCell ref="D51:G51"/>
    <mergeCell ref="D52:G52"/>
    <mergeCell ref="D53:G53"/>
    <mergeCell ref="D44:G44"/>
    <mergeCell ref="D45:G45"/>
    <mergeCell ref="D46:G46"/>
    <mergeCell ref="D47:G47"/>
    <mergeCell ref="D48:G48"/>
    <mergeCell ref="D38:G38"/>
    <mergeCell ref="D39:G39"/>
    <mergeCell ref="D40:G40"/>
    <mergeCell ref="D41:G41"/>
    <mergeCell ref="D43:G43"/>
    <mergeCell ref="D33:G33"/>
    <mergeCell ref="D34:G34"/>
    <mergeCell ref="D35:G35"/>
    <mergeCell ref="D36:G36"/>
    <mergeCell ref="D37:G37"/>
    <mergeCell ref="D28:G28"/>
    <mergeCell ref="D29:G29"/>
    <mergeCell ref="D30:G30"/>
    <mergeCell ref="D31:G31"/>
    <mergeCell ref="D32:G32"/>
    <mergeCell ref="D23:G23"/>
    <mergeCell ref="D24:G24"/>
    <mergeCell ref="D25:G25"/>
    <mergeCell ref="D26:G26"/>
    <mergeCell ref="D27:G27"/>
    <mergeCell ref="S17:S18"/>
    <mergeCell ref="D17:G19"/>
    <mergeCell ref="D20:G20"/>
    <mergeCell ref="D21:G21"/>
    <mergeCell ref="D22:G22"/>
    <mergeCell ref="A11:A12"/>
    <mergeCell ref="D16:G16"/>
    <mergeCell ref="P17:P18"/>
    <mergeCell ref="Q17:Q18"/>
    <mergeCell ref="R17:R18"/>
    <mergeCell ref="A1:S1"/>
    <mergeCell ref="A3:M3"/>
    <mergeCell ref="B5:B7"/>
    <mergeCell ref="C5:C7"/>
    <mergeCell ref="D5:D7"/>
    <mergeCell ref="E5:E7"/>
    <mergeCell ref="F6:P6"/>
    <mergeCell ref="A5:A7"/>
    <mergeCell ref="D67:G67"/>
    <mergeCell ref="D55:G55"/>
    <mergeCell ref="D56:G56"/>
    <mergeCell ref="D57:G57"/>
    <mergeCell ref="D58:G58"/>
    <mergeCell ref="D59:G59"/>
    <mergeCell ref="D60:G60"/>
    <mergeCell ref="D61:G61"/>
    <mergeCell ref="D62:G62"/>
    <mergeCell ref="D63:G63"/>
    <mergeCell ref="D64:G64"/>
    <mergeCell ref="D65:G65"/>
    <mergeCell ref="D66:G66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U985"/>
  <sheetViews>
    <sheetView workbookViewId="0">
      <pane ySplit="8" topLeftCell="A9" activePane="bottomLeft" state="frozen"/>
      <selection sqref="A1:M2"/>
      <selection pane="bottomLeft" sqref="A1:M2"/>
    </sheetView>
  </sheetViews>
  <sheetFormatPr defaultColWidth="12.5703125" defaultRowHeight="15.75" customHeight="1"/>
  <cols>
    <col min="1" max="1" width="4.7109375" customWidth="1"/>
    <col min="2" max="2" width="5.140625" customWidth="1"/>
    <col min="3" max="3" width="5.42578125" customWidth="1"/>
    <col min="4" max="4" width="27.28515625" customWidth="1"/>
    <col min="5" max="5" width="18.7109375" customWidth="1"/>
    <col min="7" max="7" width="17" customWidth="1"/>
    <col min="9" max="9" width="8.5703125" customWidth="1"/>
    <col min="10" max="10" width="13.28515625" customWidth="1"/>
    <col min="14" max="14" width="10.140625" customWidth="1"/>
    <col min="15" max="15" width="15.42578125" customWidth="1"/>
    <col min="16" max="16" width="18.85546875" customWidth="1"/>
    <col min="18" max="18" width="15.5703125" customWidth="1"/>
    <col min="19" max="19" width="12.85546875" customWidth="1"/>
    <col min="20" max="20" width="11.42578125" customWidth="1"/>
    <col min="21" max="21" width="18.42578125" customWidth="1"/>
    <col min="22" max="22" width="14.140625" customWidth="1"/>
    <col min="23" max="23" width="15.42578125" customWidth="1"/>
    <col min="24" max="24" width="43.140625" customWidth="1"/>
    <col min="25" max="26" width="8.28515625" customWidth="1"/>
  </cols>
  <sheetData>
    <row r="1" spans="1:47" ht="15">
      <c r="A1" s="907" t="s">
        <v>0</v>
      </c>
      <c r="B1" s="865"/>
      <c r="C1" s="865"/>
      <c r="D1" s="865"/>
      <c r="E1" s="865"/>
      <c r="F1" s="865"/>
      <c r="G1" s="865"/>
      <c r="H1" s="865"/>
      <c r="I1" s="865"/>
      <c r="J1" s="865"/>
      <c r="K1" s="865"/>
      <c r="L1" s="865"/>
      <c r="M1" s="865"/>
      <c r="N1" s="363"/>
      <c r="O1" s="363"/>
      <c r="P1" s="364"/>
      <c r="Q1" s="365"/>
      <c r="R1" s="365"/>
      <c r="S1" s="365"/>
      <c r="T1" s="365"/>
      <c r="U1" s="366"/>
      <c r="V1" s="367"/>
      <c r="W1" s="367"/>
      <c r="X1" s="368">
        <f ca="1">X2-E8</f>
        <v>-7417746.4999999031</v>
      </c>
      <c r="Y1" s="367"/>
      <c r="Z1" s="367"/>
      <c r="AA1" s="367"/>
      <c r="AB1" s="367"/>
      <c r="AC1" s="367"/>
      <c r="AD1" s="367"/>
      <c r="AE1" s="367"/>
      <c r="AF1" s="367"/>
      <c r="AG1" s="367"/>
      <c r="AH1" s="367"/>
      <c r="AI1" s="367"/>
      <c r="AJ1" s="367"/>
      <c r="AK1" s="367"/>
      <c r="AL1" s="367"/>
      <c r="AM1" s="367"/>
      <c r="AN1" s="367"/>
      <c r="AO1" s="367"/>
      <c r="AP1" s="367"/>
      <c r="AQ1" s="367"/>
      <c r="AR1" s="367"/>
      <c r="AS1" s="367"/>
      <c r="AT1" s="368"/>
      <c r="AU1" s="367"/>
    </row>
    <row r="2" spans="1:47" ht="15">
      <c r="A2" s="908" t="s">
        <v>201</v>
      </c>
      <c r="B2" s="865"/>
      <c r="C2" s="865"/>
      <c r="D2" s="865"/>
      <c r="E2" s="865"/>
      <c r="F2" s="865"/>
      <c r="G2" s="865"/>
      <c r="H2" s="865"/>
      <c r="I2" s="865"/>
      <c r="J2" s="865"/>
      <c r="K2" s="865"/>
      <c r="L2" s="865"/>
      <c r="M2" s="865"/>
      <c r="N2" s="363"/>
      <c r="O2" s="363"/>
      <c r="P2" s="364"/>
      <c r="Q2" s="365"/>
      <c r="R2" s="369">
        <v>100</v>
      </c>
      <c r="S2" s="369">
        <v>123</v>
      </c>
      <c r="T2" s="365"/>
      <c r="U2" s="366"/>
      <c r="V2" s="367"/>
      <c r="W2" s="367"/>
      <c r="X2" s="368">
        <f>G3+X3</f>
        <v>39179594.899999999</v>
      </c>
      <c r="Y2" s="367"/>
      <c r="Z2" s="367"/>
      <c r="AA2" s="367">
        <f ca="1">G8*100/E8</f>
        <v>68.409567821373741</v>
      </c>
      <c r="AB2" s="367"/>
      <c r="AC2" s="367"/>
      <c r="AD2" s="367"/>
      <c r="AE2" s="367"/>
      <c r="AF2" s="367"/>
      <c r="AG2" s="367"/>
      <c r="AH2" s="367"/>
      <c r="AI2" s="367"/>
      <c r="AJ2" s="367"/>
      <c r="AK2" s="367"/>
      <c r="AL2" s="367"/>
      <c r="AM2" s="367"/>
      <c r="AN2" s="367"/>
      <c r="AO2" s="367"/>
      <c r="AP2" s="367"/>
      <c r="AQ2" s="367"/>
      <c r="AR2" s="367"/>
      <c r="AS2" s="367"/>
      <c r="AT2" s="368"/>
      <c r="AU2" s="367"/>
    </row>
    <row r="3" spans="1:47" ht="15">
      <c r="A3" s="370"/>
      <c r="B3" s="370"/>
      <c r="C3" s="370"/>
      <c r="D3" s="370"/>
      <c r="E3" s="371">
        <f ca="1">G3-E8</f>
        <v>-7904897.4999999031</v>
      </c>
      <c r="F3" s="370"/>
      <c r="G3" s="372">
        <v>38692443.899999999</v>
      </c>
      <c r="H3" s="370"/>
      <c r="I3" s="370"/>
      <c r="J3" s="370"/>
      <c r="K3" s="370"/>
      <c r="L3" s="370"/>
      <c r="M3" s="370"/>
      <c r="N3" s="370"/>
      <c r="O3" s="370"/>
      <c r="P3" s="373">
        <v>403000</v>
      </c>
      <c r="Q3" s="374">
        <f>G3+P3</f>
        <v>39095443.899999999</v>
      </c>
      <c r="R3" s="369">
        <v>9465</v>
      </c>
      <c r="S3" s="369">
        <v>74686</v>
      </c>
      <c r="T3" s="365">
        <f>P3+R3+S3</f>
        <v>487151</v>
      </c>
      <c r="U3" s="375"/>
      <c r="V3" s="376"/>
      <c r="W3" s="376"/>
      <c r="X3" s="376">
        <v>487151</v>
      </c>
      <c r="Y3" s="367"/>
      <c r="Z3" s="368">
        <f ca="1">R8-X8</f>
        <v>11072966.515019905</v>
      </c>
      <c r="AA3" s="367"/>
      <c r="AB3" s="367"/>
      <c r="AC3" s="367"/>
      <c r="AD3" s="367"/>
      <c r="AE3" s="367"/>
      <c r="AF3" s="367"/>
      <c r="AG3" s="367"/>
      <c r="AH3" s="367"/>
      <c r="AI3" s="367"/>
      <c r="AJ3" s="367"/>
      <c r="AK3" s="367"/>
      <c r="AL3" s="367"/>
      <c r="AM3" s="367"/>
      <c r="AN3" s="367"/>
      <c r="AO3" s="367"/>
      <c r="AP3" s="367"/>
      <c r="AQ3" s="367"/>
      <c r="AR3" s="367"/>
      <c r="AS3" s="367"/>
      <c r="AT3" s="368"/>
      <c r="AU3" s="367"/>
    </row>
    <row r="4" spans="1:47" ht="15">
      <c r="A4" s="909" t="s">
        <v>1</v>
      </c>
      <c r="B4" s="909" t="s">
        <v>2</v>
      </c>
      <c r="C4" s="909" t="s">
        <v>3</v>
      </c>
      <c r="D4" s="910" t="s">
        <v>4</v>
      </c>
      <c r="E4" s="911" t="s">
        <v>181</v>
      </c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  <c r="Q4" s="379"/>
      <c r="R4" s="379"/>
      <c r="S4" s="379"/>
      <c r="T4" s="379"/>
      <c r="U4" s="380"/>
      <c r="V4" s="381"/>
      <c r="W4" s="381"/>
      <c r="X4" s="381"/>
      <c r="Y4" s="381"/>
      <c r="Z4" s="381"/>
      <c r="AA4" s="381"/>
      <c r="AB4" s="381"/>
      <c r="AC4" s="381"/>
      <c r="AD4" s="381"/>
      <c r="AE4" s="381"/>
      <c r="AF4" s="381"/>
      <c r="AG4" s="381"/>
      <c r="AH4" s="381"/>
      <c r="AI4" s="381"/>
      <c r="AJ4" s="381"/>
      <c r="AK4" s="381"/>
      <c r="AL4" s="381"/>
      <c r="AM4" s="381"/>
      <c r="AN4" s="381"/>
      <c r="AO4" s="381"/>
      <c r="AP4" s="381"/>
      <c r="AQ4" s="381"/>
      <c r="AR4" s="381"/>
      <c r="AS4" s="381"/>
      <c r="AT4" s="382"/>
      <c r="AU4" s="381"/>
    </row>
    <row r="5" spans="1:47" ht="14.25">
      <c r="A5" s="863"/>
      <c r="B5" s="863"/>
      <c r="C5" s="863"/>
      <c r="D5" s="863"/>
      <c r="E5" s="863"/>
      <c r="F5" s="383" t="s">
        <v>6</v>
      </c>
      <c r="G5" s="384"/>
      <c r="H5" s="384"/>
      <c r="I5" s="384"/>
      <c r="J5" s="384"/>
      <c r="K5" s="384"/>
      <c r="L5" s="384"/>
      <c r="M5" s="384"/>
      <c r="N5" s="384"/>
      <c r="O5" s="384"/>
      <c r="P5" s="915" t="s">
        <v>202</v>
      </c>
      <c r="Q5" s="916" t="s">
        <v>203</v>
      </c>
      <c r="R5" s="868"/>
      <c r="S5" s="385"/>
      <c r="T5" s="385"/>
      <c r="U5" s="917" t="s">
        <v>204</v>
      </c>
      <c r="V5" s="918" t="s">
        <v>203</v>
      </c>
      <c r="W5" s="868"/>
      <c r="X5" s="381"/>
      <c r="Y5" s="382">
        <f t="shared" ref="Y5:AS5" ca="1" si="0">Y8-AA62</f>
        <v>-9.3132257461547852E-10</v>
      </c>
      <c r="Z5" s="382">
        <f t="shared" ca="1" si="0"/>
        <v>0</v>
      </c>
      <c r="AA5" s="382">
        <f t="shared" ca="1" si="0"/>
        <v>0</v>
      </c>
      <c r="AB5" s="382">
        <f t="shared" ca="1" si="0"/>
        <v>721.85999999992782</v>
      </c>
      <c r="AC5" s="382">
        <f t="shared" ca="1" si="0"/>
        <v>14760.000769999053</v>
      </c>
      <c r="AD5" s="381" t="e">
        <f t="shared" ca="1" si="0"/>
        <v>#VALUE!</v>
      </c>
      <c r="AE5" s="382">
        <f t="shared" ca="1" si="0"/>
        <v>4090.2600000000675</v>
      </c>
      <c r="AF5" s="382">
        <f t="shared" ca="1" si="0"/>
        <v>1522.5499999998137</v>
      </c>
      <c r="AG5" s="382">
        <f t="shared" ca="1" si="0"/>
        <v>0</v>
      </c>
      <c r="AH5" s="382">
        <f t="shared" ca="1" si="0"/>
        <v>0</v>
      </c>
      <c r="AI5" s="382">
        <f t="shared" ca="1" si="0"/>
        <v>7.9999999899882823E-2</v>
      </c>
      <c r="AJ5" s="382">
        <f t="shared" ca="1" si="0"/>
        <v>721.80000000004657</v>
      </c>
      <c r="AK5" s="382">
        <f t="shared" ca="1" si="0"/>
        <v>0</v>
      </c>
      <c r="AL5" s="382">
        <f t="shared" ca="1" si="0"/>
        <v>2887.1999999989057</v>
      </c>
      <c r="AM5" s="382">
        <f t="shared" ca="1" si="0"/>
        <v>0</v>
      </c>
      <c r="AN5" s="382">
        <f t="shared" ca="1" si="0"/>
        <v>6182.9999999989523</v>
      </c>
      <c r="AO5" s="382">
        <f t="shared" ca="1" si="0"/>
        <v>1868.6400000000722</v>
      </c>
      <c r="AP5" s="382">
        <f t="shared" ca="1" si="0"/>
        <v>2899.5999999999767</v>
      </c>
      <c r="AQ5" s="382">
        <f t="shared" ca="1" si="0"/>
        <v>8.0000000016298145E-2</v>
      </c>
      <c r="AR5" s="382">
        <f t="shared" ca="1" si="0"/>
        <v>1203</v>
      </c>
      <c r="AS5" s="382">
        <f t="shared" ca="1" si="0"/>
        <v>14384.999999999243</v>
      </c>
      <c r="AT5" s="382"/>
      <c r="AU5" s="381"/>
    </row>
    <row r="6" spans="1:47" ht="50.25" customHeight="1">
      <c r="A6" s="862"/>
      <c r="B6" s="862"/>
      <c r="C6" s="862"/>
      <c r="D6" s="862"/>
      <c r="E6" s="862"/>
      <c r="F6" s="386" t="s">
        <v>8</v>
      </c>
      <c r="G6" s="386" t="s">
        <v>9</v>
      </c>
      <c r="H6" s="387" t="s">
        <v>10</v>
      </c>
      <c r="I6" s="386" t="s">
        <v>11</v>
      </c>
      <c r="J6" s="386" t="s">
        <v>12</v>
      </c>
      <c r="K6" s="386" t="s">
        <v>8</v>
      </c>
      <c r="L6" s="386" t="s">
        <v>13</v>
      </c>
      <c r="M6" s="387" t="s">
        <v>10</v>
      </c>
      <c r="N6" s="386" t="s">
        <v>11</v>
      </c>
      <c r="O6" s="386" t="s">
        <v>12</v>
      </c>
      <c r="P6" s="862"/>
      <c r="Q6" s="388" t="s">
        <v>183</v>
      </c>
      <c r="R6" s="389" t="s">
        <v>184</v>
      </c>
      <c r="S6" s="919" t="s">
        <v>205</v>
      </c>
      <c r="T6" s="919" t="s">
        <v>10</v>
      </c>
      <c r="U6" s="862"/>
      <c r="V6" s="388" t="s">
        <v>183</v>
      </c>
      <c r="W6" s="389" t="s">
        <v>184</v>
      </c>
      <c r="X6" s="920"/>
      <c r="Y6" s="390" t="s">
        <v>206</v>
      </c>
      <c r="Z6" s="299" t="s">
        <v>207</v>
      </c>
      <c r="AA6" s="391" t="s">
        <v>208</v>
      </c>
      <c r="AB6" s="391" t="s">
        <v>209</v>
      </c>
      <c r="AC6" s="391" t="s">
        <v>210</v>
      </c>
      <c r="AD6" s="391" t="s">
        <v>211</v>
      </c>
      <c r="AE6" s="391" t="s">
        <v>212</v>
      </c>
      <c r="AF6" s="391" t="s">
        <v>213</v>
      </c>
      <c r="AG6" s="391" t="s">
        <v>214</v>
      </c>
      <c r="AH6" s="391" t="s">
        <v>215</v>
      </c>
      <c r="AI6" s="391" t="s">
        <v>216</v>
      </c>
      <c r="AJ6" s="391" t="s">
        <v>217</v>
      </c>
      <c r="AK6" s="391" t="s">
        <v>218</v>
      </c>
      <c r="AL6" s="391" t="s">
        <v>219</v>
      </c>
      <c r="AM6" s="391" t="s">
        <v>220</v>
      </c>
      <c r="AN6" s="391" t="s">
        <v>221</v>
      </c>
      <c r="AO6" s="391" t="s">
        <v>222</v>
      </c>
      <c r="AP6" s="391" t="s">
        <v>223</v>
      </c>
      <c r="AQ6" s="392" t="s">
        <v>107</v>
      </c>
      <c r="AR6" s="393" t="s">
        <v>108</v>
      </c>
      <c r="AS6" s="394" t="s">
        <v>109</v>
      </c>
      <c r="AT6" s="395" t="s">
        <v>224</v>
      </c>
      <c r="AU6" s="301" t="s">
        <v>225</v>
      </c>
    </row>
    <row r="7" spans="1:47" ht="15">
      <c r="A7" s="396">
        <v>1</v>
      </c>
      <c r="B7" s="396">
        <v>2</v>
      </c>
      <c r="C7" s="387">
        <v>3</v>
      </c>
      <c r="D7" s="396">
        <v>4</v>
      </c>
      <c r="E7" s="396">
        <v>5</v>
      </c>
      <c r="F7" s="396">
        <v>6</v>
      </c>
      <c r="G7" s="396">
        <v>7</v>
      </c>
      <c r="H7" s="396">
        <v>8</v>
      </c>
      <c r="I7" s="396">
        <v>9</v>
      </c>
      <c r="J7" s="396">
        <v>10</v>
      </c>
      <c r="K7" s="396">
        <v>11</v>
      </c>
      <c r="L7" s="396">
        <v>12</v>
      </c>
      <c r="M7" s="396">
        <v>13</v>
      </c>
      <c r="N7" s="396">
        <v>14</v>
      </c>
      <c r="O7" s="377"/>
      <c r="P7" s="397"/>
      <c r="Q7" s="385"/>
      <c r="R7" s="385"/>
      <c r="S7" s="862"/>
      <c r="T7" s="862"/>
      <c r="U7" s="398"/>
      <c r="V7" s="399"/>
      <c r="W7" s="399"/>
      <c r="X7" s="862"/>
      <c r="Y7" s="381"/>
      <c r="Z7" s="381"/>
      <c r="AA7" s="381"/>
      <c r="AB7" s="381"/>
      <c r="AC7" s="381"/>
      <c r="AD7" s="381"/>
      <c r="AE7" s="381"/>
      <c r="AF7" s="381"/>
      <c r="AG7" s="381"/>
      <c r="AH7" s="381"/>
      <c r="AI7" s="381"/>
      <c r="AJ7" s="381"/>
      <c r="AK7" s="381"/>
      <c r="AL7" s="381"/>
      <c r="AM7" s="381"/>
      <c r="AN7" s="381"/>
      <c r="AO7" s="381"/>
      <c r="AP7" s="381"/>
      <c r="AQ7" s="381"/>
      <c r="AR7" s="381"/>
      <c r="AS7" s="381"/>
      <c r="AT7" s="382"/>
      <c r="AU7" s="381"/>
    </row>
    <row r="8" spans="1:47" ht="15">
      <c r="A8" s="370"/>
      <c r="B8" s="370"/>
      <c r="C8" s="370"/>
      <c r="D8" s="400" t="s">
        <v>14</v>
      </c>
      <c r="E8" s="401">
        <f ca="1">ЦА!E8+'СВОД терр'!E8</f>
        <v>46597341.399999902</v>
      </c>
      <c r="F8" s="401">
        <f ca="1">ЦА!F8+'СВОД терр'!F8</f>
        <v>32115554.999999899</v>
      </c>
      <c r="G8" s="401">
        <f ca="1">ЦА!G8+'СВОД терр'!G8</f>
        <v>31877039.867989998</v>
      </c>
      <c r="H8" s="401">
        <f ca="1">ЦА!H8+'СВОД терр'!H8</f>
        <v>238515.1320099899</v>
      </c>
      <c r="I8" s="401">
        <f t="shared" ref="I8:I39" ca="1" si="1">G8/F8*100</f>
        <v>99.257322092020829</v>
      </c>
      <c r="J8" s="401"/>
      <c r="K8" s="401">
        <f ca="1">ЦА!K8+'СВОД терр'!K8</f>
        <v>20799210.896999899</v>
      </c>
      <c r="L8" s="401">
        <f ca="1">ЦА!L8+'СВОД терр'!L8</f>
        <v>20793403.398649901</v>
      </c>
      <c r="M8" s="401">
        <f ca="1">ЦА!M8+'СВОД терр'!M8</f>
        <v>5807.4983500008202</v>
      </c>
      <c r="N8" s="401">
        <f t="shared" ref="N8:N39" ca="1" si="2">L8/K8*100</f>
        <v>99.972078275571334</v>
      </c>
      <c r="O8" s="402"/>
      <c r="P8" s="403">
        <f t="shared" ref="P8:P39" ca="1" si="3">E8-G8</f>
        <v>14720301.532009903</v>
      </c>
      <c r="Q8" s="55">
        <f>ЦА!E8-ЦА!G8</f>
        <v>3647335.0169899995</v>
      </c>
      <c r="R8" s="55">
        <f t="shared" ref="R8:R39" ca="1" si="4">P8-Q8</f>
        <v>11072966.515019905</v>
      </c>
      <c r="S8" s="404"/>
      <c r="T8" s="404"/>
      <c r="U8" s="405">
        <f t="shared" ref="U8:U39" ca="1" si="5">E8-L8</f>
        <v>25803938.001350001</v>
      </c>
      <c r="V8" s="406">
        <f>ЦА!E8-ЦА!L8</f>
        <v>3852628.7803899995</v>
      </c>
      <c r="W8" s="406">
        <f t="shared" ref="W8:W39" ca="1" si="6">U8-V8</f>
        <v>21951309.220960002</v>
      </c>
      <c r="X8" s="407"/>
      <c r="Y8" s="368">
        <f ca="1">IFERROR(__xludf.DUMMYFUNCTION("IMPORTRANGE(""https://docs.google.com/spreadsheets/d/1PsUKG3ee57b5sx42omjfZd9CYxuRONokMWtiORmUc0s/edit#gid=1330321248"",""Акмола!P8:P58"")"),523805.519999999)</f>
        <v>523805.51999999897</v>
      </c>
      <c r="Z8" s="368">
        <f ca="1">IFERROR(__xludf.DUMMYFUNCTION("IMPORTRANGE(""https://docs.google.com/spreadsheets/d/1PsUKG3ee57b5sx42omjfZd9CYxuRONokMWtiORmUc0s/edit#gid=1330321248"",""Актобе!P8:P58"")"),447524.405)</f>
        <v>447524.40500000003</v>
      </c>
      <c r="AA8" s="368">
        <f ca="1">IFERROR(__xludf.DUMMYFUNCTION("IMPORTRANGE(""https://docs.google.com/spreadsheets/d/1PsUKG3ee57b5sx42omjfZd9CYxuRONokMWtiORmUc0s/edit#gid=1330321248"",""Алматинская!P8:P58"")"),498869.423789999)</f>
        <v>498869.42378999898</v>
      </c>
      <c r="AB8" s="368">
        <f ca="1">IFERROR(__xludf.DUMMYFUNCTION("IMPORTRANGE(""https://docs.google.com/spreadsheets/d/1PsUKG3ee57b5sx42omjfZd9CYxuRONokMWtiORmUc0s/edit#gid=1330321248"",""Атырау!P8:P58"")"),428295.504)</f>
        <v>428295.50400000002</v>
      </c>
      <c r="AC8" s="368">
        <f ca="1">IFERROR(__xludf.DUMMYFUNCTION("IMPORTRANGE(""https://docs.google.com/spreadsheets/d/1PsUKG3ee57b5sx42omjfZd9CYxuRONokMWtiORmUc0s/edit#gid=1330321248"",""ВКО!P8:P58"")"),536664.356949999)</f>
        <v>536664.356949999</v>
      </c>
      <c r="AD8" s="368">
        <f ca="1">IFERROR(__xludf.DUMMYFUNCTION("IMPORTRANGE(""https://docs.google.com/spreadsheets/d/1PsUKG3ee57b5sx42omjfZd9CYxuRONokMWtiORmUc0s/edit#gid=1330321248"",""Жамбыл!P8:P58"")"),703566.760999999)</f>
        <v>703566.76099999901</v>
      </c>
      <c r="AE8" s="368">
        <f ca="1">IFERROR(__xludf.DUMMYFUNCTION("IMPORTRANGE(""https://docs.google.com/spreadsheets/d/1PsUKG3ee57b5sx42omjfZd9CYxuRONokMWtiORmUc0s/edit#gid=1330321248"",""ЗКО!P8:P58"")"),524467.64708)</f>
        <v>524467.64708000002</v>
      </c>
      <c r="AF8" s="368">
        <f ca="1">IFERROR(__xludf.DUMMYFUNCTION("IMPORTRANGE(""https://docs.google.com/spreadsheets/d/1PsUKG3ee57b5sx42omjfZd9CYxuRONokMWtiORmUc0s/edit#gid=1330321248"",""Караганда!P8:P58"")"),685877.458)</f>
        <v>685877.45799999998</v>
      </c>
      <c r="AG8" s="368">
        <f ca="1">IFERROR(__xludf.DUMMYFUNCTION("IMPORTRANGE(""https://docs.google.com/spreadsheets/d/1PsUKG3ee57b5sx42omjfZd9CYxuRONokMWtiORmUc0s/edit#gid=1330321248"",""Костанай!P8:P58"")"),560716.630029999)</f>
        <v>560716.63002999895</v>
      </c>
      <c r="AH8" s="368">
        <f ca="1">IFERROR(__xludf.DUMMYFUNCTION("IMPORTRANGE(""https://docs.google.com/spreadsheets/d/1PsUKG3ee57b5sx42omjfZd9CYxuRONokMWtiORmUc0s/edit#gid=1330321248"",""Кызылорда!P8:P58"")"),586697.875999999)</f>
        <v>586697.875999999</v>
      </c>
      <c r="AI8" s="368">
        <f ca="1">IFERROR(__xludf.DUMMYFUNCTION("IMPORTRANGE(""https://docs.google.com/spreadsheets/d/1PsUKG3ee57b5sx42omjfZd9CYxuRONokMWtiORmUc0s/edit#gid=1330321248"",""Мангистау!P8:P58"")"),296027.03017)</f>
        <v>296027.03016999998</v>
      </c>
      <c r="AJ8" s="368">
        <f ca="1">IFERROR(__xludf.DUMMYFUNCTION("IMPORTRANGE(""https://docs.google.com/spreadsheets/d/1PsUKG3ee57b5sx42omjfZd9CYxuRONokMWtiORmUc0s/edit#gid=1330321248"",""Павлодар!P8:P58"")"),539060.247)</f>
        <v>539060.24699999997</v>
      </c>
      <c r="AK8" s="368">
        <f ca="1">IFERROR(__xludf.DUMMYFUNCTION("IMPORTRANGE(""https://docs.google.com/spreadsheets/d/1PsUKG3ee57b5sx42omjfZd9CYxuRONokMWtiORmUc0s/edit#gid=1330321248"",""СКО!P8:P58"")"),473623.313)</f>
        <v>473623.31300000002</v>
      </c>
      <c r="AL8" s="368">
        <f ca="1">IFERROR(__xludf.DUMMYFUNCTION("IMPORTRANGE(""https://docs.google.com/spreadsheets/d/1PsUKG3ee57b5sx42omjfZd9CYxuRONokMWtiORmUc0s/edit#gid=1330321248"",""Туркестан!P8:P58"")"),862297.883999999)</f>
        <v>862297.88399999903</v>
      </c>
      <c r="AM8" s="368">
        <f ca="1">IFERROR(__xludf.DUMMYFUNCTION("IMPORTRANGE(""https://docs.google.com/spreadsheets/d/1PsUKG3ee57b5sx42omjfZd9CYxuRONokMWtiORmUc0s/edit#gid=1330321248"",""Шымкент!P8:P58"")"),418477.053)</f>
        <v>418477.05300000001</v>
      </c>
      <c r="AN8" s="368">
        <f ca="1">IFERROR(__xludf.DUMMYFUNCTION("IMPORTRANGE(""https://docs.google.com/spreadsheets/d/1PsUKG3ee57b5sx42omjfZd9CYxuRONokMWtiORmUc0s/edit#gid=1330321248"",""Алматы!P8:P58"")"),733552.740999999)</f>
        <v>733552.74099999899</v>
      </c>
      <c r="AO8" s="368">
        <f ca="1">IFERROR(__xludf.DUMMYFUNCTION("IMPORTRANGE(""https://docs.google.com/spreadsheets/d/1PsUKG3ee57b5sx42omjfZd9CYxuRONokMWtiORmUc0s/edit#gid=1330321248"",""Нур-Султан!P8:P58"")"),409312.425)</f>
        <v>409312.42499999999</v>
      </c>
      <c r="AP8" s="368">
        <f ca="1">IFERROR(__xludf.DUMMYFUNCTION("IMPORTRANGE(""https://docs.google.com/spreadsheets/d/1PsUKG3ee57b5sx42omjfZd9CYxuRONokMWtiORmUc0s/edit#gid=1330321248"",""Транспорт!P8:P58"")"),755243.484)</f>
        <v>755243.48400000005</v>
      </c>
      <c r="AQ8" s="368">
        <f ca="1">IFERROR(__xludf.DUMMYFUNCTION("IMPORTRANGE(""https://docs.google.com/spreadsheets/d/1PsUKG3ee57b5sx42omjfZd9CYxuRONokMWtiORmUc0s/edit#gid=1330321248"",""Улытау!P8:P58"")"),181679.566)</f>
        <v>181679.56599999999</v>
      </c>
      <c r="AR8" s="368">
        <f ca="1">IFERROR(__xludf.DUMMYFUNCTION("IMPORTRANGE(""https://docs.google.com/spreadsheets/d/1PsUKG3ee57b5sx42omjfZd9CYxuRONokMWtiORmUc0s/edit#gid=1330321248"",""Жетису!P8:P58"")"),455645.421)</f>
        <v>455645.42099999997</v>
      </c>
      <c r="AS8" s="368">
        <f ca="1">IFERROR(__xludf.DUMMYFUNCTION("IMPORTRANGE(""https://docs.google.com/spreadsheets/d/1PsUKG3ee57b5sx42omjfZd9CYxuRONokMWtiORmUc0s/edit#gid=1330321248"",""Абай!P8:P58"")"),451561.718999999)</f>
        <v>451561.71899999899</v>
      </c>
      <c r="AT8" s="368"/>
      <c r="AU8" s="367"/>
    </row>
    <row r="9" spans="1:47" ht="60">
      <c r="A9" s="387">
        <v>1</v>
      </c>
      <c r="B9" s="377"/>
      <c r="C9" s="377"/>
      <c r="D9" s="408" t="s">
        <v>15</v>
      </c>
      <c r="E9" s="409">
        <f ca="1">ЦА!E9+'СВОД терр'!E9</f>
        <v>26153215</v>
      </c>
      <c r="F9" s="409">
        <f ca="1">ЦА!F9+'СВОД терр'!F9</f>
        <v>13749327.199999901</v>
      </c>
      <c r="G9" s="409">
        <f ca="1">ЦА!G9+'СВОД терр'!G9</f>
        <v>13514525.539729999</v>
      </c>
      <c r="H9" s="409">
        <f ca="1">ЦА!H9+'СВОД терр'!H9</f>
        <v>234801.6602699979</v>
      </c>
      <c r="I9" s="409">
        <f t="shared" ca="1" si="1"/>
        <v>98.292268000794223</v>
      </c>
      <c r="J9" s="409"/>
      <c r="K9" s="409">
        <f ca="1">ЦА!K9+'СВОД терр'!K9</f>
        <v>12924530.2969999</v>
      </c>
      <c r="L9" s="409">
        <f ca="1">ЦА!L9+'СВОД терр'!L9</f>
        <v>12918725.977199899</v>
      </c>
      <c r="M9" s="409">
        <f ca="1">ЦА!M9+'СВОД терр'!M9</f>
        <v>5804.3197999995809</v>
      </c>
      <c r="N9" s="409">
        <f t="shared" ca="1" si="2"/>
        <v>99.955090671253657</v>
      </c>
      <c r="O9" s="410"/>
      <c r="P9" s="411">
        <f t="shared" ca="1" si="3"/>
        <v>12638689.460270001</v>
      </c>
      <c r="Q9" s="412">
        <f>ЦА!E9-ЦА!G9</f>
        <v>1587503.0169899999</v>
      </c>
      <c r="R9" s="412">
        <f t="shared" ca="1" si="4"/>
        <v>11051186.44328</v>
      </c>
      <c r="S9" s="413"/>
      <c r="T9" s="413"/>
      <c r="U9" s="414">
        <f t="shared" ca="1" si="5"/>
        <v>13234489.022800101</v>
      </c>
      <c r="V9" s="415">
        <f>ЦА!E9-ЦА!L9</f>
        <v>1791807.58039</v>
      </c>
      <c r="W9" s="415">
        <f t="shared" ca="1" si="6"/>
        <v>11442681.4424101</v>
      </c>
      <c r="X9" s="399"/>
      <c r="Y9" s="382">
        <f ca="1">IFERROR(__xludf.DUMMYFUNCTION("""COMPUTED_VALUE"""),523805.396999999)</f>
        <v>523805.39699999901</v>
      </c>
      <c r="Z9" s="382">
        <f ca="1">IFERROR(__xludf.DUMMYFUNCTION("""COMPUTED_VALUE"""),447523.442)</f>
        <v>447523.44199999998</v>
      </c>
      <c r="AA9" s="382">
        <f ca="1">IFERROR(__xludf.DUMMYFUNCTION("""COMPUTED_VALUE"""),498869.396929999)</f>
        <v>498869.396929999</v>
      </c>
      <c r="AB9" s="382">
        <f ca="1">IFERROR(__xludf.DUMMYFUNCTION("""COMPUTED_VALUE"""),427573.584)</f>
        <v>427573.58399999997</v>
      </c>
      <c r="AC9" s="382">
        <f ca="1">IFERROR(__xludf.DUMMYFUNCTION("""COMPUTED_VALUE"""),536664.356949999)</f>
        <v>536664.356949999</v>
      </c>
      <c r="AD9" s="382">
        <f ca="1">IFERROR(__xludf.DUMMYFUNCTION("""COMPUTED_VALUE"""),703566.674999999)</f>
        <v>703566.674999999</v>
      </c>
      <c r="AE9" s="382">
        <f ca="1">IFERROR(__xludf.DUMMYFUNCTION("""COMPUTED_VALUE"""),520377.321189999)</f>
        <v>520377.321189999</v>
      </c>
      <c r="AF9" s="382">
        <f ca="1">IFERROR(__xludf.DUMMYFUNCTION("""COMPUTED_VALUE"""),685877.448)</f>
        <v>685877.44799999997</v>
      </c>
      <c r="AG9" s="382">
        <f ca="1">IFERROR(__xludf.DUMMYFUNCTION("""COMPUTED_VALUE"""),560716.61766)</f>
        <v>560716.61765999999</v>
      </c>
      <c r="AH9" s="382">
        <f ca="1">IFERROR(__xludf.DUMMYFUNCTION("""COMPUTED_VALUE"""),586697.838)</f>
        <v>586697.83799999999</v>
      </c>
      <c r="AI9" s="382">
        <f ca="1">IFERROR(__xludf.DUMMYFUNCTION("""COMPUTED_VALUE"""),296026.93355)</f>
        <v>296026.93355000002</v>
      </c>
      <c r="AJ9" s="382">
        <f ca="1">IFERROR(__xludf.DUMMYFUNCTION("""COMPUTED_VALUE"""),538338.447)</f>
        <v>538338.44700000004</v>
      </c>
      <c r="AK9" s="382">
        <f ca="1">IFERROR(__xludf.DUMMYFUNCTION("""COMPUTED_VALUE"""),473623.262999999)</f>
        <v>473623.26299999899</v>
      </c>
      <c r="AL9" s="382">
        <f ca="1">IFERROR(__xludf.DUMMYFUNCTION("""COMPUTED_VALUE"""),859410.641)</f>
        <v>859410.64099999995</v>
      </c>
      <c r="AM9" s="382">
        <f ca="1">IFERROR(__xludf.DUMMYFUNCTION("""COMPUTED_VALUE"""),418477.006)</f>
        <v>418477.00599999999</v>
      </c>
      <c r="AN9" s="382">
        <f ca="1">IFERROR(__xludf.DUMMYFUNCTION("""COMPUTED_VALUE"""),727369.740999999)</f>
        <v>727369.74099999899</v>
      </c>
      <c r="AO9" s="382">
        <f ca="1">IFERROR(__xludf.DUMMYFUNCTION("""COMPUTED_VALUE"""),407443.784999999)</f>
        <v>407443.78499999898</v>
      </c>
      <c r="AP9" s="382">
        <f ca="1">IFERROR(__xludf.DUMMYFUNCTION("""COMPUTED_VALUE"""),752343.884)</f>
        <v>752343.88399999996</v>
      </c>
      <c r="AQ9" s="382">
        <f ca="1">IFERROR(__xludf.DUMMYFUNCTION("""COMPUTED_VALUE"""),181679.485999999)</f>
        <v>181679.48599999899</v>
      </c>
      <c r="AR9" s="382">
        <f ca="1">IFERROR(__xludf.DUMMYFUNCTION("""COMPUTED_VALUE"""),454442.421)</f>
        <v>454442.42099999997</v>
      </c>
      <c r="AS9" s="382">
        <f ca="1">IFERROR(__xludf.DUMMYFUNCTION("""COMPUTED_VALUE"""),450358.719)</f>
        <v>450358.71899999998</v>
      </c>
      <c r="AT9" s="382"/>
      <c r="AU9" s="381"/>
    </row>
    <row r="10" spans="1:47" ht="60">
      <c r="A10" s="416"/>
      <c r="B10" s="417">
        <v>100</v>
      </c>
      <c r="C10" s="417"/>
      <c r="D10" s="418" t="s">
        <v>16</v>
      </c>
      <c r="E10" s="419">
        <f ca="1">ЦА!E10+'СВОД терр'!E10</f>
        <v>2780991.5999999898</v>
      </c>
      <c r="F10" s="419">
        <f ca="1">ЦА!F10+'СВОД терр'!F10</f>
        <v>1471096.1</v>
      </c>
      <c r="G10" s="419">
        <f ca="1">ЦА!G10+'СВОД терр'!G10</f>
        <v>1469760.1696899999</v>
      </c>
      <c r="H10" s="419">
        <f ca="1">ЦА!H10+'СВОД терр'!H10</f>
        <v>1335.93031000006</v>
      </c>
      <c r="I10" s="419">
        <f t="shared" ca="1" si="1"/>
        <v>99.909188100627816</v>
      </c>
      <c r="J10" s="419"/>
      <c r="K10" s="419">
        <f ca="1">ЦА!K10+'СВОД терр'!K10</f>
        <v>1467156.3</v>
      </c>
      <c r="L10" s="419">
        <f ca="1">ЦА!L10+'СВОД терр'!L10</f>
        <v>1466894.9706899999</v>
      </c>
      <c r="M10" s="419">
        <f ca="1">ЦА!M10+'СВОД терр'!M10</f>
        <v>261.32931000003902</v>
      </c>
      <c r="N10" s="419">
        <f t="shared" ca="1" si="2"/>
        <v>99.982188038861281</v>
      </c>
      <c r="O10" s="420"/>
      <c r="P10" s="421">
        <f t="shared" ca="1" si="3"/>
        <v>1311231.43030999</v>
      </c>
      <c r="Q10" s="422">
        <f>ЦА!E10-ЦА!G10</f>
        <v>17395.295999999995</v>
      </c>
      <c r="R10" s="422">
        <f t="shared" ca="1" si="4"/>
        <v>1293836.1343099899</v>
      </c>
      <c r="S10" s="423"/>
      <c r="T10" s="423"/>
      <c r="U10" s="424">
        <f t="shared" ca="1" si="5"/>
        <v>1314096.62930999</v>
      </c>
      <c r="V10" s="425">
        <f>ЦА!E10-ЦА!L10</f>
        <v>18828.095999999994</v>
      </c>
      <c r="W10" s="425">
        <f t="shared" ca="1" si="6"/>
        <v>1295268.5333099901</v>
      </c>
      <c r="X10" s="426"/>
      <c r="Y10" s="427">
        <f ca="1">IFERROR(__xludf.DUMMYFUNCTION("""COMPUTED_VALUE"""),82071.5389999999)</f>
        <v>82071.538999999902</v>
      </c>
      <c r="Z10" s="427">
        <f ca="1">IFERROR(__xludf.DUMMYFUNCTION("""COMPUTED_VALUE"""),45311.4379999999)</f>
        <v>45311.4379999999</v>
      </c>
      <c r="AA10" s="427">
        <f ca="1">IFERROR(__xludf.DUMMYFUNCTION("""COMPUTED_VALUE"""),47202)</f>
        <v>47202</v>
      </c>
      <c r="AB10" s="427">
        <f ca="1">IFERROR(__xludf.DUMMYFUNCTION("""COMPUTED_VALUE"""),59522.83)</f>
        <v>59522.83</v>
      </c>
      <c r="AC10" s="427">
        <f ca="1">IFERROR(__xludf.DUMMYFUNCTION("""COMPUTED_VALUE"""),48060.18217)</f>
        <v>48060.18217</v>
      </c>
      <c r="AD10" s="427">
        <f ca="1">IFERROR(__xludf.DUMMYFUNCTION("""COMPUTED_VALUE"""),97414.069)</f>
        <v>97414.069000000003</v>
      </c>
      <c r="AE10" s="427">
        <f ca="1">IFERROR(__xludf.DUMMYFUNCTION("""COMPUTED_VALUE"""),44615.7)</f>
        <v>44615.7</v>
      </c>
      <c r="AF10" s="427">
        <f ca="1">IFERROR(__xludf.DUMMYFUNCTION("""COMPUTED_VALUE"""),88978.2199999999)</f>
        <v>88978.219999999899</v>
      </c>
      <c r="AG10" s="427">
        <f ca="1">IFERROR(__xludf.DUMMYFUNCTION("""COMPUTED_VALUE"""),94620.9999999999)</f>
        <v>94620.999999999898</v>
      </c>
      <c r="AH10" s="427">
        <f ca="1">IFERROR(__xludf.DUMMYFUNCTION("""COMPUTED_VALUE"""),55618.796)</f>
        <v>55618.796000000002</v>
      </c>
      <c r="AI10" s="427">
        <f ca="1">IFERROR(__xludf.DUMMYFUNCTION("""COMPUTED_VALUE"""),36859.59814)</f>
        <v>36859.598140000002</v>
      </c>
      <c r="AJ10" s="427">
        <f ca="1">IFERROR(__xludf.DUMMYFUNCTION("""COMPUTED_VALUE"""),84799.9999999999)</f>
        <v>84799.999999999898</v>
      </c>
      <c r="AK10" s="427">
        <f ca="1">IFERROR(__xludf.DUMMYFUNCTION("""COMPUTED_VALUE"""),77840)</f>
        <v>77840</v>
      </c>
      <c r="AL10" s="427">
        <f ca="1">IFERROR(__xludf.DUMMYFUNCTION("""COMPUTED_VALUE"""),95348.3599999999)</f>
        <v>95348.359999999899</v>
      </c>
      <c r="AM10" s="427">
        <f ca="1">IFERROR(__xludf.DUMMYFUNCTION("""COMPUTED_VALUE"""),26965.5799999999)</f>
        <v>26965.5799999999</v>
      </c>
      <c r="AN10" s="427">
        <f ca="1">IFERROR(__xludf.DUMMYFUNCTION("""COMPUTED_VALUE"""),38972)</f>
        <v>38972</v>
      </c>
      <c r="AO10" s="427">
        <f ca="1">IFERROR(__xludf.DUMMYFUNCTION("""COMPUTED_VALUE"""),19922)</f>
        <v>19922</v>
      </c>
      <c r="AP10" s="427">
        <f ca="1">IFERROR(__xludf.DUMMYFUNCTION("""COMPUTED_VALUE"""),127119.999999999)</f>
        <v>127119.999999999</v>
      </c>
      <c r="AQ10" s="427">
        <f ca="1">IFERROR(__xludf.DUMMYFUNCTION("""COMPUTED_VALUE"""),24905.67)</f>
        <v>24905.67</v>
      </c>
      <c r="AR10" s="427">
        <f ca="1">IFERROR(__xludf.DUMMYFUNCTION("""COMPUTED_VALUE"""),46819.166)</f>
        <v>46819.165999999997</v>
      </c>
      <c r="AS10" s="427">
        <f ca="1">IFERROR(__xludf.DUMMYFUNCTION("""COMPUTED_VALUE"""),50867.986)</f>
        <v>50867.985999999997</v>
      </c>
      <c r="AT10" s="428">
        <v>166448.84684999986</v>
      </c>
      <c r="AU10" s="427">
        <f ca="1">P10-AT10</f>
        <v>1144782.5834599901</v>
      </c>
    </row>
    <row r="11" spans="1:47" ht="30">
      <c r="A11" s="906"/>
      <c r="B11" s="370"/>
      <c r="C11" s="370">
        <v>131</v>
      </c>
      <c r="D11" s="429" t="s">
        <v>17</v>
      </c>
      <c r="E11" s="401">
        <f ca="1">ЦА!E11+'СВОД терр'!E11</f>
        <v>2423089.6999999899</v>
      </c>
      <c r="F11" s="401">
        <f ca="1">ЦА!F11+'СВОД терр'!F11</f>
        <v>1304730.7</v>
      </c>
      <c r="G11" s="401">
        <f ca="1">ЦА!G11+'СВОД терр'!G11</f>
        <v>1304649.2146699999</v>
      </c>
      <c r="H11" s="401">
        <f ca="1">ЦА!H11+'СВОД терр'!H11</f>
        <v>81.485330000054006</v>
      </c>
      <c r="I11" s="401">
        <f t="shared" ca="1" si="1"/>
        <v>99.993754624613345</v>
      </c>
      <c r="J11" s="401"/>
      <c r="K11" s="401">
        <f ca="1">ЦА!K11+'СВОД терр'!K11</f>
        <v>1304730.7</v>
      </c>
      <c r="L11" s="401">
        <f ca="1">ЦА!L11+'СВОД терр'!L11</f>
        <v>1304649.2146699999</v>
      </c>
      <c r="M11" s="401">
        <f ca="1">ЦА!M11+'СВОД терр'!M11</f>
        <v>81.485330000054006</v>
      </c>
      <c r="N11" s="401">
        <f t="shared" ca="1" si="2"/>
        <v>99.993754624613345</v>
      </c>
      <c r="O11" s="430">
        <f ca="1">M11+M12</f>
        <v>126.55496000006661</v>
      </c>
      <c r="P11" s="403">
        <f t="shared" ca="1" si="3"/>
        <v>1118440.48532999</v>
      </c>
      <c r="Q11" s="55">
        <f>ЦА!E11-ЦА!G11</f>
        <v>9324</v>
      </c>
      <c r="R11" s="55">
        <f t="shared" ca="1" si="4"/>
        <v>1109116.48532999</v>
      </c>
      <c r="S11" s="55">
        <v>1998137.4</v>
      </c>
      <c r="T11" s="56">
        <f t="shared" ref="T11:T18" ca="1" si="7">S11-E11</f>
        <v>-424952.29999999003</v>
      </c>
      <c r="U11" s="405">
        <f t="shared" ca="1" si="5"/>
        <v>1118440.48532999</v>
      </c>
      <c r="V11" s="406">
        <f>ЦА!E11-ЦА!L11</f>
        <v>9324</v>
      </c>
      <c r="W11" s="406">
        <f t="shared" ca="1" si="6"/>
        <v>1109116.48532999</v>
      </c>
      <c r="X11" s="431" t="s">
        <v>226</v>
      </c>
      <c r="Y11" s="432">
        <f ca="1">IFERROR(__xludf.DUMMYFUNCTION("""COMPUTED_VALUE"""),71330.681)</f>
        <v>71330.680999999997</v>
      </c>
      <c r="Z11" s="432">
        <f ca="1">IFERROR(__xludf.DUMMYFUNCTION("""COMPUTED_VALUE"""),38955)</f>
        <v>38955</v>
      </c>
      <c r="AA11" s="432">
        <f ca="1">IFERROR(__xludf.DUMMYFUNCTION("""COMPUTED_VALUE"""),41157)</f>
        <v>41157</v>
      </c>
      <c r="AB11" s="432">
        <f ca="1">IFERROR(__xludf.DUMMYFUNCTION("""COMPUTED_VALUE"""),51466.33)</f>
        <v>51466.33</v>
      </c>
      <c r="AC11" s="432">
        <f ca="1">IFERROR(__xludf.DUMMYFUNCTION("""COMPUTED_VALUE"""),41724.00019)</f>
        <v>41724.000189999999</v>
      </c>
      <c r="AD11" s="432">
        <f ca="1">IFERROR(__xludf.DUMMYFUNCTION("""COMPUTED_VALUE"""),84958)</f>
        <v>84958</v>
      </c>
      <c r="AE11" s="432">
        <f ca="1">IFERROR(__xludf.DUMMYFUNCTION("""COMPUTED_VALUE"""),37656)</f>
        <v>37656</v>
      </c>
      <c r="AF11" s="432">
        <f ca="1">IFERROR(__xludf.DUMMYFUNCTION("""COMPUTED_VALUE"""),79600.01)</f>
        <v>79600.009999999995</v>
      </c>
      <c r="AG11" s="432">
        <f ca="1">IFERROR(__xludf.DUMMYFUNCTION("""COMPUTED_VALUE"""),82522.9999999999)</f>
        <v>82522.999999999898</v>
      </c>
      <c r="AH11" s="432">
        <f ca="1">IFERROR(__xludf.DUMMYFUNCTION("""COMPUTED_VALUE"""),48812.196)</f>
        <v>48812.196000000004</v>
      </c>
      <c r="AI11" s="432">
        <f ca="1">IFERROR(__xludf.DUMMYFUNCTION("""COMPUTED_VALUE"""),31362.59814)</f>
        <v>31362.598139999998</v>
      </c>
      <c r="AJ11" s="432">
        <f ca="1">IFERROR(__xludf.DUMMYFUNCTION("""COMPUTED_VALUE"""),72852)</f>
        <v>72852</v>
      </c>
      <c r="AK11" s="432">
        <f ca="1">IFERROR(__xludf.DUMMYFUNCTION("""COMPUTED_VALUE"""),67831)</f>
        <v>67831</v>
      </c>
      <c r="AL11" s="433">
        <f ca="1">IFERROR(__xludf.DUMMYFUNCTION("""COMPUTED_VALUE"""),83611)</f>
        <v>83611</v>
      </c>
      <c r="AM11" s="432">
        <f ca="1">IFERROR(__xludf.DUMMYFUNCTION("""COMPUTED_VALUE"""),23068.67)</f>
        <v>23068.67</v>
      </c>
      <c r="AN11" s="368">
        <f ca="1">IFERROR(__xludf.DUMMYFUNCTION("""COMPUTED_VALUE"""),33986)</f>
        <v>33986</v>
      </c>
      <c r="AO11" s="433">
        <f ca="1">IFERROR(__xludf.DUMMYFUNCTION("""COMPUTED_VALUE"""),17376)</f>
        <v>17376</v>
      </c>
      <c r="AP11" s="368">
        <f ca="1">IFERROR(__xludf.DUMMYFUNCTION("""COMPUTED_VALUE"""),96288.9999999999)</f>
        <v>96288.999999999898</v>
      </c>
      <c r="AQ11" s="368">
        <f ca="1">IFERROR(__xludf.DUMMYFUNCTION("""COMPUTED_VALUE"""),19285)</f>
        <v>19285</v>
      </c>
      <c r="AR11" s="368">
        <f ca="1">IFERROR(__xludf.DUMMYFUNCTION("""COMPUTED_VALUE"""),40837)</f>
        <v>40837</v>
      </c>
      <c r="AS11" s="368">
        <f ca="1">IFERROR(__xludf.DUMMYFUNCTION("""COMPUTED_VALUE"""),44436)</f>
        <v>44436</v>
      </c>
      <c r="AT11" s="13"/>
      <c r="AU11" s="367"/>
    </row>
    <row r="12" spans="1:47" ht="30">
      <c r="A12" s="863"/>
      <c r="B12" s="370"/>
      <c r="C12" s="370">
        <v>135</v>
      </c>
      <c r="D12" s="429" t="s">
        <v>18</v>
      </c>
      <c r="E12" s="401">
        <f ca="1">ЦА!E12+'СВОД терр'!E12</f>
        <v>306867.89999999997</v>
      </c>
      <c r="F12" s="401">
        <f ca="1">ЦА!F12+'СВОД терр'!F12</f>
        <v>142383</v>
      </c>
      <c r="G12" s="401">
        <f ca="1">ЦА!G12+'СВОД терр'!G12</f>
        <v>142337.93037000002</v>
      </c>
      <c r="H12" s="401">
        <f ca="1">ЦА!H12+'СВОД терр'!H12</f>
        <v>45.069630000012602</v>
      </c>
      <c r="I12" s="401">
        <f t="shared" ca="1" si="1"/>
        <v>99.968346200037942</v>
      </c>
      <c r="J12" s="401"/>
      <c r="K12" s="401">
        <f ca="1">ЦА!K12+'СВОД терр'!K12</f>
        <v>142383</v>
      </c>
      <c r="L12" s="401">
        <f ca="1">ЦА!L12+'СВОД терр'!L12</f>
        <v>142337.93037000002</v>
      </c>
      <c r="M12" s="401">
        <f ca="1">ЦА!M12+'СВОД терр'!M12</f>
        <v>45.069630000012602</v>
      </c>
      <c r="N12" s="401">
        <f t="shared" ca="1" si="2"/>
        <v>99.968346200037942</v>
      </c>
      <c r="O12" s="434"/>
      <c r="P12" s="403">
        <f t="shared" ca="1" si="3"/>
        <v>164529.96962999995</v>
      </c>
      <c r="Q12" s="55">
        <f>ЦА!E12-ЦА!G12</f>
        <v>1325</v>
      </c>
      <c r="R12" s="55">
        <f t="shared" ca="1" si="4"/>
        <v>163204.96962999995</v>
      </c>
      <c r="S12" s="55">
        <v>222706.50000000003</v>
      </c>
      <c r="T12" s="56">
        <f t="shared" ca="1" si="7"/>
        <v>-84161.399999999936</v>
      </c>
      <c r="U12" s="405">
        <f t="shared" ca="1" si="5"/>
        <v>164529.96962999995</v>
      </c>
      <c r="V12" s="406">
        <f>ЦА!E12-ЦА!L12</f>
        <v>1325</v>
      </c>
      <c r="W12" s="406">
        <f t="shared" ca="1" si="6"/>
        <v>163204.96962999995</v>
      </c>
      <c r="X12" s="431" t="s">
        <v>226</v>
      </c>
      <c r="Y12" s="432">
        <f ca="1">IFERROR(__xludf.DUMMYFUNCTION("""COMPUTED_VALUE"""),10486.073)</f>
        <v>10486.073</v>
      </c>
      <c r="Z12" s="432">
        <f ca="1">IFERROR(__xludf.DUMMYFUNCTION("""COMPUTED_VALUE"""),5443)</f>
        <v>5443</v>
      </c>
      <c r="AA12" s="432">
        <f ca="1">IFERROR(__xludf.DUMMYFUNCTION("""COMPUTED_VALUE"""),6045)</f>
        <v>6045</v>
      </c>
      <c r="AB12" s="432">
        <f ca="1">IFERROR(__xludf.DUMMYFUNCTION("""COMPUTED_VALUE"""),7598)</f>
        <v>7598</v>
      </c>
      <c r="AC12" s="432">
        <f ca="1">IFERROR(__xludf.DUMMYFUNCTION("""COMPUTED_VALUE"""),5226.00063)</f>
        <v>5226.0006299999995</v>
      </c>
      <c r="AD12" s="432">
        <f ca="1">IFERROR(__xludf.DUMMYFUNCTION("""COMPUTED_VALUE"""),12456)</f>
        <v>12456</v>
      </c>
      <c r="AE12" s="432">
        <f ca="1">IFERROR(__xludf.DUMMYFUNCTION("""COMPUTED_VALUE"""),6568)</f>
        <v>6568</v>
      </c>
      <c r="AF12" s="432">
        <f ca="1">IFERROR(__xludf.DUMMYFUNCTION("""COMPUTED_VALUE"""),9330.01)</f>
        <v>9330.01</v>
      </c>
      <c r="AG12" s="432">
        <f ca="1">IFERROR(__xludf.DUMMYFUNCTION("""COMPUTED_VALUE"""),12098)</f>
        <v>12098</v>
      </c>
      <c r="AH12" s="432">
        <f ca="1">IFERROR(__xludf.DUMMYFUNCTION("""COMPUTED_VALUE"""),5827)</f>
        <v>5827</v>
      </c>
      <c r="AI12" s="432">
        <f ca="1">IFERROR(__xludf.DUMMYFUNCTION("""COMPUTED_VALUE"""),5497)</f>
        <v>5497</v>
      </c>
      <c r="AJ12" s="432">
        <f ca="1">IFERROR(__xludf.DUMMYFUNCTION("""COMPUTED_VALUE"""),11948)</f>
        <v>11948</v>
      </c>
      <c r="AK12" s="432">
        <f ca="1">IFERROR(__xludf.DUMMYFUNCTION("""COMPUTED_VALUE"""),10009)</f>
        <v>10009</v>
      </c>
      <c r="AL12" s="433">
        <f ca="1">IFERROR(__xludf.DUMMYFUNCTION("""COMPUTED_VALUE"""),11433)</f>
        <v>11433</v>
      </c>
      <c r="AM12" s="432">
        <f ca="1">IFERROR(__xludf.DUMMYFUNCTION("""COMPUTED_VALUE"""),3850.89999999999)</f>
        <v>3850.8999999999901</v>
      </c>
      <c r="AN12" s="368">
        <f ca="1">IFERROR(__xludf.DUMMYFUNCTION("""COMPUTED_VALUE"""),4986)</f>
        <v>4986</v>
      </c>
      <c r="AO12" s="433">
        <f ca="1">IFERROR(__xludf.DUMMYFUNCTION("""COMPUTED_VALUE"""),2546)</f>
        <v>2546</v>
      </c>
      <c r="AP12" s="368">
        <f ca="1">IFERROR(__xludf.DUMMYFUNCTION("""COMPUTED_VALUE"""),13831)</f>
        <v>13831</v>
      </c>
      <c r="AQ12" s="368">
        <f ca="1">IFERROR(__xludf.DUMMYFUNCTION("""COMPUTED_VALUE"""),5620)</f>
        <v>5620</v>
      </c>
      <c r="AR12" s="368">
        <f ca="1">IFERROR(__xludf.DUMMYFUNCTION("""COMPUTED_VALUE"""),5975)</f>
        <v>5975</v>
      </c>
      <c r="AS12" s="368">
        <f ca="1">IFERROR(__xludf.DUMMYFUNCTION("""COMPUTED_VALUE"""),6431.986)</f>
        <v>6431.9859999999999</v>
      </c>
      <c r="AT12" s="13"/>
      <c r="AU12" s="367"/>
    </row>
    <row r="13" spans="1:47" ht="51.75">
      <c r="A13" s="863"/>
      <c r="B13" s="370"/>
      <c r="C13" s="370">
        <v>136</v>
      </c>
      <c r="D13" s="429" t="s">
        <v>19</v>
      </c>
      <c r="E13" s="401">
        <f ca="1">ЦА!E13+'СВОД терр'!E13</f>
        <v>14633.8</v>
      </c>
      <c r="F13" s="401">
        <f ca="1">ЦА!F13+'СВОД терр'!F13</f>
        <v>14533.8</v>
      </c>
      <c r="G13" s="401">
        <f ca="1">ЦА!G13+'СВОД терр'!G13</f>
        <v>14435.056999999901</v>
      </c>
      <c r="H13" s="401">
        <f ca="1">ЦА!H13+'СВОД терр'!H13</f>
        <v>98.743000000000393</v>
      </c>
      <c r="I13" s="401">
        <f t="shared" ca="1" si="1"/>
        <v>99.320597503749198</v>
      </c>
      <c r="J13" s="401">
        <f ca="1">L8/E8*100</f>
        <v>44.623583178610154</v>
      </c>
      <c r="K13" s="401">
        <f ca="1">ЦА!K13+'СВОД терр'!K13</f>
        <v>14533.8</v>
      </c>
      <c r="L13" s="401">
        <f ca="1">ЦА!L13+'СВОД терр'!L13</f>
        <v>14435.056999999901</v>
      </c>
      <c r="M13" s="401">
        <f ca="1">ЦА!M13+'СВОД терр'!M13</f>
        <v>98.743000000000393</v>
      </c>
      <c r="N13" s="401">
        <f t="shared" ca="1" si="2"/>
        <v>99.320597503749198</v>
      </c>
      <c r="O13" s="434"/>
      <c r="P13" s="403">
        <f t="shared" ca="1" si="3"/>
        <v>198.74300000009862</v>
      </c>
      <c r="Q13" s="55">
        <f>ЦА!E13-ЦА!G13</f>
        <v>0</v>
      </c>
      <c r="R13" s="55">
        <f t="shared" ca="1" si="4"/>
        <v>198.74300000009862</v>
      </c>
      <c r="S13" s="55">
        <v>21348.399999999998</v>
      </c>
      <c r="T13" s="56">
        <f t="shared" ca="1" si="7"/>
        <v>6714.5999999999985</v>
      </c>
      <c r="U13" s="405">
        <f t="shared" ca="1" si="5"/>
        <v>198.74300000009862</v>
      </c>
      <c r="V13" s="406">
        <f>ЦА!E13-ЦА!L13</f>
        <v>0</v>
      </c>
      <c r="W13" s="406">
        <f t="shared" ca="1" si="6"/>
        <v>198.74300000009862</v>
      </c>
      <c r="X13" s="431" t="s">
        <v>227</v>
      </c>
      <c r="Y13" s="432">
        <f ca="1">IFERROR(__xludf.DUMMYFUNCTION("""COMPUTED_VALUE"""),0)</f>
        <v>0</v>
      </c>
      <c r="Z13" s="432">
        <f ca="1">IFERROR(__xludf.DUMMYFUNCTION("""COMPUTED_VALUE"""),3.43799999999998)</f>
        <v>3.4379999999999802</v>
      </c>
      <c r="AA13" s="432">
        <f ca="1">IFERROR(__xludf.DUMMYFUNCTION("""COMPUTED_VALUE"""),0)</f>
        <v>0</v>
      </c>
      <c r="AB13" s="432">
        <f ca="1">IFERROR(__xludf.DUMMYFUNCTION("""COMPUTED_VALUE"""),0)</f>
        <v>0</v>
      </c>
      <c r="AC13" s="432">
        <f ca="1">IFERROR(__xludf.DUMMYFUNCTION("""COMPUTED_VALUE"""),0.0389999999999872)</f>
        <v>3.8999999999987198E-2</v>
      </c>
      <c r="AD13" s="432">
        <f ca="1">IFERROR(__xludf.DUMMYFUNCTION("""COMPUTED_VALUE"""),0)</f>
        <v>0</v>
      </c>
      <c r="AE13" s="432">
        <f ca="1">IFERROR(__xludf.DUMMYFUNCTION("""COMPUTED_VALUE"""),139.449999999999)</f>
        <v>139.44999999999899</v>
      </c>
      <c r="AF13" s="432">
        <f ca="1">IFERROR(__xludf.DUMMYFUNCTION("""COMPUTED_VALUE"""),48.1999999999999)</f>
        <v>48.199999999999903</v>
      </c>
      <c r="AG13" s="432">
        <f ca="1">IFERROR(__xludf.DUMMYFUNCTION("""COMPUTED_VALUE"""),0)</f>
        <v>0</v>
      </c>
      <c r="AH13" s="432">
        <f ca="1">IFERROR(__xludf.DUMMYFUNCTION("""COMPUTED_VALUE"""),0)</f>
        <v>0</v>
      </c>
      <c r="AI13" s="432">
        <f ca="1">IFERROR(__xludf.DUMMYFUNCTION("""COMPUTED_VALUE"""),0)</f>
        <v>0</v>
      </c>
      <c r="AJ13" s="432">
        <f ca="1">IFERROR(__xludf.DUMMYFUNCTION("""COMPUTED_VALUE"""),0)</f>
        <v>0</v>
      </c>
      <c r="AK13" s="432">
        <f ca="1">IFERROR(__xludf.DUMMYFUNCTION("""COMPUTED_VALUE"""),0)</f>
        <v>0</v>
      </c>
      <c r="AL13" s="433">
        <f ca="1">IFERROR(__xludf.DUMMYFUNCTION("""COMPUTED_VALUE"""),0.450000000000045)</f>
        <v>0.45000000000004498</v>
      </c>
      <c r="AM13" s="432">
        <f ca="1">IFERROR(__xludf.DUMMYFUNCTION("""COMPUTED_VALUE"""),0)</f>
        <v>0</v>
      </c>
      <c r="AN13" s="368">
        <f ca="1">IFERROR(__xludf.DUMMYFUNCTION("""COMPUTED_VALUE"""),0)</f>
        <v>0</v>
      </c>
      <c r="AO13" s="432">
        <f ca="1">IFERROR(__xludf.DUMMYFUNCTION("""COMPUTED_VALUE"""),0)</f>
        <v>0</v>
      </c>
      <c r="AP13" s="368">
        <f ca="1">IFERROR(__xludf.DUMMYFUNCTION("""COMPUTED_VALUE"""),0)</f>
        <v>0</v>
      </c>
      <c r="AQ13" s="368">
        <f ca="1">IFERROR(__xludf.DUMMYFUNCTION("""COMPUTED_VALUE"""),0)</f>
        <v>0</v>
      </c>
      <c r="AR13" s="368">
        <f ca="1">IFERROR(__xludf.DUMMYFUNCTION("""COMPUTED_VALUE"""),7.16599999999994)</f>
        <v>7.16599999999994</v>
      </c>
      <c r="AS13" s="368">
        <f ca="1">IFERROR(__xludf.DUMMYFUNCTION("""COMPUTED_VALUE"""),0)</f>
        <v>0</v>
      </c>
      <c r="AT13" s="13"/>
      <c r="AU13" s="367"/>
    </row>
    <row r="14" spans="1:47" ht="30">
      <c r="A14" s="863"/>
      <c r="B14" s="370"/>
      <c r="C14" s="370">
        <v>157</v>
      </c>
      <c r="D14" s="429" t="s">
        <v>75</v>
      </c>
      <c r="E14" s="401">
        <f ca="1">ЦА!E14+'СВОД терр'!E14</f>
        <v>0</v>
      </c>
      <c r="F14" s="401">
        <f ca="1">ЦА!F14+'СВОД терр'!F14</f>
        <v>0</v>
      </c>
      <c r="G14" s="401">
        <f ca="1">ЦА!G14+'СВОД терр'!G14</f>
        <v>0</v>
      </c>
      <c r="H14" s="401">
        <f ca="1">ЦА!H14+'СВОД терр'!H14</f>
        <v>0</v>
      </c>
      <c r="I14" s="401" t="e">
        <f t="shared" ca="1" si="1"/>
        <v>#DIV/0!</v>
      </c>
      <c r="J14" s="401"/>
      <c r="K14" s="401">
        <f ca="1">ЦА!K14+'СВОД терр'!K14</f>
        <v>0</v>
      </c>
      <c r="L14" s="401">
        <f ca="1">ЦА!L14+'СВОД терр'!L14</f>
        <v>0</v>
      </c>
      <c r="M14" s="401">
        <f ca="1">ЦА!M14+'СВОД терр'!M14</f>
        <v>0</v>
      </c>
      <c r="N14" s="401" t="e">
        <f t="shared" ca="1" si="2"/>
        <v>#DIV/0!</v>
      </c>
      <c r="O14" s="434"/>
      <c r="P14" s="403">
        <f t="shared" ca="1" si="3"/>
        <v>0</v>
      </c>
      <c r="Q14" s="55">
        <f>ЦА!E14-ЦА!G14</f>
        <v>0</v>
      </c>
      <c r="R14" s="55">
        <f t="shared" ca="1" si="4"/>
        <v>0</v>
      </c>
      <c r="S14" s="55">
        <v>0</v>
      </c>
      <c r="T14" s="56">
        <f t="shared" ca="1" si="7"/>
        <v>0</v>
      </c>
      <c r="U14" s="405">
        <f t="shared" ca="1" si="5"/>
        <v>0</v>
      </c>
      <c r="V14" s="406">
        <f>ЦА!E14-ЦА!L14</f>
        <v>0</v>
      </c>
      <c r="W14" s="406">
        <f t="shared" ca="1" si="6"/>
        <v>0</v>
      </c>
      <c r="X14" s="407"/>
      <c r="Y14" s="432">
        <f ca="1">IFERROR(__xludf.DUMMYFUNCTION("""COMPUTED_VALUE"""),0)</f>
        <v>0</v>
      </c>
      <c r="Z14" s="432">
        <f ca="1">IFERROR(__xludf.DUMMYFUNCTION("""COMPUTED_VALUE"""),0)</f>
        <v>0</v>
      </c>
      <c r="AA14" s="432">
        <f ca="1">IFERROR(__xludf.DUMMYFUNCTION("""COMPUTED_VALUE"""),0)</f>
        <v>0</v>
      </c>
      <c r="AB14" s="432">
        <f ca="1">IFERROR(__xludf.DUMMYFUNCTION("""COMPUTED_VALUE"""),0)</f>
        <v>0</v>
      </c>
      <c r="AC14" s="432">
        <f ca="1">IFERROR(__xludf.DUMMYFUNCTION("""COMPUTED_VALUE"""),0)</f>
        <v>0</v>
      </c>
      <c r="AD14" s="432">
        <f ca="1">IFERROR(__xludf.DUMMYFUNCTION("""COMPUTED_VALUE"""),-504.431)</f>
        <v>-504.43099999999998</v>
      </c>
      <c r="AE14" s="432">
        <f ca="1">IFERROR(__xludf.DUMMYFUNCTION("""COMPUTED_VALUE"""),0)</f>
        <v>0</v>
      </c>
      <c r="AF14" s="432">
        <f ca="1">IFERROR(__xludf.DUMMYFUNCTION("""COMPUTED_VALUE"""),0)</f>
        <v>0</v>
      </c>
      <c r="AG14" s="432">
        <f ca="1">IFERROR(__xludf.DUMMYFUNCTION("""COMPUTED_VALUE"""),0)</f>
        <v>0</v>
      </c>
      <c r="AH14" s="432">
        <f ca="1">IFERROR(__xludf.DUMMYFUNCTION("""COMPUTED_VALUE"""),0)</f>
        <v>0</v>
      </c>
      <c r="AI14" s="432">
        <f ca="1">IFERROR(__xludf.DUMMYFUNCTION("""COMPUTED_VALUE"""),0)</f>
        <v>0</v>
      </c>
      <c r="AJ14" s="432">
        <f ca="1">IFERROR(__xludf.DUMMYFUNCTION("""COMPUTED_VALUE"""),0)</f>
        <v>0</v>
      </c>
      <c r="AK14" s="432">
        <f ca="1">IFERROR(__xludf.DUMMYFUNCTION("""COMPUTED_VALUE"""),0)</f>
        <v>0</v>
      </c>
      <c r="AL14" s="433">
        <f ca="1">IFERROR(__xludf.DUMMYFUNCTION("""COMPUTED_VALUE"""),0)</f>
        <v>0</v>
      </c>
      <c r="AM14" s="432">
        <f ca="1">IFERROR(__xludf.DUMMYFUNCTION("""COMPUTED_VALUE"""),0)</f>
        <v>0</v>
      </c>
      <c r="AN14" s="368">
        <f ca="1">IFERROR(__xludf.DUMMYFUNCTION("""COMPUTED_VALUE"""),0)</f>
        <v>0</v>
      </c>
      <c r="AO14" s="432">
        <f ca="1">IFERROR(__xludf.DUMMYFUNCTION("""COMPUTED_VALUE"""),0)</f>
        <v>0</v>
      </c>
      <c r="AP14" s="368">
        <f ca="1">IFERROR(__xludf.DUMMYFUNCTION("""COMPUTED_VALUE"""),0)</f>
        <v>0</v>
      </c>
      <c r="AQ14" s="368">
        <f ca="1">IFERROR(__xludf.DUMMYFUNCTION("""COMPUTED_VALUE"""),0)</f>
        <v>0</v>
      </c>
      <c r="AR14" s="368">
        <f ca="1">IFERROR(__xludf.DUMMYFUNCTION("""COMPUTED_VALUE"""),0)</f>
        <v>0</v>
      </c>
      <c r="AS14" s="368">
        <f ca="1">IFERROR(__xludf.DUMMYFUNCTION("""COMPUTED_VALUE"""),0)</f>
        <v>0</v>
      </c>
      <c r="AT14" s="13"/>
      <c r="AU14" s="367"/>
    </row>
    <row r="15" spans="1:47" ht="15">
      <c r="A15" s="862"/>
      <c r="B15" s="370"/>
      <c r="C15" s="370">
        <v>159</v>
      </c>
      <c r="D15" s="370" t="s">
        <v>21</v>
      </c>
      <c r="E15" s="401">
        <f ca="1">ЦА!E15+'СВОД терр'!E15</f>
        <v>35577.699999999997</v>
      </c>
      <c r="F15" s="401">
        <f ca="1">ЦА!F15+'СВОД терр'!F15</f>
        <v>8626.0999999999894</v>
      </c>
      <c r="G15" s="401">
        <f ca="1">ЦА!G15+'СВОД терр'!G15</f>
        <v>7523.4349399999901</v>
      </c>
      <c r="H15" s="401">
        <f ca="1">ЦА!H15+'СВОД терр'!H15</f>
        <v>1102.66505999999</v>
      </c>
      <c r="I15" s="401">
        <f t="shared" ca="1" si="1"/>
        <v>87.217107847115145</v>
      </c>
      <c r="J15" s="401"/>
      <c r="K15" s="401">
        <f ca="1">ЦА!K15+'СВОД терр'!K15</f>
        <v>4686.2999999999902</v>
      </c>
      <c r="L15" s="401">
        <f ca="1">ЦА!L15+'СВОД терр'!L15</f>
        <v>4658.2359400000005</v>
      </c>
      <c r="M15" s="401">
        <f ca="1">ЦА!M15+'СВОД терр'!M15</f>
        <v>28.064059999998303</v>
      </c>
      <c r="N15" s="401">
        <f t="shared" ca="1" si="2"/>
        <v>99.401146746900764</v>
      </c>
      <c r="O15" s="434"/>
      <c r="P15" s="403">
        <f t="shared" ca="1" si="3"/>
        <v>28054.265060000005</v>
      </c>
      <c r="Q15" s="55">
        <f>ЦА!E15-ЦА!G15</f>
        <v>6746.2960000000003</v>
      </c>
      <c r="R15" s="435">
        <f t="shared" ca="1" si="4"/>
        <v>21307.969060000003</v>
      </c>
      <c r="S15" s="55">
        <v>33451.599999999999</v>
      </c>
      <c r="T15" s="56">
        <f t="shared" ca="1" si="7"/>
        <v>-2126.0999999999985</v>
      </c>
      <c r="U15" s="405">
        <f t="shared" ca="1" si="5"/>
        <v>30919.464059999998</v>
      </c>
      <c r="V15" s="406">
        <f>ЦА!E15-ЦА!L15</f>
        <v>8179.0959999999995</v>
      </c>
      <c r="W15" s="406">
        <f t="shared" ca="1" si="6"/>
        <v>22740.368060000001</v>
      </c>
      <c r="X15" s="436" t="s">
        <v>56</v>
      </c>
      <c r="Y15" s="432">
        <f ca="1">IFERROR(__xludf.DUMMYFUNCTION("""COMPUTED_VALUE"""),254.772)</f>
        <v>254.77199999999999</v>
      </c>
      <c r="Z15" s="432">
        <f ca="1">IFERROR(__xludf.DUMMYFUNCTION("""COMPUTED_VALUE"""),910)</f>
        <v>910</v>
      </c>
      <c r="AA15" s="432">
        <f ca="1">IFERROR(__xludf.DUMMYFUNCTION("""COMPUTED_VALUE"""),0)</f>
        <v>0</v>
      </c>
      <c r="AB15" s="432">
        <f ca="1">IFERROR(__xludf.DUMMYFUNCTION("""COMPUTED_VALUE"""),458.5)</f>
        <v>458.5</v>
      </c>
      <c r="AC15" s="432">
        <f ca="1">IFERROR(__xludf.DUMMYFUNCTION("""COMPUTED_VALUE"""),1110.10806)</f>
        <v>1110.10806</v>
      </c>
      <c r="AD15" s="432" t="str">
        <f ca="1">IFERROR(__xludf.DUMMYFUNCTION("""COMPUTED_VALUE"""),"#REF!")</f>
        <v>#REF!</v>
      </c>
      <c r="AE15" s="432">
        <f ca="1">IFERROR(__xludf.DUMMYFUNCTION("""COMPUTED_VALUE"""),245)</f>
        <v>245</v>
      </c>
      <c r="AF15" s="432">
        <f ca="1">IFERROR(__xludf.DUMMYFUNCTION("""COMPUTED_VALUE"""),0)</f>
        <v>0</v>
      </c>
      <c r="AG15" s="432">
        <f ca="1">IFERROR(__xludf.DUMMYFUNCTION("""COMPUTED_VALUE"""),0)</f>
        <v>0</v>
      </c>
      <c r="AH15" s="432">
        <f ca="1">IFERROR(__xludf.DUMMYFUNCTION("""COMPUTED_VALUE"""),979.6)</f>
        <v>979.6</v>
      </c>
      <c r="AI15" s="432">
        <f ca="1">IFERROR(__xludf.DUMMYFUNCTION("""COMPUTED_VALUE"""),0)</f>
        <v>0</v>
      </c>
      <c r="AJ15" s="432">
        <f ca="1">IFERROR(__xludf.DUMMYFUNCTION("""COMPUTED_VALUE"""),0)</f>
        <v>0</v>
      </c>
      <c r="AK15" s="432">
        <f ca="1">IFERROR(__xludf.DUMMYFUNCTION("""COMPUTED_VALUE"""),0)</f>
        <v>0</v>
      </c>
      <c r="AL15" s="433">
        <f ca="1">IFERROR(__xludf.DUMMYFUNCTION("""COMPUTED_VALUE"""),303.909999999999)</f>
        <v>303.909999999999</v>
      </c>
      <c r="AM15" s="432">
        <f ca="1">IFERROR(__xludf.DUMMYFUNCTION("""COMPUTED_VALUE"""),46.0099999999999)</f>
        <v>46.009999999999899</v>
      </c>
      <c r="AN15" s="368">
        <f ca="1">IFERROR(__xludf.DUMMYFUNCTION("""COMPUTED_VALUE"""),0)</f>
        <v>0</v>
      </c>
      <c r="AO15" s="432">
        <f ca="1">IFERROR(__xludf.DUMMYFUNCTION("""COMPUTED_VALUE"""),0)</f>
        <v>0</v>
      </c>
      <c r="AP15" s="368">
        <f ca="1">IFERROR(__xludf.DUMMYFUNCTION("""COMPUTED_VALUE"""),17000)</f>
        <v>17000</v>
      </c>
      <c r="AQ15" s="368">
        <f ca="1">IFERROR(__xludf.DUMMYFUNCTION("""COMPUTED_VALUE"""),0)</f>
        <v>0</v>
      </c>
      <c r="AR15" s="368">
        <f ca="1">IFERROR(__xludf.DUMMYFUNCTION("""COMPUTED_VALUE"""),0)</f>
        <v>0</v>
      </c>
      <c r="AS15" s="368">
        <f ca="1">IFERROR(__xludf.DUMMYFUNCTION("""COMPUTED_VALUE"""),0)</f>
        <v>0</v>
      </c>
      <c r="AT15" s="13"/>
      <c r="AU15" s="367"/>
    </row>
    <row r="16" spans="1:47" ht="15">
      <c r="A16" s="370"/>
      <c r="B16" s="370"/>
      <c r="C16" s="370">
        <v>169</v>
      </c>
      <c r="D16" s="370" t="s">
        <v>22</v>
      </c>
      <c r="E16" s="401">
        <f ca="1">ЦА!E16+'СВОД терр'!E16</f>
        <v>517.5</v>
      </c>
      <c r="F16" s="401">
        <f ca="1">ЦА!F16+'СВОД терр'!F16</f>
        <v>517.5</v>
      </c>
      <c r="G16" s="401">
        <f ca="1">ЦА!G16+'СВОД терр'!G16</f>
        <v>510.20270999999997</v>
      </c>
      <c r="H16" s="401">
        <f ca="1">ЦА!H16+'СВОД терр'!H16</f>
        <v>7.2972899999999701</v>
      </c>
      <c r="I16" s="401">
        <f t="shared" ca="1" si="1"/>
        <v>98.589895652173908</v>
      </c>
      <c r="J16" s="401"/>
      <c r="K16" s="401">
        <f ca="1">ЦА!K16+'СВОД терр'!K16</f>
        <v>517.5</v>
      </c>
      <c r="L16" s="401">
        <f ca="1">ЦА!L16+'СВОД терр'!L16</f>
        <v>510.20270999999997</v>
      </c>
      <c r="M16" s="401">
        <f ca="1">ЦА!M16+'СВОД терр'!M16</f>
        <v>7.2972899999999701</v>
      </c>
      <c r="N16" s="401">
        <f t="shared" ca="1" si="2"/>
        <v>98.589895652173908</v>
      </c>
      <c r="O16" s="434"/>
      <c r="P16" s="403">
        <f t="shared" ca="1" si="3"/>
        <v>7.2972900000000323</v>
      </c>
      <c r="Q16" s="435">
        <f>ЦА!E16-ЦА!G16</f>
        <v>0</v>
      </c>
      <c r="R16" s="435">
        <f t="shared" ca="1" si="4"/>
        <v>7.2972900000000323</v>
      </c>
      <c r="S16" s="55">
        <v>4788.1000000000004</v>
      </c>
      <c r="T16" s="56">
        <f t="shared" ca="1" si="7"/>
        <v>4270.6000000000004</v>
      </c>
      <c r="U16" s="405">
        <f t="shared" ca="1" si="5"/>
        <v>7.2972900000000323</v>
      </c>
      <c r="V16" s="406">
        <f>ЦА!E16-ЦА!L16</f>
        <v>0</v>
      </c>
      <c r="W16" s="406">
        <f t="shared" ca="1" si="6"/>
        <v>7.2972900000000323</v>
      </c>
      <c r="X16" s="436" t="s">
        <v>228</v>
      </c>
      <c r="Y16" s="432">
        <f ca="1">IFERROR(__xludf.DUMMYFUNCTION("""COMPUTED_VALUE"""),0.0130000000000052)</f>
        <v>1.30000000000052E-2</v>
      </c>
      <c r="Z16" s="432">
        <f ca="1">IFERROR(__xludf.DUMMYFUNCTION("""COMPUTED_VALUE"""),0)</f>
        <v>0</v>
      </c>
      <c r="AA16" s="432">
        <f ca="1">IFERROR(__xludf.DUMMYFUNCTION("""COMPUTED_VALUE"""),0)</f>
        <v>0</v>
      </c>
      <c r="AB16" s="432">
        <f ca="1">IFERROR(__xludf.DUMMYFUNCTION("""COMPUTED_VALUE"""),0)</f>
        <v>0</v>
      </c>
      <c r="AC16" s="432">
        <f ca="1">IFERROR(__xludf.DUMMYFUNCTION("""COMPUTED_VALUE"""),0.0342900000000001)</f>
        <v>3.4290000000000098E-2</v>
      </c>
      <c r="AD16" s="432">
        <f ca="1">IFERROR(__xludf.DUMMYFUNCTION("""COMPUTED_VALUE"""),0)</f>
        <v>0</v>
      </c>
      <c r="AE16" s="432">
        <f ca="1">IFERROR(__xludf.DUMMYFUNCTION("""COMPUTED_VALUE"""),7.25)</f>
        <v>7.25</v>
      </c>
      <c r="AF16" s="432">
        <f ca="1">IFERROR(__xludf.DUMMYFUNCTION("""COMPUTED_VALUE"""),0)</f>
        <v>0</v>
      </c>
      <c r="AG16" s="432">
        <f ca="1">IFERROR(__xludf.DUMMYFUNCTION("""COMPUTED_VALUE"""),0)</f>
        <v>0</v>
      </c>
      <c r="AH16" s="432">
        <f ca="1">IFERROR(__xludf.DUMMYFUNCTION("""COMPUTED_VALUE"""),0)</f>
        <v>0</v>
      </c>
      <c r="AI16" s="432">
        <f ca="1">IFERROR(__xludf.DUMMYFUNCTION("""COMPUTED_VALUE"""),0)</f>
        <v>0</v>
      </c>
      <c r="AJ16" s="432">
        <f ca="1">IFERROR(__xludf.DUMMYFUNCTION("""COMPUTED_VALUE"""),0)</f>
        <v>0</v>
      </c>
      <c r="AK16" s="432">
        <f ca="1">IFERROR(__xludf.DUMMYFUNCTION("""COMPUTED_VALUE"""),0)</f>
        <v>0</v>
      </c>
      <c r="AL16" s="433">
        <f ca="1">IFERROR(__xludf.DUMMYFUNCTION("""COMPUTED_VALUE"""),0)</f>
        <v>0</v>
      </c>
      <c r="AM16" s="432">
        <f ca="1">IFERROR(__xludf.DUMMYFUNCTION("""COMPUTED_VALUE"""),0)</f>
        <v>0</v>
      </c>
      <c r="AN16" s="368">
        <f ca="1">IFERROR(__xludf.DUMMYFUNCTION("""COMPUTED_VALUE"""),0)</f>
        <v>0</v>
      </c>
      <c r="AO16" s="432">
        <f ca="1">IFERROR(__xludf.DUMMYFUNCTION("""COMPUTED_VALUE"""),0)</f>
        <v>0</v>
      </c>
      <c r="AP16" s="368">
        <f ca="1">IFERROR(__xludf.DUMMYFUNCTION("""COMPUTED_VALUE"""),0)</f>
        <v>0</v>
      </c>
      <c r="AQ16" s="368">
        <f ca="1">IFERROR(__xludf.DUMMYFUNCTION("""COMPUTED_VALUE"""),0)</f>
        <v>0</v>
      </c>
      <c r="AR16" s="368">
        <f ca="1">IFERROR(__xludf.DUMMYFUNCTION("""COMPUTED_VALUE"""),0)</f>
        <v>0</v>
      </c>
      <c r="AS16" s="368">
        <f ca="1">IFERROR(__xludf.DUMMYFUNCTION("""COMPUTED_VALUE"""),0)</f>
        <v>0</v>
      </c>
      <c r="AT16" s="13"/>
      <c r="AU16" s="367"/>
    </row>
    <row r="17" spans="1:47" ht="26.25">
      <c r="A17" s="370"/>
      <c r="B17" s="370"/>
      <c r="C17" s="370">
        <v>322</v>
      </c>
      <c r="D17" s="370" t="s">
        <v>23</v>
      </c>
      <c r="E17" s="401">
        <f ca="1">ЦА!E17+'СВОД терр'!E17</f>
        <v>305</v>
      </c>
      <c r="F17" s="401">
        <f ca="1">ЦА!F17+'СВОД терр'!F17</f>
        <v>305</v>
      </c>
      <c r="G17" s="401">
        <f ca="1">ЦА!G17+'СВОД терр'!G17</f>
        <v>304.33</v>
      </c>
      <c r="H17" s="401">
        <f ca="1">ЦА!H17+'СВОД терр'!H17</f>
        <v>0.67000000000001503</v>
      </c>
      <c r="I17" s="401">
        <f t="shared" ca="1" si="1"/>
        <v>99.780327868852453</v>
      </c>
      <c r="J17" s="401"/>
      <c r="K17" s="401">
        <f ca="1">ЦА!K17+'СВОД терр'!K17</f>
        <v>305</v>
      </c>
      <c r="L17" s="401">
        <f ca="1">ЦА!L17+'СВОД терр'!L17</f>
        <v>304.33</v>
      </c>
      <c r="M17" s="401">
        <f ca="1">ЦА!M17+'СВОД терр'!M17</f>
        <v>0.67000000000001503</v>
      </c>
      <c r="N17" s="401">
        <f t="shared" ca="1" si="2"/>
        <v>99.780327868852453</v>
      </c>
      <c r="O17" s="434"/>
      <c r="P17" s="403">
        <f t="shared" ca="1" si="3"/>
        <v>0.67000000000001592</v>
      </c>
      <c r="Q17" s="55">
        <f>ЦА!E17-ЦА!G17</f>
        <v>0</v>
      </c>
      <c r="R17" s="55">
        <f t="shared" ca="1" si="4"/>
        <v>0.67000000000001592</v>
      </c>
      <c r="S17" s="55">
        <v>761.8</v>
      </c>
      <c r="T17" s="56">
        <f t="shared" ca="1" si="7"/>
        <v>456.79999999999995</v>
      </c>
      <c r="U17" s="405">
        <f t="shared" ca="1" si="5"/>
        <v>0.67000000000001592</v>
      </c>
      <c r="V17" s="406">
        <f>ЦА!E17-ЦА!L17</f>
        <v>0</v>
      </c>
      <c r="W17" s="406">
        <f t="shared" ca="1" si="6"/>
        <v>0.67000000000001592</v>
      </c>
      <c r="X17" s="431" t="s">
        <v>229</v>
      </c>
      <c r="Y17" s="432">
        <f ca="1">IFERROR(__xludf.DUMMYFUNCTION("""COMPUTED_VALUE"""),0)</f>
        <v>0</v>
      </c>
      <c r="Z17" s="432">
        <f ca="1">IFERROR(__xludf.DUMMYFUNCTION("""COMPUTED_VALUE"""),0)</f>
        <v>0</v>
      </c>
      <c r="AA17" s="432">
        <f ca="1">IFERROR(__xludf.DUMMYFUNCTION("""COMPUTED_VALUE"""),0)</f>
        <v>0</v>
      </c>
      <c r="AB17" s="432">
        <f ca="1">IFERROR(__xludf.DUMMYFUNCTION("""COMPUTED_VALUE"""),0)</f>
        <v>0</v>
      </c>
      <c r="AC17" s="432">
        <f ca="1">IFERROR(__xludf.DUMMYFUNCTION("""COMPUTED_VALUE"""),0)</f>
        <v>0</v>
      </c>
      <c r="AD17" s="432">
        <f ca="1">IFERROR(__xludf.DUMMYFUNCTION("""COMPUTED_VALUE"""),0)</f>
        <v>0</v>
      </c>
      <c r="AE17" s="432">
        <f ca="1">IFERROR(__xludf.DUMMYFUNCTION("""COMPUTED_VALUE"""),0)</f>
        <v>0</v>
      </c>
      <c r="AF17" s="432">
        <f ca="1">IFERROR(__xludf.DUMMYFUNCTION("""COMPUTED_VALUE"""),0)</f>
        <v>0</v>
      </c>
      <c r="AG17" s="432">
        <f ca="1">IFERROR(__xludf.DUMMYFUNCTION("""COMPUTED_VALUE"""),0)</f>
        <v>0</v>
      </c>
      <c r="AH17" s="432">
        <f ca="1">IFERROR(__xludf.DUMMYFUNCTION("""COMPUTED_VALUE"""),0)</f>
        <v>0</v>
      </c>
      <c r="AI17" s="432">
        <f ca="1">IFERROR(__xludf.DUMMYFUNCTION("""COMPUTED_VALUE"""),0)</f>
        <v>0</v>
      </c>
      <c r="AJ17" s="432">
        <f ca="1">IFERROR(__xludf.DUMMYFUNCTION("""COMPUTED_VALUE"""),0)</f>
        <v>0</v>
      </c>
      <c r="AK17" s="432">
        <f ca="1">IFERROR(__xludf.DUMMYFUNCTION("""COMPUTED_VALUE"""),0)</f>
        <v>0</v>
      </c>
      <c r="AL17" s="433">
        <f ca="1">IFERROR(__xludf.DUMMYFUNCTION("""COMPUTED_VALUE"""),0)</f>
        <v>0</v>
      </c>
      <c r="AM17" s="432">
        <f ca="1">IFERROR(__xludf.DUMMYFUNCTION("""COMPUTED_VALUE"""),0)</f>
        <v>0</v>
      </c>
      <c r="AN17" s="368">
        <f ca="1">IFERROR(__xludf.DUMMYFUNCTION("""COMPUTED_VALUE"""),0)</f>
        <v>0</v>
      </c>
      <c r="AO17" s="432">
        <f ca="1">IFERROR(__xludf.DUMMYFUNCTION("""COMPUTED_VALUE"""),0)</f>
        <v>0</v>
      </c>
      <c r="AP17" s="368">
        <f ca="1">IFERROR(__xludf.DUMMYFUNCTION("""COMPUTED_VALUE"""),0)</f>
        <v>0</v>
      </c>
      <c r="AQ17" s="368">
        <f ca="1">IFERROR(__xludf.DUMMYFUNCTION("""COMPUTED_VALUE"""),0.670000000000015)</f>
        <v>0.67000000000001503</v>
      </c>
      <c r="AR17" s="368">
        <f ca="1">IFERROR(__xludf.DUMMYFUNCTION("""COMPUTED_VALUE"""),0)</f>
        <v>0</v>
      </c>
      <c r="AS17" s="368">
        <f ca="1">IFERROR(__xludf.DUMMYFUNCTION("""COMPUTED_VALUE"""),0)</f>
        <v>0</v>
      </c>
      <c r="AT17" s="13"/>
      <c r="AU17" s="367"/>
    </row>
    <row r="18" spans="1:47" ht="75">
      <c r="A18" s="370"/>
      <c r="B18" s="370"/>
      <c r="C18" s="437">
        <v>414</v>
      </c>
      <c r="D18" s="438" t="s">
        <v>24</v>
      </c>
      <c r="E18" s="401">
        <f ca="1">ЦА!E18+'СВОД терр'!E18</f>
        <v>0</v>
      </c>
      <c r="F18" s="401">
        <f ca="1">ЦА!F18+'СВОД терр'!F18</f>
        <v>0</v>
      </c>
      <c r="G18" s="401">
        <f ca="1">ЦА!G18+'СВОД терр'!G18</f>
        <v>0</v>
      </c>
      <c r="H18" s="401">
        <f ca="1">ЦА!H18+'СВОД терр'!H18</f>
        <v>0</v>
      </c>
      <c r="I18" s="401" t="e">
        <f t="shared" ca="1" si="1"/>
        <v>#DIV/0!</v>
      </c>
      <c r="J18" s="401"/>
      <c r="K18" s="401">
        <f ca="1">ЦА!K18+'СВОД терр'!K18</f>
        <v>0</v>
      </c>
      <c r="L18" s="401">
        <f ca="1">ЦА!L18+'СВОД терр'!L18</f>
        <v>0</v>
      </c>
      <c r="M18" s="401">
        <f ca="1">ЦА!M18+'СВОД терр'!M18</f>
        <v>0</v>
      </c>
      <c r="N18" s="401" t="e">
        <f t="shared" ca="1" si="2"/>
        <v>#DIV/0!</v>
      </c>
      <c r="O18" s="434"/>
      <c r="P18" s="403">
        <f t="shared" ca="1" si="3"/>
        <v>0</v>
      </c>
      <c r="Q18" s="55">
        <f>ЦА!E18-ЦА!G18</f>
        <v>0</v>
      </c>
      <c r="R18" s="55">
        <f t="shared" ca="1" si="4"/>
        <v>0</v>
      </c>
      <c r="S18" s="55">
        <v>0</v>
      </c>
      <c r="T18" s="56">
        <f t="shared" ca="1" si="7"/>
        <v>0</v>
      </c>
      <c r="U18" s="405">
        <f t="shared" ca="1" si="5"/>
        <v>0</v>
      </c>
      <c r="V18" s="406">
        <f>ЦА!E18-ЦА!L18</f>
        <v>0</v>
      </c>
      <c r="W18" s="406">
        <f t="shared" ca="1" si="6"/>
        <v>0</v>
      </c>
      <c r="X18" s="407"/>
      <c r="Y18" s="432">
        <f ca="1">IFERROR(__xludf.DUMMYFUNCTION("""COMPUTED_VALUE"""),0)</f>
        <v>0</v>
      </c>
      <c r="Z18" s="432">
        <f ca="1">IFERROR(__xludf.DUMMYFUNCTION("""COMPUTED_VALUE"""),0)</f>
        <v>0</v>
      </c>
      <c r="AA18" s="432">
        <f ca="1">IFERROR(__xludf.DUMMYFUNCTION("""COMPUTED_VALUE"""),0)</f>
        <v>0</v>
      </c>
      <c r="AB18" s="432">
        <f ca="1">IFERROR(__xludf.DUMMYFUNCTION("""COMPUTED_VALUE"""),0)</f>
        <v>0</v>
      </c>
      <c r="AC18" s="432">
        <f ca="1">IFERROR(__xludf.DUMMYFUNCTION("""COMPUTED_VALUE"""),0)</f>
        <v>0</v>
      </c>
      <c r="AD18" s="432">
        <f ca="1">IFERROR(__xludf.DUMMYFUNCTION("""COMPUTED_VALUE"""),0)</f>
        <v>0</v>
      </c>
      <c r="AE18" s="432">
        <f ca="1">IFERROR(__xludf.DUMMYFUNCTION("""COMPUTED_VALUE"""),0)</f>
        <v>0</v>
      </c>
      <c r="AF18" s="432">
        <f ca="1">IFERROR(__xludf.DUMMYFUNCTION("""COMPUTED_VALUE"""),0)</f>
        <v>0</v>
      </c>
      <c r="AG18" s="432">
        <f ca="1">IFERROR(__xludf.DUMMYFUNCTION("""COMPUTED_VALUE"""),0)</f>
        <v>0</v>
      </c>
      <c r="AH18" s="432">
        <f ca="1">IFERROR(__xludf.DUMMYFUNCTION("""COMPUTED_VALUE"""),0)</f>
        <v>0</v>
      </c>
      <c r="AI18" s="432">
        <f ca="1">IFERROR(__xludf.DUMMYFUNCTION("""COMPUTED_VALUE"""),0)</f>
        <v>0</v>
      </c>
      <c r="AJ18" s="432">
        <f ca="1">IFERROR(__xludf.DUMMYFUNCTION("""COMPUTED_VALUE"""),0)</f>
        <v>0</v>
      </c>
      <c r="AK18" s="432">
        <f ca="1">IFERROR(__xludf.DUMMYFUNCTION("""COMPUTED_VALUE"""),0)</f>
        <v>0</v>
      </c>
      <c r="AL18" s="433">
        <f ca="1">IFERROR(__xludf.DUMMYFUNCTION("""COMPUTED_VALUE"""),0)</f>
        <v>0</v>
      </c>
      <c r="AM18" s="432">
        <f ca="1">IFERROR(__xludf.DUMMYFUNCTION("""COMPUTED_VALUE"""),0)</f>
        <v>0</v>
      </c>
      <c r="AN18" s="432">
        <f ca="1">IFERROR(__xludf.DUMMYFUNCTION("""COMPUTED_VALUE"""),0)</f>
        <v>0</v>
      </c>
      <c r="AO18" s="432">
        <f ca="1">IFERROR(__xludf.DUMMYFUNCTION("""COMPUTED_VALUE"""),0)</f>
        <v>0</v>
      </c>
      <c r="AP18" s="368">
        <f ca="1">IFERROR(__xludf.DUMMYFUNCTION("""COMPUTED_VALUE"""),0)</f>
        <v>0</v>
      </c>
      <c r="AQ18" s="368">
        <f ca="1">IFERROR(__xludf.DUMMYFUNCTION("""COMPUTED_VALUE"""),0)</f>
        <v>0</v>
      </c>
      <c r="AR18" s="368">
        <f ca="1">IFERROR(__xludf.DUMMYFUNCTION("""COMPUTED_VALUE"""),0)</f>
        <v>0</v>
      </c>
      <c r="AS18" s="368">
        <f ca="1">IFERROR(__xludf.DUMMYFUNCTION("""COMPUTED_VALUE"""),0)</f>
        <v>0</v>
      </c>
      <c r="AT18" s="13"/>
      <c r="AU18" s="367"/>
    </row>
    <row r="19" spans="1:47" ht="100.5">
      <c r="A19" s="416"/>
      <c r="B19" s="417">
        <v>104</v>
      </c>
      <c r="C19" s="439"/>
      <c r="D19" s="440" t="s">
        <v>25</v>
      </c>
      <c r="E19" s="419">
        <f ca="1">ЦА!E19+'СВОД терр'!E19</f>
        <v>725359</v>
      </c>
      <c r="F19" s="419">
        <f ca="1">ЦА!F19+'СВОД терр'!F19</f>
        <v>261863.39999999997</v>
      </c>
      <c r="G19" s="419">
        <f ca="1">ЦА!G19+'СВОД терр'!G19</f>
        <v>259440.14600000001</v>
      </c>
      <c r="H19" s="419">
        <f ca="1">ЦА!H19+'СВОД терр'!H19</f>
        <v>2423.2539999999885</v>
      </c>
      <c r="I19" s="419">
        <f t="shared" ca="1" si="1"/>
        <v>99.074611419541654</v>
      </c>
      <c r="J19" s="419"/>
      <c r="K19" s="419">
        <f ca="1">ЦА!K19+'СВОД терр'!K19</f>
        <v>71875.8</v>
      </c>
      <c r="L19" s="419">
        <f ca="1">ЦА!L19+'СВОД терр'!L19</f>
        <v>71875.627999999997</v>
      </c>
      <c r="M19" s="419">
        <f ca="1">ЦА!M19+'СВОД терр'!M19</f>
        <v>0.17200000000093496</v>
      </c>
      <c r="N19" s="419">
        <f t="shared" ca="1" si="2"/>
        <v>99.999760698315697</v>
      </c>
      <c r="O19" s="420"/>
      <c r="P19" s="421">
        <f t="shared" ca="1" si="3"/>
        <v>465918.85399999999</v>
      </c>
      <c r="Q19" s="422">
        <f>ЦА!E19-ЦА!G19</f>
        <v>465918.85399999999</v>
      </c>
      <c r="R19" s="422">
        <f t="shared" ca="1" si="4"/>
        <v>0</v>
      </c>
      <c r="S19" s="423"/>
      <c r="T19" s="423"/>
      <c r="U19" s="424">
        <f t="shared" ca="1" si="5"/>
        <v>653483.37199999997</v>
      </c>
      <c r="V19" s="425">
        <f>ЦА!E19-ЦА!L19</f>
        <v>653483.37199999997</v>
      </c>
      <c r="W19" s="425">
        <f t="shared" ca="1" si="6"/>
        <v>0</v>
      </c>
      <c r="X19" s="426"/>
      <c r="Y19" s="427">
        <f ca="1">IFERROR(__xludf.DUMMYFUNCTION("""COMPUTED_VALUE"""),0)</f>
        <v>0</v>
      </c>
      <c r="Z19" s="427">
        <f ca="1">IFERROR(__xludf.DUMMYFUNCTION("""COMPUTED_VALUE"""),0)</f>
        <v>0</v>
      </c>
      <c r="AA19" s="427">
        <f ca="1">IFERROR(__xludf.DUMMYFUNCTION("""COMPUTED_VALUE"""),0)</f>
        <v>0</v>
      </c>
      <c r="AB19" s="427">
        <f ca="1">IFERROR(__xludf.DUMMYFUNCTION("""COMPUTED_VALUE"""),0)</f>
        <v>0</v>
      </c>
      <c r="AC19" s="427">
        <f ca="1">IFERROR(__xludf.DUMMYFUNCTION("""COMPUTED_VALUE"""),0)</f>
        <v>0</v>
      </c>
      <c r="AD19" s="427">
        <f ca="1">IFERROR(__xludf.DUMMYFUNCTION("""COMPUTED_VALUE"""),0)</f>
        <v>0</v>
      </c>
      <c r="AE19" s="427">
        <f ca="1">IFERROR(__xludf.DUMMYFUNCTION("""COMPUTED_VALUE"""),0)</f>
        <v>0</v>
      </c>
      <c r="AF19" s="427">
        <f ca="1">IFERROR(__xludf.DUMMYFUNCTION("""COMPUTED_VALUE"""),0)</f>
        <v>0</v>
      </c>
      <c r="AG19" s="427">
        <f ca="1">IFERROR(__xludf.DUMMYFUNCTION("""COMPUTED_VALUE"""),0)</f>
        <v>0</v>
      </c>
      <c r="AH19" s="427">
        <f ca="1">IFERROR(__xludf.DUMMYFUNCTION("""COMPUTED_VALUE"""),0)</f>
        <v>0</v>
      </c>
      <c r="AI19" s="427">
        <f ca="1">IFERROR(__xludf.DUMMYFUNCTION("""COMPUTED_VALUE"""),0)</f>
        <v>0</v>
      </c>
      <c r="AJ19" s="427">
        <f ca="1">IFERROR(__xludf.DUMMYFUNCTION("""COMPUTED_VALUE"""),0)</f>
        <v>0</v>
      </c>
      <c r="AK19" s="427">
        <f ca="1">IFERROR(__xludf.DUMMYFUNCTION("""COMPUTED_VALUE"""),0)</f>
        <v>0</v>
      </c>
      <c r="AL19" s="427">
        <f ca="1">IFERROR(__xludf.DUMMYFUNCTION("""COMPUTED_VALUE"""),0)</f>
        <v>0</v>
      </c>
      <c r="AM19" s="427">
        <f ca="1">IFERROR(__xludf.DUMMYFUNCTION("""COMPUTED_VALUE"""),0)</f>
        <v>0</v>
      </c>
      <c r="AN19" s="427">
        <f ca="1">IFERROR(__xludf.DUMMYFUNCTION("""COMPUTED_VALUE"""),0)</f>
        <v>0</v>
      </c>
      <c r="AO19" s="427">
        <f ca="1">IFERROR(__xludf.DUMMYFUNCTION("""COMPUTED_VALUE"""),0)</f>
        <v>0</v>
      </c>
      <c r="AP19" s="427">
        <f ca="1">IFERROR(__xludf.DUMMYFUNCTION("""COMPUTED_VALUE"""),0)</f>
        <v>0</v>
      </c>
      <c r="AQ19" s="427">
        <f ca="1">IFERROR(__xludf.DUMMYFUNCTION("""COMPUTED_VALUE"""),0)</f>
        <v>0</v>
      </c>
      <c r="AR19" s="427">
        <f ca="1">IFERROR(__xludf.DUMMYFUNCTION("""COMPUTED_VALUE"""),0)</f>
        <v>0</v>
      </c>
      <c r="AS19" s="427">
        <f ca="1">IFERROR(__xludf.DUMMYFUNCTION("""COMPUTED_VALUE"""),0)</f>
        <v>0</v>
      </c>
      <c r="AT19" s="428">
        <v>51107.040000000023</v>
      </c>
      <c r="AU19" s="427">
        <f ca="1">P19-AT19</f>
        <v>414811.81399999995</v>
      </c>
    </row>
    <row r="20" spans="1:47" ht="26.25">
      <c r="A20" s="370"/>
      <c r="B20" s="370"/>
      <c r="C20" s="370">
        <v>149</v>
      </c>
      <c r="D20" s="370" t="s">
        <v>26</v>
      </c>
      <c r="E20" s="401">
        <f ca="1">ЦА!E20+'СВОД терр'!E20</f>
        <v>286391</v>
      </c>
      <c r="F20" s="401">
        <f ca="1">ЦА!F20+'СВОД терр'!F20</f>
        <v>1611.9</v>
      </c>
      <c r="G20" s="401">
        <f ca="1">ЦА!G20+'СВОД терр'!G20</f>
        <v>1611.8209999999999</v>
      </c>
      <c r="H20" s="401">
        <f ca="1">ЦА!H20+'СВОД терр'!H20</f>
        <v>7.9000000000178261E-2</v>
      </c>
      <c r="I20" s="401">
        <f t="shared" ca="1" si="1"/>
        <v>99.99509895154786</v>
      </c>
      <c r="J20" s="401"/>
      <c r="K20" s="401">
        <f ca="1">ЦА!K20+'СВОД терр'!K20</f>
        <v>1611.9</v>
      </c>
      <c r="L20" s="401">
        <f ca="1">ЦА!L20+'СВОД терр'!L20</f>
        <v>1611.8209999999999</v>
      </c>
      <c r="M20" s="401">
        <f ca="1">ЦА!M20+'СВОД терр'!M20</f>
        <v>7.9000000000178261E-2</v>
      </c>
      <c r="N20" s="401">
        <f t="shared" ca="1" si="2"/>
        <v>99.99509895154786</v>
      </c>
      <c r="O20" s="434"/>
      <c r="P20" s="403">
        <f t="shared" ca="1" si="3"/>
        <v>284779.179</v>
      </c>
      <c r="Q20" s="435">
        <f>ЦА!E20-ЦА!G20</f>
        <v>284779.179</v>
      </c>
      <c r="R20" s="55">
        <f t="shared" ca="1" si="4"/>
        <v>0</v>
      </c>
      <c r="S20" s="441">
        <v>86197</v>
      </c>
      <c r="T20" s="442">
        <f t="shared" ref="T20:T22" ca="1" si="8">S20-E20</f>
        <v>-200194</v>
      </c>
      <c r="U20" s="405">
        <f t="shared" ca="1" si="5"/>
        <v>284779.179</v>
      </c>
      <c r="V20" s="406">
        <f>ЦА!E20-ЦА!L20</f>
        <v>284779.179</v>
      </c>
      <c r="W20" s="406">
        <f t="shared" ca="1" si="6"/>
        <v>0</v>
      </c>
      <c r="X20" s="431" t="s">
        <v>230</v>
      </c>
      <c r="Y20" s="368">
        <f ca="1">IFERROR(__xludf.DUMMYFUNCTION("""COMPUTED_VALUE"""),0)</f>
        <v>0</v>
      </c>
      <c r="Z20" s="368">
        <f ca="1">IFERROR(__xludf.DUMMYFUNCTION("""COMPUTED_VALUE"""),0)</f>
        <v>0</v>
      </c>
      <c r="AA20" s="368">
        <f ca="1">IFERROR(__xludf.DUMMYFUNCTION("""COMPUTED_VALUE"""),0)</f>
        <v>0</v>
      </c>
      <c r="AB20" s="368">
        <f ca="1">IFERROR(__xludf.DUMMYFUNCTION("""COMPUTED_VALUE"""),0)</f>
        <v>0</v>
      </c>
      <c r="AC20" s="368">
        <f ca="1">IFERROR(__xludf.DUMMYFUNCTION("""COMPUTED_VALUE"""),0)</f>
        <v>0</v>
      </c>
      <c r="AD20" s="368">
        <f ca="1">IFERROR(__xludf.DUMMYFUNCTION("""COMPUTED_VALUE"""),0)</f>
        <v>0</v>
      </c>
      <c r="AE20" s="368">
        <f ca="1">IFERROR(__xludf.DUMMYFUNCTION("""COMPUTED_VALUE"""),0)</f>
        <v>0</v>
      </c>
      <c r="AF20" s="368">
        <f ca="1">IFERROR(__xludf.DUMMYFUNCTION("""COMPUTED_VALUE"""),0)</f>
        <v>0</v>
      </c>
      <c r="AG20" s="368">
        <f ca="1">IFERROR(__xludf.DUMMYFUNCTION("""COMPUTED_VALUE"""),0)</f>
        <v>0</v>
      </c>
      <c r="AH20" s="368">
        <f ca="1">IFERROR(__xludf.DUMMYFUNCTION("""COMPUTED_VALUE"""),0)</f>
        <v>0</v>
      </c>
      <c r="AI20" s="368">
        <f ca="1">IFERROR(__xludf.DUMMYFUNCTION("""COMPUTED_VALUE"""),0)</f>
        <v>0</v>
      </c>
      <c r="AJ20" s="368">
        <f ca="1">IFERROR(__xludf.DUMMYFUNCTION("""COMPUTED_VALUE"""),0)</f>
        <v>0</v>
      </c>
      <c r="AK20" s="368">
        <f ca="1">IFERROR(__xludf.DUMMYFUNCTION("""COMPUTED_VALUE"""),0)</f>
        <v>0</v>
      </c>
      <c r="AL20" s="368">
        <f ca="1">IFERROR(__xludf.DUMMYFUNCTION("""COMPUTED_VALUE"""),0)</f>
        <v>0</v>
      </c>
      <c r="AM20" s="368">
        <f ca="1">IFERROR(__xludf.DUMMYFUNCTION("""COMPUTED_VALUE"""),0)</f>
        <v>0</v>
      </c>
      <c r="AN20" s="368">
        <f ca="1">IFERROR(__xludf.DUMMYFUNCTION("""COMPUTED_VALUE"""),0)</f>
        <v>0</v>
      </c>
      <c r="AO20" s="368">
        <f ca="1">IFERROR(__xludf.DUMMYFUNCTION("""COMPUTED_VALUE"""),0)</f>
        <v>0</v>
      </c>
      <c r="AP20" s="368">
        <f ca="1">IFERROR(__xludf.DUMMYFUNCTION("""COMPUTED_VALUE"""),0)</f>
        <v>0</v>
      </c>
      <c r="AQ20" s="368">
        <f ca="1">IFERROR(__xludf.DUMMYFUNCTION("""COMPUTED_VALUE"""),0)</f>
        <v>0</v>
      </c>
      <c r="AR20" s="368">
        <f ca="1">IFERROR(__xludf.DUMMYFUNCTION("""COMPUTED_VALUE"""),0)</f>
        <v>0</v>
      </c>
      <c r="AS20" s="368">
        <f ca="1">IFERROR(__xludf.DUMMYFUNCTION("""COMPUTED_VALUE"""),0)</f>
        <v>0</v>
      </c>
      <c r="AT20" s="13"/>
      <c r="AU20" s="367"/>
    </row>
    <row r="21" spans="1:47" ht="15">
      <c r="A21" s="370"/>
      <c r="B21" s="370"/>
      <c r="C21" s="370">
        <v>152</v>
      </c>
      <c r="D21" s="370" t="s">
        <v>28</v>
      </c>
      <c r="E21" s="401">
        <f ca="1">ЦА!E21+'СВОД терр'!E21</f>
        <v>194738</v>
      </c>
      <c r="F21" s="401">
        <f ca="1">ЦА!F21+'СВОД терр'!F21</f>
        <v>133290.29999999999</v>
      </c>
      <c r="G21" s="401">
        <f ca="1">ЦА!G21+'СВОД терр'!G21</f>
        <v>130867.15</v>
      </c>
      <c r="H21" s="401">
        <f ca="1">ЦА!H21+'СВОД терр'!H21</f>
        <v>2423.1499999999942</v>
      </c>
      <c r="I21" s="401">
        <f t="shared" ca="1" si="1"/>
        <v>98.182050756881793</v>
      </c>
      <c r="J21" s="401"/>
      <c r="K21" s="401">
        <f ca="1">ЦА!K21+'СВОД терр'!K21</f>
        <v>41191.300000000003</v>
      </c>
      <c r="L21" s="401">
        <f ca="1">ЦА!L21+'СВОД терр'!L21</f>
        <v>41191.207000000002</v>
      </c>
      <c r="M21" s="401">
        <f ca="1">ЦА!M21+'СВОД терр'!M21</f>
        <v>9.30000000007567E-2</v>
      </c>
      <c r="N21" s="401">
        <f t="shared" ca="1" si="2"/>
        <v>99.999774224168689</v>
      </c>
      <c r="O21" s="434"/>
      <c r="P21" s="403">
        <f t="shared" ca="1" si="3"/>
        <v>63870.850000000006</v>
      </c>
      <c r="Q21" s="443">
        <f>ЦА!E21-ЦА!G21</f>
        <v>63870.850000000006</v>
      </c>
      <c r="R21" s="435">
        <f t="shared" ca="1" si="4"/>
        <v>0</v>
      </c>
      <c r="S21" s="441">
        <v>135907.29999999999</v>
      </c>
      <c r="T21" s="442">
        <f t="shared" ca="1" si="8"/>
        <v>-58830.700000000012</v>
      </c>
      <c r="U21" s="405">
        <f t="shared" ca="1" si="5"/>
        <v>153546.79300000001</v>
      </c>
      <c r="V21" s="406">
        <f>ЦА!E21-ЦА!L21</f>
        <v>153546.79300000001</v>
      </c>
      <c r="W21" s="406">
        <f t="shared" ca="1" si="6"/>
        <v>0</v>
      </c>
      <c r="X21" s="444" t="s">
        <v>27</v>
      </c>
      <c r="Y21" s="368">
        <f ca="1">IFERROR(__xludf.DUMMYFUNCTION("""COMPUTED_VALUE"""),0)</f>
        <v>0</v>
      </c>
      <c r="Z21" s="368">
        <f ca="1">IFERROR(__xludf.DUMMYFUNCTION("""COMPUTED_VALUE"""),0)</f>
        <v>0</v>
      </c>
      <c r="AA21" s="368">
        <f ca="1">IFERROR(__xludf.DUMMYFUNCTION("""COMPUTED_VALUE"""),0)</f>
        <v>0</v>
      </c>
      <c r="AB21" s="368">
        <f ca="1">IFERROR(__xludf.DUMMYFUNCTION("""COMPUTED_VALUE"""),0)</f>
        <v>0</v>
      </c>
      <c r="AC21" s="368">
        <f ca="1">IFERROR(__xludf.DUMMYFUNCTION("""COMPUTED_VALUE"""),0)</f>
        <v>0</v>
      </c>
      <c r="AD21" s="368">
        <f ca="1">IFERROR(__xludf.DUMMYFUNCTION("""COMPUTED_VALUE"""),0)</f>
        <v>0</v>
      </c>
      <c r="AE21" s="368">
        <f ca="1">IFERROR(__xludf.DUMMYFUNCTION("""COMPUTED_VALUE"""),0)</f>
        <v>0</v>
      </c>
      <c r="AF21" s="368">
        <f ca="1">IFERROR(__xludf.DUMMYFUNCTION("""COMPUTED_VALUE"""),0)</f>
        <v>0</v>
      </c>
      <c r="AG21" s="368">
        <f ca="1">IFERROR(__xludf.DUMMYFUNCTION("""COMPUTED_VALUE"""),0)</f>
        <v>0</v>
      </c>
      <c r="AH21" s="368">
        <f ca="1">IFERROR(__xludf.DUMMYFUNCTION("""COMPUTED_VALUE"""),0)</f>
        <v>0</v>
      </c>
      <c r="AI21" s="368">
        <f ca="1">IFERROR(__xludf.DUMMYFUNCTION("""COMPUTED_VALUE"""),0)</f>
        <v>0</v>
      </c>
      <c r="AJ21" s="368">
        <f ca="1">IFERROR(__xludf.DUMMYFUNCTION("""COMPUTED_VALUE"""),0)</f>
        <v>0</v>
      </c>
      <c r="AK21" s="368">
        <f ca="1">IFERROR(__xludf.DUMMYFUNCTION("""COMPUTED_VALUE"""),0)</f>
        <v>0</v>
      </c>
      <c r="AL21" s="368">
        <f ca="1">IFERROR(__xludf.DUMMYFUNCTION("""COMPUTED_VALUE"""),0)</f>
        <v>0</v>
      </c>
      <c r="AM21" s="368">
        <f ca="1">IFERROR(__xludf.DUMMYFUNCTION("""COMPUTED_VALUE"""),0)</f>
        <v>0</v>
      </c>
      <c r="AN21" s="368">
        <f ca="1">IFERROR(__xludf.DUMMYFUNCTION("""COMPUTED_VALUE"""),0)</f>
        <v>0</v>
      </c>
      <c r="AO21" s="368">
        <f ca="1">IFERROR(__xludf.DUMMYFUNCTION("""COMPUTED_VALUE"""),0)</f>
        <v>0</v>
      </c>
      <c r="AP21" s="368">
        <f ca="1">IFERROR(__xludf.DUMMYFUNCTION("""COMPUTED_VALUE"""),0)</f>
        <v>0</v>
      </c>
      <c r="AQ21" s="368">
        <f ca="1">IFERROR(__xludf.DUMMYFUNCTION("""COMPUTED_VALUE"""),0)</f>
        <v>0</v>
      </c>
      <c r="AR21" s="368">
        <f ca="1">IFERROR(__xludf.DUMMYFUNCTION("""COMPUTED_VALUE"""),0)</f>
        <v>0</v>
      </c>
      <c r="AS21" s="368">
        <f ca="1">IFERROR(__xludf.DUMMYFUNCTION("""COMPUTED_VALUE"""),0)</f>
        <v>0</v>
      </c>
      <c r="AT21" s="13"/>
      <c r="AU21" s="367"/>
    </row>
    <row r="22" spans="1:47" ht="26.25">
      <c r="A22" s="370"/>
      <c r="B22" s="370"/>
      <c r="C22" s="370">
        <v>159</v>
      </c>
      <c r="D22" s="370" t="s">
        <v>29</v>
      </c>
      <c r="E22" s="401">
        <f ca="1">ЦА!E22+'СВОД терр'!E22</f>
        <v>244230</v>
      </c>
      <c r="F22" s="401">
        <f ca="1">ЦА!F22+'СВОД терр'!F22</f>
        <v>126961.2</v>
      </c>
      <c r="G22" s="401">
        <f ca="1">ЦА!G22+'СВОД терр'!G22</f>
        <v>126961.175</v>
      </c>
      <c r="H22" s="401">
        <f ca="1">ЦА!H22+'СВОД терр'!H22</f>
        <v>2.4999999994179234E-2</v>
      </c>
      <c r="I22" s="401">
        <f t="shared" ca="1" si="1"/>
        <v>99.999980308944785</v>
      </c>
      <c r="J22" s="401"/>
      <c r="K22" s="401">
        <f ca="1">ЦА!K22+'СВОД терр'!K22</f>
        <v>29072.6</v>
      </c>
      <c r="L22" s="401">
        <f ca="1">ЦА!L22+'СВОД терр'!L22</f>
        <v>29072.6</v>
      </c>
      <c r="M22" s="401">
        <f ca="1">ЦА!M22+'СВОД терр'!M22</f>
        <v>0</v>
      </c>
      <c r="N22" s="401">
        <f t="shared" ca="1" si="2"/>
        <v>100</v>
      </c>
      <c r="O22" s="434"/>
      <c r="P22" s="403">
        <f t="shared" ca="1" si="3"/>
        <v>117268.825</v>
      </c>
      <c r="Q22" s="435">
        <f>ЦА!E22-ЦА!G22</f>
        <v>117268.825</v>
      </c>
      <c r="R22" s="55">
        <f t="shared" ca="1" si="4"/>
        <v>0</v>
      </c>
      <c r="S22" s="445">
        <v>133789.1</v>
      </c>
      <c r="T22" s="442">
        <f t="shared" ca="1" si="8"/>
        <v>-110440.9</v>
      </c>
      <c r="U22" s="405">
        <f t="shared" ca="1" si="5"/>
        <v>215157.4</v>
      </c>
      <c r="V22" s="406">
        <f>ЦА!E22-ЦА!L22</f>
        <v>215157.4</v>
      </c>
      <c r="W22" s="406">
        <f t="shared" ca="1" si="6"/>
        <v>0</v>
      </c>
      <c r="X22" s="446" t="s">
        <v>231</v>
      </c>
      <c r="Y22" s="368">
        <f ca="1">IFERROR(__xludf.DUMMYFUNCTION("""COMPUTED_VALUE"""),0)</f>
        <v>0</v>
      </c>
      <c r="Z22" s="368">
        <f ca="1">IFERROR(__xludf.DUMMYFUNCTION("""COMPUTED_VALUE"""),0)</f>
        <v>0</v>
      </c>
      <c r="AA22" s="368">
        <f ca="1">IFERROR(__xludf.DUMMYFUNCTION("""COMPUTED_VALUE"""),0)</f>
        <v>0</v>
      </c>
      <c r="AB22" s="368">
        <f ca="1">IFERROR(__xludf.DUMMYFUNCTION("""COMPUTED_VALUE"""),0)</f>
        <v>0</v>
      </c>
      <c r="AC22" s="368">
        <f ca="1">IFERROR(__xludf.DUMMYFUNCTION("""COMPUTED_VALUE"""),0)</f>
        <v>0</v>
      </c>
      <c r="AD22" s="368">
        <f ca="1">IFERROR(__xludf.DUMMYFUNCTION("""COMPUTED_VALUE"""),0)</f>
        <v>0</v>
      </c>
      <c r="AE22" s="368">
        <f ca="1">IFERROR(__xludf.DUMMYFUNCTION("""COMPUTED_VALUE"""),0)</f>
        <v>0</v>
      </c>
      <c r="AF22" s="368">
        <f ca="1">IFERROR(__xludf.DUMMYFUNCTION("""COMPUTED_VALUE"""),0)</f>
        <v>0</v>
      </c>
      <c r="AG22" s="368">
        <f ca="1">IFERROR(__xludf.DUMMYFUNCTION("""COMPUTED_VALUE"""),0)</f>
        <v>0</v>
      </c>
      <c r="AH22" s="368">
        <f ca="1">IFERROR(__xludf.DUMMYFUNCTION("""COMPUTED_VALUE"""),0)</f>
        <v>0</v>
      </c>
      <c r="AI22" s="368">
        <f ca="1">IFERROR(__xludf.DUMMYFUNCTION("""COMPUTED_VALUE"""),0)</f>
        <v>0</v>
      </c>
      <c r="AJ22" s="368">
        <f ca="1">IFERROR(__xludf.DUMMYFUNCTION("""COMPUTED_VALUE"""),0)</f>
        <v>0</v>
      </c>
      <c r="AK22" s="368">
        <f ca="1">IFERROR(__xludf.DUMMYFUNCTION("""COMPUTED_VALUE"""),0)</f>
        <v>0</v>
      </c>
      <c r="AL22" s="368">
        <f ca="1">IFERROR(__xludf.DUMMYFUNCTION("""COMPUTED_VALUE"""),0)</f>
        <v>0</v>
      </c>
      <c r="AM22" s="368">
        <f ca="1">IFERROR(__xludf.DUMMYFUNCTION("""COMPUTED_VALUE"""),0)</f>
        <v>0</v>
      </c>
      <c r="AN22" s="368">
        <f ca="1">IFERROR(__xludf.DUMMYFUNCTION("""COMPUTED_VALUE"""),0)</f>
        <v>0</v>
      </c>
      <c r="AO22" s="368">
        <f ca="1">IFERROR(__xludf.DUMMYFUNCTION("""COMPUTED_VALUE"""),0)</f>
        <v>0</v>
      </c>
      <c r="AP22" s="368">
        <f ca="1">IFERROR(__xludf.DUMMYFUNCTION("""COMPUTED_VALUE"""),0)</f>
        <v>0</v>
      </c>
      <c r="AQ22" s="368">
        <f ca="1">IFERROR(__xludf.DUMMYFUNCTION("""COMPUTED_VALUE"""),0)</f>
        <v>0</v>
      </c>
      <c r="AR22" s="368">
        <f ca="1">IFERROR(__xludf.DUMMYFUNCTION("""COMPUTED_VALUE"""),0)</f>
        <v>0</v>
      </c>
      <c r="AS22" s="368">
        <f ca="1">IFERROR(__xludf.DUMMYFUNCTION("""COMPUTED_VALUE"""),0)</f>
        <v>0</v>
      </c>
      <c r="AT22" s="13"/>
      <c r="AU22" s="367"/>
    </row>
    <row r="23" spans="1:47" ht="57.75">
      <c r="A23" s="416"/>
      <c r="B23" s="417">
        <v>111</v>
      </c>
      <c r="C23" s="416"/>
      <c r="D23" s="440" t="s">
        <v>30</v>
      </c>
      <c r="E23" s="419">
        <f ca="1">ЦА!E23+'СВОД терр'!E23</f>
        <v>906077.19999999902</v>
      </c>
      <c r="F23" s="419">
        <f ca="1">ЦА!F23+'СВОД терр'!F23</f>
        <v>107114.4</v>
      </c>
      <c r="G23" s="419">
        <f ca="1">ЦА!G23+'СВОД терр'!G23</f>
        <v>28303.1613</v>
      </c>
      <c r="H23" s="419">
        <f ca="1">ЦА!H23+'СВОД терр'!H23</f>
        <v>78811.238700000002</v>
      </c>
      <c r="I23" s="419">
        <f t="shared" ca="1" si="1"/>
        <v>26.423301908987028</v>
      </c>
      <c r="J23" s="419"/>
      <c r="K23" s="419">
        <f ca="1">ЦА!K23+'СВОД терр'!K23</f>
        <v>25773.1</v>
      </c>
      <c r="L23" s="419">
        <f ca="1">ЦА!L23+'СВОД терр'!L23</f>
        <v>23003.463669999899</v>
      </c>
      <c r="M23" s="419">
        <f ca="1">ЦА!M23+'СВОД терр'!M23</f>
        <v>2769.6363299999998</v>
      </c>
      <c r="N23" s="419">
        <f t="shared" ca="1" si="2"/>
        <v>89.25377106362798</v>
      </c>
      <c r="O23" s="420"/>
      <c r="P23" s="421">
        <f t="shared" ca="1" si="3"/>
        <v>877774.03869999899</v>
      </c>
      <c r="Q23" s="422">
        <f>ЦА!E23-ЦА!G23</f>
        <v>775000</v>
      </c>
      <c r="R23" s="422">
        <f t="shared" ca="1" si="4"/>
        <v>102774.03869999899</v>
      </c>
      <c r="S23" s="423"/>
      <c r="T23" s="423"/>
      <c r="U23" s="424">
        <f t="shared" ca="1" si="5"/>
        <v>883073.73632999917</v>
      </c>
      <c r="V23" s="425">
        <f>ЦА!E23-ЦА!L23</f>
        <v>775000</v>
      </c>
      <c r="W23" s="425">
        <f t="shared" ca="1" si="6"/>
        <v>108073.73632999917</v>
      </c>
      <c r="X23" s="426"/>
      <c r="Y23" s="427">
        <f ca="1">IFERROR(__xludf.DUMMYFUNCTION("""COMPUTED_VALUE"""),2593.948)</f>
        <v>2593.9479999999999</v>
      </c>
      <c r="Z23" s="427">
        <f ca="1">IFERROR(__xludf.DUMMYFUNCTION("""COMPUTED_VALUE"""),99.6829999999999)</f>
        <v>99.682999999999893</v>
      </c>
      <c r="AA23" s="427">
        <f ca="1">IFERROR(__xludf.DUMMYFUNCTION("""COMPUTED_VALUE"""),942.14)</f>
        <v>942.14</v>
      </c>
      <c r="AB23" s="427">
        <f ca="1">IFERROR(__xludf.DUMMYFUNCTION("""COMPUTED_VALUE"""),5.56)</f>
        <v>5.56</v>
      </c>
      <c r="AC23" s="427">
        <f ca="1">IFERROR(__xludf.DUMMYFUNCTION("""COMPUTED_VALUE"""),776.7691)</f>
        <v>776.76909999999998</v>
      </c>
      <c r="AD23" s="427">
        <f ca="1">IFERROR(__xludf.DUMMYFUNCTION("""COMPUTED_VALUE"""),0)</f>
        <v>0</v>
      </c>
      <c r="AE23" s="427">
        <f ca="1">IFERROR(__xludf.DUMMYFUNCTION("""COMPUTED_VALUE"""),17.4876)</f>
        <v>17.4876</v>
      </c>
      <c r="AF23" s="427">
        <f ca="1">IFERROR(__xludf.DUMMYFUNCTION("""COMPUTED_VALUE"""),196.95)</f>
        <v>196.95</v>
      </c>
      <c r="AG23" s="427">
        <f ca="1">IFERROR(__xludf.DUMMYFUNCTION("""COMPUTED_VALUE"""),0)</f>
        <v>0</v>
      </c>
      <c r="AH23" s="427">
        <f ca="1">IFERROR(__xludf.DUMMYFUNCTION("""COMPUTED_VALUE"""),971.411999999999)</f>
        <v>971.41199999999901</v>
      </c>
      <c r="AI23" s="427">
        <f ca="1">IFERROR(__xludf.DUMMYFUNCTION("""COMPUTED_VALUE"""),0)</f>
        <v>0</v>
      </c>
      <c r="AJ23" s="427">
        <f ca="1">IFERROR(__xludf.DUMMYFUNCTION("""COMPUTED_VALUE"""),157.615999999999)</f>
        <v>157.61599999999899</v>
      </c>
      <c r="AK23" s="427">
        <f ca="1">IFERROR(__xludf.DUMMYFUNCTION("""COMPUTED_VALUE"""),1.34299999999984)</f>
        <v>1.3429999999998401</v>
      </c>
      <c r="AL23" s="427">
        <f ca="1">IFERROR(__xludf.DUMMYFUNCTION("""COMPUTED_VALUE"""),197.16)</f>
        <v>197.16</v>
      </c>
      <c r="AM23" s="427">
        <f ca="1">IFERROR(__xludf.DUMMYFUNCTION("""COMPUTED_VALUE"""),4996.9)</f>
        <v>4996.8999999999996</v>
      </c>
      <c r="AN23" s="427">
        <f ca="1">IFERROR(__xludf.DUMMYFUNCTION("""COMPUTED_VALUE"""),0)</f>
        <v>0</v>
      </c>
      <c r="AO23" s="427">
        <f ca="1">IFERROR(__xludf.DUMMYFUNCTION("""COMPUTED_VALUE"""),24785)</f>
        <v>24785</v>
      </c>
      <c r="AP23" s="427">
        <f ca="1">IFERROR(__xludf.DUMMYFUNCTION("""COMPUTED_VALUE"""),0.0599999999999951)</f>
        <v>5.9999999999995099E-2</v>
      </c>
      <c r="AQ23" s="427">
        <f ca="1">IFERROR(__xludf.DUMMYFUNCTION("""COMPUTED_VALUE"""),24784)</f>
        <v>24784</v>
      </c>
      <c r="AR23" s="427">
        <f ca="1">IFERROR(__xludf.DUMMYFUNCTION("""COMPUTED_VALUE"""),17464.01)</f>
        <v>17464.009999999998</v>
      </c>
      <c r="AS23" s="427">
        <f ca="1">IFERROR(__xludf.DUMMYFUNCTION("""COMPUTED_VALUE"""),24784)</f>
        <v>24784</v>
      </c>
      <c r="AT23" s="428">
        <v>3582.4708000000101</v>
      </c>
      <c r="AU23" s="427">
        <f ca="1">P23-AT23</f>
        <v>874191.56789999898</v>
      </c>
    </row>
    <row r="24" spans="1:47" ht="45">
      <c r="A24" s="370"/>
      <c r="B24" s="370"/>
      <c r="C24" s="370">
        <v>412</v>
      </c>
      <c r="D24" s="429" t="s">
        <v>31</v>
      </c>
      <c r="E24" s="401">
        <f ca="1">ЦА!E24+'СВОД терр'!E24</f>
        <v>0</v>
      </c>
      <c r="F24" s="401">
        <f ca="1">ЦА!F24+'СВОД терр'!F24</f>
        <v>0</v>
      </c>
      <c r="G24" s="401">
        <f ca="1">ЦА!G24+'СВОД терр'!G24</f>
        <v>0</v>
      </c>
      <c r="H24" s="401">
        <f ca="1">ЦА!H24+'СВОД терр'!H24</f>
        <v>0</v>
      </c>
      <c r="I24" s="401" t="e">
        <f t="shared" ca="1" si="1"/>
        <v>#DIV/0!</v>
      </c>
      <c r="J24" s="401"/>
      <c r="K24" s="401">
        <f ca="1">ЦА!K24+'СВОД терр'!K24</f>
        <v>0</v>
      </c>
      <c r="L24" s="401">
        <f ca="1">ЦА!L24+'СВОД терр'!L24</f>
        <v>0</v>
      </c>
      <c r="M24" s="401">
        <f ca="1">ЦА!M24+'СВОД терр'!M24</f>
        <v>0</v>
      </c>
      <c r="N24" s="401" t="e">
        <f t="shared" ca="1" si="2"/>
        <v>#DIV/0!</v>
      </c>
      <c r="O24" s="434"/>
      <c r="P24" s="403">
        <f t="shared" ca="1" si="3"/>
        <v>0</v>
      </c>
      <c r="Q24" s="55">
        <f>ЦА!E24-ЦА!G24</f>
        <v>0</v>
      </c>
      <c r="R24" s="55">
        <f t="shared" ca="1" si="4"/>
        <v>0</v>
      </c>
      <c r="S24" s="404">
        <v>0</v>
      </c>
      <c r="T24" s="55">
        <f t="shared" ref="T24:T29" ca="1" si="9">S24-E24</f>
        <v>0</v>
      </c>
      <c r="U24" s="405">
        <f t="shared" ca="1" si="5"/>
        <v>0</v>
      </c>
      <c r="V24" s="406">
        <f>ЦА!E24-ЦА!L24</f>
        <v>0</v>
      </c>
      <c r="W24" s="406">
        <f t="shared" ca="1" si="6"/>
        <v>0</v>
      </c>
      <c r="X24" s="407"/>
      <c r="Y24" s="432">
        <f ca="1">IFERROR(__xludf.DUMMYFUNCTION("""COMPUTED_VALUE"""),0)</f>
        <v>0</v>
      </c>
      <c r="Z24" s="432">
        <f ca="1">IFERROR(__xludf.DUMMYFUNCTION("""COMPUTED_VALUE"""),0)</f>
        <v>0</v>
      </c>
      <c r="AA24" s="432">
        <f ca="1">IFERROR(__xludf.DUMMYFUNCTION("""COMPUTED_VALUE"""),0)</f>
        <v>0</v>
      </c>
      <c r="AB24" s="432">
        <f ca="1">IFERROR(__xludf.DUMMYFUNCTION("""COMPUTED_VALUE"""),0)</f>
        <v>0</v>
      </c>
      <c r="AC24" s="432">
        <f ca="1">IFERROR(__xludf.DUMMYFUNCTION("""COMPUTED_VALUE"""),0)</f>
        <v>0</v>
      </c>
      <c r="AD24" s="432">
        <f ca="1">IFERROR(__xludf.DUMMYFUNCTION("""COMPUTED_VALUE"""),0)</f>
        <v>0</v>
      </c>
      <c r="AE24" s="432">
        <f ca="1">IFERROR(__xludf.DUMMYFUNCTION("""COMPUTED_VALUE"""),0)</f>
        <v>0</v>
      </c>
      <c r="AF24" s="432">
        <f ca="1">IFERROR(__xludf.DUMMYFUNCTION("""COMPUTED_VALUE"""),0)</f>
        <v>0</v>
      </c>
      <c r="AG24" s="432">
        <f ca="1">IFERROR(__xludf.DUMMYFUNCTION("""COMPUTED_VALUE"""),0)</f>
        <v>0</v>
      </c>
      <c r="AH24" s="432">
        <f ca="1">IFERROR(__xludf.DUMMYFUNCTION("""COMPUTED_VALUE"""),0)</f>
        <v>0</v>
      </c>
      <c r="AI24" s="432">
        <f ca="1">IFERROR(__xludf.DUMMYFUNCTION("""COMPUTED_VALUE"""),0)</f>
        <v>0</v>
      </c>
      <c r="AJ24" s="432">
        <f ca="1">IFERROR(__xludf.DUMMYFUNCTION("""COMPUTED_VALUE"""),0)</f>
        <v>0</v>
      </c>
      <c r="AK24" s="432">
        <f ca="1">IFERROR(__xludf.DUMMYFUNCTION("""COMPUTED_VALUE"""),0)</f>
        <v>0</v>
      </c>
      <c r="AL24" s="432">
        <f ca="1">IFERROR(__xludf.DUMMYFUNCTION("""COMPUTED_VALUE"""),0)</f>
        <v>0</v>
      </c>
      <c r="AM24" s="432">
        <f ca="1">IFERROR(__xludf.DUMMYFUNCTION("""COMPUTED_VALUE"""),0)</f>
        <v>0</v>
      </c>
      <c r="AN24" s="432">
        <f ca="1">IFERROR(__xludf.DUMMYFUNCTION("""COMPUTED_VALUE"""),0)</f>
        <v>0</v>
      </c>
      <c r="AO24" s="432">
        <f ca="1">IFERROR(__xludf.DUMMYFUNCTION("""COMPUTED_VALUE"""),0)</f>
        <v>0</v>
      </c>
      <c r="AP24" s="432">
        <f ca="1">IFERROR(__xludf.DUMMYFUNCTION("""COMPUTED_VALUE"""),0)</f>
        <v>0</v>
      </c>
      <c r="AQ24" s="432">
        <f ca="1">IFERROR(__xludf.DUMMYFUNCTION("""COMPUTED_VALUE"""),0)</f>
        <v>0</v>
      </c>
      <c r="AR24" s="432">
        <f ca="1">IFERROR(__xludf.DUMMYFUNCTION("""COMPUTED_VALUE"""),0)</f>
        <v>0</v>
      </c>
      <c r="AS24" s="368">
        <f ca="1">IFERROR(__xludf.DUMMYFUNCTION("""COMPUTED_VALUE"""),0)</f>
        <v>0</v>
      </c>
      <c r="AT24" s="13"/>
      <c r="AU24" s="367"/>
    </row>
    <row r="25" spans="1:47" ht="39">
      <c r="A25" s="370"/>
      <c r="B25" s="370"/>
      <c r="C25" s="370">
        <v>413</v>
      </c>
      <c r="D25" s="370" t="s">
        <v>32</v>
      </c>
      <c r="E25" s="401">
        <f ca="1">ЦА!E25+'СВОД терр'!E25</f>
        <v>420000</v>
      </c>
      <c r="F25" s="401">
        <f ca="1">ЦА!F25+'СВОД терр'!F25</f>
        <v>0</v>
      </c>
      <c r="G25" s="401">
        <f ca="1">ЦА!G25+'СВОД терр'!G25</f>
        <v>0</v>
      </c>
      <c r="H25" s="401">
        <f ca="1">ЦА!H25+'СВОД терр'!H25</f>
        <v>0</v>
      </c>
      <c r="I25" s="401" t="e">
        <f t="shared" ca="1" si="1"/>
        <v>#DIV/0!</v>
      </c>
      <c r="J25" s="401"/>
      <c r="K25" s="401">
        <f ca="1">ЦА!K25+'СВОД терр'!K25</f>
        <v>0</v>
      </c>
      <c r="L25" s="401">
        <f ca="1">ЦА!L25+'СВОД терр'!L25</f>
        <v>0</v>
      </c>
      <c r="M25" s="401">
        <f ca="1">ЦА!M25+'СВОД терр'!M25</f>
        <v>0</v>
      </c>
      <c r="N25" s="401" t="e">
        <f t="shared" ca="1" si="2"/>
        <v>#DIV/0!</v>
      </c>
      <c r="O25" s="434"/>
      <c r="P25" s="403">
        <f t="shared" ca="1" si="3"/>
        <v>420000</v>
      </c>
      <c r="Q25" s="403">
        <f>ЦА!E25-ЦА!G25</f>
        <v>420000</v>
      </c>
      <c r="R25" s="403">
        <f t="shared" ca="1" si="4"/>
        <v>0</v>
      </c>
      <c r="S25" s="447">
        <v>924000</v>
      </c>
      <c r="T25" s="55">
        <f t="shared" ca="1" si="9"/>
        <v>504000</v>
      </c>
      <c r="U25" s="448">
        <f t="shared" ca="1" si="5"/>
        <v>420000</v>
      </c>
      <c r="V25" s="54">
        <f>ЦА!E25-ЦА!L25</f>
        <v>420000</v>
      </c>
      <c r="W25" s="54">
        <f t="shared" ca="1" si="6"/>
        <v>0</v>
      </c>
      <c r="X25" s="444" t="s">
        <v>232</v>
      </c>
      <c r="Y25" s="432">
        <f ca="1">IFERROR(__xludf.DUMMYFUNCTION("""COMPUTED_VALUE"""),0)</f>
        <v>0</v>
      </c>
      <c r="Z25" s="432">
        <f ca="1">IFERROR(__xludf.DUMMYFUNCTION("""COMPUTED_VALUE"""),0)</f>
        <v>0</v>
      </c>
      <c r="AA25" s="432">
        <f ca="1">IFERROR(__xludf.DUMMYFUNCTION("""COMPUTED_VALUE"""),0)</f>
        <v>0</v>
      </c>
      <c r="AB25" s="432">
        <f ca="1">IFERROR(__xludf.DUMMYFUNCTION("""COMPUTED_VALUE"""),0)</f>
        <v>0</v>
      </c>
      <c r="AC25" s="432">
        <f ca="1">IFERROR(__xludf.DUMMYFUNCTION("""COMPUTED_VALUE"""),0)</f>
        <v>0</v>
      </c>
      <c r="AD25" s="432">
        <f ca="1">IFERROR(__xludf.DUMMYFUNCTION("""COMPUTED_VALUE"""),0)</f>
        <v>0</v>
      </c>
      <c r="AE25" s="432">
        <f ca="1">IFERROR(__xludf.DUMMYFUNCTION("""COMPUTED_VALUE"""),0)</f>
        <v>0</v>
      </c>
      <c r="AF25" s="432">
        <f ca="1">IFERROR(__xludf.DUMMYFUNCTION("""COMPUTED_VALUE"""),0)</f>
        <v>0</v>
      </c>
      <c r="AG25" s="432">
        <f ca="1">IFERROR(__xludf.DUMMYFUNCTION("""COMPUTED_VALUE"""),0)</f>
        <v>0</v>
      </c>
      <c r="AH25" s="432">
        <f ca="1">IFERROR(__xludf.DUMMYFUNCTION("""COMPUTED_VALUE"""),0)</f>
        <v>0</v>
      </c>
      <c r="AI25" s="432">
        <f ca="1">IFERROR(__xludf.DUMMYFUNCTION("""COMPUTED_VALUE"""),0)</f>
        <v>0</v>
      </c>
      <c r="AJ25" s="432">
        <f ca="1">IFERROR(__xludf.DUMMYFUNCTION("""COMPUTED_VALUE"""),0)</f>
        <v>0</v>
      </c>
      <c r="AK25" s="432">
        <f ca="1">IFERROR(__xludf.DUMMYFUNCTION("""COMPUTED_VALUE"""),0)</f>
        <v>0</v>
      </c>
      <c r="AL25" s="432">
        <f ca="1">IFERROR(__xludf.DUMMYFUNCTION("""COMPUTED_VALUE"""),0)</f>
        <v>0</v>
      </c>
      <c r="AM25" s="432">
        <f ca="1">IFERROR(__xludf.DUMMYFUNCTION("""COMPUTED_VALUE"""),0)</f>
        <v>0</v>
      </c>
      <c r="AN25" s="432">
        <f ca="1">IFERROR(__xludf.DUMMYFUNCTION("""COMPUTED_VALUE"""),0)</f>
        <v>0</v>
      </c>
      <c r="AO25" s="432">
        <f ca="1">IFERROR(__xludf.DUMMYFUNCTION("""COMPUTED_VALUE"""),0)</f>
        <v>0</v>
      </c>
      <c r="AP25" s="432">
        <f ca="1">IFERROR(__xludf.DUMMYFUNCTION("""COMPUTED_VALUE"""),0)</f>
        <v>0</v>
      </c>
      <c r="AQ25" s="432">
        <f ca="1">IFERROR(__xludf.DUMMYFUNCTION("""COMPUTED_VALUE"""),0)</f>
        <v>0</v>
      </c>
      <c r="AR25" s="432">
        <f ca="1">IFERROR(__xludf.DUMMYFUNCTION("""COMPUTED_VALUE"""),0)</f>
        <v>0</v>
      </c>
      <c r="AS25" s="368">
        <f ca="1">IFERROR(__xludf.DUMMYFUNCTION("""COMPUTED_VALUE"""),0)</f>
        <v>0</v>
      </c>
      <c r="AT25" s="13"/>
      <c r="AU25" s="367"/>
    </row>
    <row r="26" spans="1:47" ht="75">
      <c r="A26" s="370"/>
      <c r="B26" s="370"/>
      <c r="C26" s="370">
        <v>414</v>
      </c>
      <c r="D26" s="429" t="s">
        <v>24</v>
      </c>
      <c r="E26" s="401">
        <f ca="1">ЦА!E26+'СВОД терр'!E26</f>
        <v>476988.9</v>
      </c>
      <c r="F26" s="401">
        <f ca="1">ЦА!F26+'СВОД терр'!F26</f>
        <v>100723.7</v>
      </c>
      <c r="G26" s="401">
        <f ca="1">ЦА!G26+'СВОД терр'!G26</f>
        <v>24505.099399999999</v>
      </c>
      <c r="H26" s="401">
        <f ca="1">ЦА!H26+'СВОД терр'!H26</f>
        <v>76218.600600000005</v>
      </c>
      <c r="I26" s="401">
        <f t="shared" ca="1" si="1"/>
        <v>24.329030208381941</v>
      </c>
      <c r="J26" s="401"/>
      <c r="K26" s="401">
        <f ca="1">ЦА!K26+'СВОД терр'!K26</f>
        <v>24088.2</v>
      </c>
      <c r="L26" s="401">
        <f ca="1">ЦА!L26+'СВОД терр'!L26</f>
        <v>21864.045399999999</v>
      </c>
      <c r="M26" s="401">
        <f ca="1">ЦА!M26+'СВОД терр'!M26</f>
        <v>2224.1545999999998</v>
      </c>
      <c r="N26" s="401">
        <f t="shared" ca="1" si="2"/>
        <v>90.76662183143614</v>
      </c>
      <c r="O26" s="434"/>
      <c r="P26" s="403">
        <f t="shared" ca="1" si="3"/>
        <v>452483.80060000002</v>
      </c>
      <c r="Q26" s="55">
        <f>ЦА!E26-ЦА!G26</f>
        <v>355000</v>
      </c>
      <c r="R26" s="55">
        <f t="shared" ca="1" si="4"/>
        <v>97483.800600000017</v>
      </c>
      <c r="S26" s="449">
        <v>84091.3</v>
      </c>
      <c r="T26" s="55">
        <f t="shared" ca="1" si="9"/>
        <v>-392897.60000000003</v>
      </c>
      <c r="U26" s="448">
        <f t="shared" ca="1" si="5"/>
        <v>455124.85460000002</v>
      </c>
      <c r="V26" s="54">
        <f>ЦА!E26-ЦА!L26</f>
        <v>355000</v>
      </c>
      <c r="W26" s="54">
        <f t="shared" ca="1" si="6"/>
        <v>100124.85460000002</v>
      </c>
      <c r="X26" s="431" t="s">
        <v>233</v>
      </c>
      <c r="Y26" s="432">
        <f ca="1">IFERROR(__xludf.DUMMYFUNCTION("""COMPUTED_VALUE"""),112.548)</f>
        <v>112.548</v>
      </c>
      <c r="Z26" s="432">
        <f ca="1">IFERROR(__xludf.DUMMYFUNCTION("""COMPUTED_VALUE"""),99.6829999999999)</f>
        <v>99.682999999999893</v>
      </c>
      <c r="AA26" s="432">
        <f ca="1">IFERROR(__xludf.DUMMYFUNCTION("""COMPUTED_VALUE"""),942.14)</f>
        <v>942.14</v>
      </c>
      <c r="AB26" s="450">
        <f ca="1">IFERROR(__xludf.DUMMYFUNCTION("""COMPUTED_VALUE"""),5.56)</f>
        <v>5.56</v>
      </c>
      <c r="AC26" s="432">
        <f ca="1">IFERROR(__xludf.DUMMYFUNCTION("""COMPUTED_VALUE"""),0)</f>
        <v>0</v>
      </c>
      <c r="AD26" s="432">
        <f ca="1">IFERROR(__xludf.DUMMYFUNCTION("""COMPUTED_VALUE"""),0)</f>
        <v>0</v>
      </c>
      <c r="AE26" s="432">
        <f ca="1">IFERROR(__xludf.DUMMYFUNCTION("""COMPUTED_VALUE"""),17.4876)</f>
        <v>17.4876</v>
      </c>
      <c r="AF26" s="432">
        <f ca="1">IFERROR(__xludf.DUMMYFUNCTION("""COMPUTED_VALUE"""),196.95)</f>
        <v>196.95</v>
      </c>
      <c r="AG26" s="432">
        <f ca="1">IFERROR(__xludf.DUMMYFUNCTION("""COMPUTED_VALUE"""),0)</f>
        <v>0</v>
      </c>
      <c r="AH26" s="450">
        <f ca="1">IFERROR(__xludf.DUMMYFUNCTION("""COMPUTED_VALUE"""),971.411999999999)</f>
        <v>971.41199999999901</v>
      </c>
      <c r="AI26" s="432">
        <f ca="1">IFERROR(__xludf.DUMMYFUNCTION("""COMPUTED_VALUE"""),0)</f>
        <v>0</v>
      </c>
      <c r="AJ26" s="432">
        <f ca="1">IFERROR(__xludf.DUMMYFUNCTION("""COMPUTED_VALUE"""),46.447)</f>
        <v>46.447000000000003</v>
      </c>
      <c r="AK26" s="432">
        <f ca="1">IFERROR(__xludf.DUMMYFUNCTION("""COMPUTED_VALUE"""),1.34299999999984)</f>
        <v>1.3429999999998401</v>
      </c>
      <c r="AL26" s="432">
        <f ca="1">IFERROR(__xludf.DUMMYFUNCTION("""COMPUTED_VALUE"""),197.16)</f>
        <v>197.16</v>
      </c>
      <c r="AM26" s="432">
        <f ca="1">IFERROR(__xludf.DUMMYFUNCTION("""COMPUTED_VALUE"""),3076)</f>
        <v>3076</v>
      </c>
      <c r="AN26" s="432">
        <f ca="1">IFERROR(__xludf.DUMMYFUNCTION("""COMPUTED_VALUE"""),0)</f>
        <v>0</v>
      </c>
      <c r="AO26" s="432">
        <f ca="1">IFERROR(__xludf.DUMMYFUNCTION("""COMPUTED_VALUE"""),24785)</f>
        <v>24785</v>
      </c>
      <c r="AP26" s="432">
        <f ca="1">IFERROR(__xludf.DUMMYFUNCTION("""COMPUTED_VALUE"""),0.0599999999999951)</f>
        <v>5.9999999999995099E-2</v>
      </c>
      <c r="AQ26" s="432">
        <f ca="1">IFERROR(__xludf.DUMMYFUNCTION("""COMPUTED_VALUE"""),24784)</f>
        <v>24784</v>
      </c>
      <c r="AR26" s="432">
        <f ca="1">IFERROR(__xludf.DUMMYFUNCTION("""COMPUTED_VALUE"""),17464.01)</f>
        <v>17464.009999999998</v>
      </c>
      <c r="AS26" s="368">
        <f ca="1">IFERROR(__xludf.DUMMYFUNCTION("""COMPUTED_VALUE"""),24784)</f>
        <v>24784</v>
      </c>
      <c r="AT26" s="13"/>
      <c r="AU26" s="367"/>
    </row>
    <row r="27" spans="1:47" ht="15">
      <c r="A27" s="370"/>
      <c r="B27" s="370"/>
      <c r="C27" s="370">
        <v>416</v>
      </c>
      <c r="D27" s="370" t="s">
        <v>33</v>
      </c>
      <c r="E27" s="451">
        <f ca="1">ЦА!E27+'СВОД терр'!E27</f>
        <v>0</v>
      </c>
      <c r="F27" s="451">
        <f ca="1">ЦА!F27+'СВОД терр'!F27</f>
        <v>0</v>
      </c>
      <c r="G27" s="451">
        <f ca="1">ЦА!G27+'СВОД терр'!G27</f>
        <v>0</v>
      </c>
      <c r="H27" s="451">
        <f ca="1">ЦА!H27+'СВОД терр'!H27</f>
        <v>0</v>
      </c>
      <c r="I27" s="451" t="e">
        <f t="shared" ca="1" si="1"/>
        <v>#DIV/0!</v>
      </c>
      <c r="J27" s="451"/>
      <c r="K27" s="451">
        <f ca="1">ЦА!K27+'СВОД терр'!K27</f>
        <v>0</v>
      </c>
      <c r="L27" s="451">
        <f ca="1">ЦА!L27+'СВОД терр'!L27</f>
        <v>0</v>
      </c>
      <c r="M27" s="451">
        <f ca="1">ЦА!M27+'СВОД терр'!M27</f>
        <v>0</v>
      </c>
      <c r="N27" s="451" t="e">
        <f t="shared" ca="1" si="2"/>
        <v>#DIV/0!</v>
      </c>
      <c r="O27" s="452"/>
      <c r="P27" s="453">
        <f t="shared" ca="1" si="3"/>
        <v>0</v>
      </c>
      <c r="Q27" s="454">
        <f>ЦА!E27-ЦА!G27</f>
        <v>0</v>
      </c>
      <c r="R27" s="454">
        <f t="shared" ca="1" si="4"/>
        <v>0</v>
      </c>
      <c r="S27" s="454">
        <v>0</v>
      </c>
      <c r="T27" s="454">
        <f t="shared" ca="1" si="9"/>
        <v>0</v>
      </c>
      <c r="U27" s="405">
        <f t="shared" ca="1" si="5"/>
        <v>0</v>
      </c>
      <c r="V27" s="406">
        <f>ЦА!E27-ЦА!L27</f>
        <v>0</v>
      </c>
      <c r="W27" s="406">
        <f t="shared" ca="1" si="6"/>
        <v>0</v>
      </c>
      <c r="X27" s="407"/>
      <c r="Y27" s="432">
        <f ca="1">IFERROR(__xludf.DUMMYFUNCTION("""COMPUTED_VALUE"""),0)</f>
        <v>0</v>
      </c>
      <c r="Z27" s="432">
        <f ca="1">IFERROR(__xludf.DUMMYFUNCTION("""COMPUTED_VALUE"""),0)</f>
        <v>0</v>
      </c>
      <c r="AA27" s="432">
        <f ca="1">IFERROR(__xludf.DUMMYFUNCTION("""COMPUTED_VALUE"""),0)</f>
        <v>0</v>
      </c>
      <c r="AB27" s="432">
        <f ca="1">IFERROR(__xludf.DUMMYFUNCTION("""COMPUTED_VALUE"""),0)</f>
        <v>0</v>
      </c>
      <c r="AC27" s="432">
        <f ca="1">IFERROR(__xludf.DUMMYFUNCTION("""COMPUTED_VALUE"""),0)</f>
        <v>0</v>
      </c>
      <c r="AD27" s="432">
        <f ca="1">IFERROR(__xludf.DUMMYFUNCTION("""COMPUTED_VALUE"""),0)</f>
        <v>0</v>
      </c>
      <c r="AE27" s="432">
        <f ca="1">IFERROR(__xludf.DUMMYFUNCTION("""COMPUTED_VALUE"""),0)</f>
        <v>0</v>
      </c>
      <c r="AF27" s="432">
        <f ca="1">IFERROR(__xludf.DUMMYFUNCTION("""COMPUTED_VALUE"""),0)</f>
        <v>0</v>
      </c>
      <c r="AG27" s="432">
        <f ca="1">IFERROR(__xludf.DUMMYFUNCTION("""COMPUTED_VALUE"""),0)</f>
        <v>0</v>
      </c>
      <c r="AH27" s="432">
        <f ca="1">IFERROR(__xludf.DUMMYFUNCTION("""COMPUTED_VALUE"""),0)</f>
        <v>0</v>
      </c>
      <c r="AI27" s="432">
        <f ca="1">IFERROR(__xludf.DUMMYFUNCTION("""COMPUTED_VALUE"""),0)</f>
        <v>0</v>
      </c>
      <c r="AJ27" s="432">
        <f ca="1">IFERROR(__xludf.DUMMYFUNCTION("""COMPUTED_VALUE"""),0)</f>
        <v>0</v>
      </c>
      <c r="AK27" s="432">
        <f ca="1">IFERROR(__xludf.DUMMYFUNCTION("""COMPUTED_VALUE"""),0)</f>
        <v>0</v>
      </c>
      <c r="AL27" s="432">
        <f ca="1">IFERROR(__xludf.DUMMYFUNCTION("""COMPUTED_VALUE"""),0)</f>
        <v>0</v>
      </c>
      <c r="AM27" s="432">
        <f ca="1">IFERROR(__xludf.DUMMYFUNCTION("""COMPUTED_VALUE"""),0)</f>
        <v>0</v>
      </c>
      <c r="AN27" s="432">
        <f ca="1">IFERROR(__xludf.DUMMYFUNCTION("""COMPUTED_VALUE"""),0)</f>
        <v>0</v>
      </c>
      <c r="AO27" s="432">
        <f ca="1">IFERROR(__xludf.DUMMYFUNCTION("""COMPUTED_VALUE"""),0)</f>
        <v>0</v>
      </c>
      <c r="AP27" s="432">
        <f ca="1">IFERROR(__xludf.DUMMYFUNCTION("""COMPUTED_VALUE"""),0)</f>
        <v>0</v>
      </c>
      <c r="AQ27" s="432">
        <f ca="1">IFERROR(__xludf.DUMMYFUNCTION("""COMPUTED_VALUE"""),0)</f>
        <v>0</v>
      </c>
      <c r="AR27" s="432">
        <f ca="1">IFERROR(__xludf.DUMMYFUNCTION("""COMPUTED_VALUE"""),0)</f>
        <v>0</v>
      </c>
      <c r="AS27" s="368">
        <f ca="1">IFERROR(__xludf.DUMMYFUNCTION("""COMPUTED_VALUE"""),0)</f>
        <v>0</v>
      </c>
      <c r="AT27" s="13"/>
      <c r="AU27" s="367"/>
    </row>
    <row r="28" spans="1:47" ht="15">
      <c r="A28" s="370"/>
      <c r="B28" s="370"/>
      <c r="C28" s="370">
        <v>419</v>
      </c>
      <c r="D28" s="370" t="s">
        <v>34</v>
      </c>
      <c r="E28" s="451">
        <f ca="1">ЦА!E28+'СВОД терр'!E28</f>
        <v>0</v>
      </c>
      <c r="F28" s="451">
        <f ca="1">ЦА!F28+'СВОД терр'!F28</f>
        <v>0</v>
      </c>
      <c r="G28" s="451">
        <f ca="1">ЦА!G28+'СВОД терр'!G28</f>
        <v>0</v>
      </c>
      <c r="H28" s="451">
        <f ca="1">ЦА!H28+'СВОД терр'!H28</f>
        <v>0</v>
      </c>
      <c r="I28" s="451" t="e">
        <f t="shared" ca="1" si="1"/>
        <v>#DIV/0!</v>
      </c>
      <c r="J28" s="451"/>
      <c r="K28" s="451">
        <f ca="1">ЦА!K28+'СВОД терр'!K28</f>
        <v>0</v>
      </c>
      <c r="L28" s="451">
        <f ca="1">ЦА!L28+'СВОД терр'!L28</f>
        <v>0</v>
      </c>
      <c r="M28" s="451">
        <f ca="1">ЦА!M28+'СВОД терр'!M28</f>
        <v>0</v>
      </c>
      <c r="N28" s="451" t="e">
        <f t="shared" ca="1" si="2"/>
        <v>#DIV/0!</v>
      </c>
      <c r="O28" s="452"/>
      <c r="P28" s="453">
        <f t="shared" ca="1" si="3"/>
        <v>0</v>
      </c>
      <c r="Q28" s="454">
        <f>ЦА!E28-ЦА!G28</f>
        <v>0</v>
      </c>
      <c r="R28" s="454">
        <f t="shared" ca="1" si="4"/>
        <v>0</v>
      </c>
      <c r="S28" s="454">
        <v>0</v>
      </c>
      <c r="T28" s="454">
        <f t="shared" ca="1" si="9"/>
        <v>0</v>
      </c>
      <c r="U28" s="405">
        <f t="shared" ca="1" si="5"/>
        <v>0</v>
      </c>
      <c r="V28" s="406">
        <f>ЦА!E28-ЦА!L28</f>
        <v>0</v>
      </c>
      <c r="W28" s="406">
        <f t="shared" ca="1" si="6"/>
        <v>0</v>
      </c>
      <c r="X28" s="407"/>
      <c r="Y28" s="432">
        <f ca="1">IFERROR(__xludf.DUMMYFUNCTION("""COMPUTED_VALUE"""),0)</f>
        <v>0</v>
      </c>
      <c r="Z28" s="432">
        <f ca="1">IFERROR(__xludf.DUMMYFUNCTION("""COMPUTED_VALUE"""),0)</f>
        <v>0</v>
      </c>
      <c r="AA28" s="432">
        <f ca="1">IFERROR(__xludf.DUMMYFUNCTION("""COMPUTED_VALUE"""),0)</f>
        <v>0</v>
      </c>
      <c r="AB28" s="432">
        <f ca="1">IFERROR(__xludf.DUMMYFUNCTION("""COMPUTED_VALUE"""),0)</f>
        <v>0</v>
      </c>
      <c r="AC28" s="432">
        <f ca="1">IFERROR(__xludf.DUMMYFUNCTION("""COMPUTED_VALUE"""),0)</f>
        <v>0</v>
      </c>
      <c r="AD28" s="432">
        <f ca="1">IFERROR(__xludf.DUMMYFUNCTION("""COMPUTED_VALUE"""),0)</f>
        <v>0</v>
      </c>
      <c r="AE28" s="432">
        <f ca="1">IFERROR(__xludf.DUMMYFUNCTION("""COMPUTED_VALUE"""),0)</f>
        <v>0</v>
      </c>
      <c r="AF28" s="432">
        <f ca="1">IFERROR(__xludf.DUMMYFUNCTION("""COMPUTED_VALUE"""),0)</f>
        <v>0</v>
      </c>
      <c r="AG28" s="432">
        <f ca="1">IFERROR(__xludf.DUMMYFUNCTION("""COMPUTED_VALUE"""),0)</f>
        <v>0</v>
      </c>
      <c r="AH28" s="432">
        <f ca="1">IFERROR(__xludf.DUMMYFUNCTION("""COMPUTED_VALUE"""),0)</f>
        <v>0</v>
      </c>
      <c r="AI28" s="432">
        <f ca="1">IFERROR(__xludf.DUMMYFUNCTION("""COMPUTED_VALUE"""),0)</f>
        <v>0</v>
      </c>
      <c r="AJ28" s="432">
        <f ca="1">IFERROR(__xludf.DUMMYFUNCTION("""COMPUTED_VALUE"""),0)</f>
        <v>0</v>
      </c>
      <c r="AK28" s="432">
        <f ca="1">IFERROR(__xludf.DUMMYFUNCTION("""COMPUTED_VALUE"""),0)</f>
        <v>0</v>
      </c>
      <c r="AL28" s="432">
        <f ca="1">IFERROR(__xludf.DUMMYFUNCTION("""COMPUTED_VALUE"""),0)</f>
        <v>0</v>
      </c>
      <c r="AM28" s="432">
        <f ca="1">IFERROR(__xludf.DUMMYFUNCTION("""COMPUTED_VALUE"""),0)</f>
        <v>0</v>
      </c>
      <c r="AN28" s="432">
        <f ca="1">IFERROR(__xludf.DUMMYFUNCTION("""COMPUTED_VALUE"""),0)</f>
        <v>0</v>
      </c>
      <c r="AO28" s="432">
        <f ca="1">IFERROR(__xludf.DUMMYFUNCTION("""COMPUTED_VALUE"""),0)</f>
        <v>0</v>
      </c>
      <c r="AP28" s="432">
        <f ca="1">IFERROR(__xludf.DUMMYFUNCTION("""COMPUTED_VALUE"""),0)</f>
        <v>0</v>
      </c>
      <c r="AQ28" s="432">
        <f ca="1">IFERROR(__xludf.DUMMYFUNCTION("""COMPUTED_VALUE"""),0)</f>
        <v>0</v>
      </c>
      <c r="AR28" s="432">
        <f ca="1">IFERROR(__xludf.DUMMYFUNCTION("""COMPUTED_VALUE"""),0)</f>
        <v>0</v>
      </c>
      <c r="AS28" s="368">
        <f ca="1">IFERROR(__xludf.DUMMYFUNCTION("""COMPUTED_VALUE"""),0)</f>
        <v>0</v>
      </c>
      <c r="AT28" s="13"/>
      <c r="AU28" s="367"/>
    </row>
    <row r="29" spans="1:47" ht="60">
      <c r="A29" s="402"/>
      <c r="B29" s="402"/>
      <c r="C29" s="402">
        <v>421</v>
      </c>
      <c r="D29" s="455" t="s">
        <v>35</v>
      </c>
      <c r="E29" s="401">
        <f ca="1">ЦА!E29+'СВОД терр'!E29</f>
        <v>9088.2999999999993</v>
      </c>
      <c r="F29" s="401">
        <f ca="1">ЦА!F29+'СВОД терр'!F29</f>
        <v>6390.7</v>
      </c>
      <c r="G29" s="401">
        <f ca="1">ЦА!G29+'СВОД терр'!G29</f>
        <v>3798.0619000000002</v>
      </c>
      <c r="H29" s="401">
        <f ca="1">ЦА!H29+'СВОД терр'!H29</f>
        <v>2592.6381000000001</v>
      </c>
      <c r="I29" s="401">
        <f t="shared" ca="1" si="1"/>
        <v>59.431077972679056</v>
      </c>
      <c r="J29" s="401"/>
      <c r="K29" s="401">
        <f ca="1">ЦА!K29+'СВОД терр'!K29</f>
        <v>1684.9</v>
      </c>
      <c r="L29" s="401">
        <f ca="1">ЦА!L29+'СВОД терр'!L29</f>
        <v>1139.4182699999999</v>
      </c>
      <c r="M29" s="401">
        <f ca="1">ЦА!M29+'СВОД терр'!M29</f>
        <v>545.48172999999997</v>
      </c>
      <c r="N29" s="401">
        <f t="shared" ca="1" si="2"/>
        <v>67.625275684016856</v>
      </c>
      <c r="O29" s="434"/>
      <c r="P29" s="403">
        <f t="shared" ca="1" si="3"/>
        <v>5290.2380999999987</v>
      </c>
      <c r="Q29" s="403">
        <f>ЦА!E29-ЦА!G29</f>
        <v>0</v>
      </c>
      <c r="R29" s="403">
        <f t="shared" ca="1" si="4"/>
        <v>5290.2380999999987</v>
      </c>
      <c r="S29" s="403">
        <v>453259</v>
      </c>
      <c r="T29" s="55">
        <f t="shared" ca="1" si="9"/>
        <v>444170.7</v>
      </c>
      <c r="U29" s="448">
        <f t="shared" ca="1" si="5"/>
        <v>7948.8817299999992</v>
      </c>
      <c r="V29" s="54">
        <f>ЦА!E29-ЦА!L29</f>
        <v>0</v>
      </c>
      <c r="W29" s="54">
        <f t="shared" ca="1" si="6"/>
        <v>7948.8817299999992</v>
      </c>
      <c r="X29" s="456" t="s">
        <v>234</v>
      </c>
      <c r="Y29" s="457">
        <f ca="1">IFERROR(__xludf.DUMMYFUNCTION("""COMPUTED_VALUE"""),2481.4)</f>
        <v>2481.4</v>
      </c>
      <c r="Z29" s="457">
        <f ca="1">IFERROR(__xludf.DUMMYFUNCTION("""COMPUTED_VALUE"""),0)</f>
        <v>0</v>
      </c>
      <c r="AA29" s="457">
        <f ca="1">IFERROR(__xludf.DUMMYFUNCTION("""COMPUTED_VALUE"""),0)</f>
        <v>0</v>
      </c>
      <c r="AB29" s="457">
        <f ca="1">IFERROR(__xludf.DUMMYFUNCTION("""COMPUTED_VALUE"""),0)</f>
        <v>0</v>
      </c>
      <c r="AC29" s="457">
        <f ca="1">IFERROR(__xludf.DUMMYFUNCTION("""COMPUTED_VALUE"""),776.7691)</f>
        <v>776.76909999999998</v>
      </c>
      <c r="AD29" s="457">
        <f ca="1">IFERROR(__xludf.DUMMYFUNCTION("""COMPUTED_VALUE"""),0)</f>
        <v>0</v>
      </c>
      <c r="AE29" s="457">
        <f ca="1">IFERROR(__xludf.DUMMYFUNCTION("""COMPUTED_VALUE"""),0)</f>
        <v>0</v>
      </c>
      <c r="AF29" s="457">
        <f ca="1">IFERROR(__xludf.DUMMYFUNCTION("""COMPUTED_VALUE"""),0)</f>
        <v>0</v>
      </c>
      <c r="AG29" s="457">
        <f ca="1">IFERROR(__xludf.DUMMYFUNCTION("""COMPUTED_VALUE"""),0)</f>
        <v>0</v>
      </c>
      <c r="AH29" s="457">
        <f ca="1">IFERROR(__xludf.DUMMYFUNCTION("""COMPUTED_VALUE"""),0)</f>
        <v>0</v>
      </c>
      <c r="AI29" s="457">
        <f ca="1">IFERROR(__xludf.DUMMYFUNCTION("""COMPUTED_VALUE"""),0)</f>
        <v>0</v>
      </c>
      <c r="AJ29" s="457">
        <f ca="1">IFERROR(__xludf.DUMMYFUNCTION("""COMPUTED_VALUE"""),111.168999999999)</f>
        <v>111.168999999999</v>
      </c>
      <c r="AK29" s="457">
        <f ca="1">IFERROR(__xludf.DUMMYFUNCTION("""COMPUTED_VALUE"""),0)</f>
        <v>0</v>
      </c>
      <c r="AL29" s="457">
        <f ca="1">IFERROR(__xludf.DUMMYFUNCTION("""COMPUTED_VALUE"""),0)</f>
        <v>0</v>
      </c>
      <c r="AM29" s="457">
        <f ca="1">IFERROR(__xludf.DUMMYFUNCTION("""COMPUTED_VALUE"""),1920.9)</f>
        <v>1920.9</v>
      </c>
      <c r="AN29" s="457">
        <f ca="1">IFERROR(__xludf.DUMMYFUNCTION("""COMPUTED_VALUE"""),0)</f>
        <v>0</v>
      </c>
      <c r="AO29" s="457">
        <f ca="1">IFERROR(__xludf.DUMMYFUNCTION("""COMPUTED_VALUE"""),0)</f>
        <v>0</v>
      </c>
      <c r="AP29" s="457">
        <f ca="1">IFERROR(__xludf.DUMMYFUNCTION("""COMPUTED_VALUE"""),0)</f>
        <v>0</v>
      </c>
      <c r="AQ29" s="457">
        <f ca="1">IFERROR(__xludf.DUMMYFUNCTION("""COMPUTED_VALUE"""),0)</f>
        <v>0</v>
      </c>
      <c r="AR29" s="457">
        <f ca="1">IFERROR(__xludf.DUMMYFUNCTION("""COMPUTED_VALUE"""),0)</f>
        <v>0</v>
      </c>
      <c r="AS29" s="458">
        <f ca="1">IFERROR(__xludf.DUMMYFUNCTION("""COMPUTED_VALUE"""),0)</f>
        <v>0</v>
      </c>
      <c r="AT29" s="13"/>
      <c r="AU29" s="459"/>
    </row>
    <row r="30" spans="1:47" ht="15">
      <c r="A30" s="416"/>
      <c r="B30" s="417">
        <v>123</v>
      </c>
      <c r="C30" s="417"/>
      <c r="D30" s="460" t="s">
        <v>36</v>
      </c>
      <c r="E30" s="461">
        <f ca="1">ЦА!E30+'СВОД терр'!E30</f>
        <v>21740787.199999999</v>
      </c>
      <c r="F30" s="461">
        <f ca="1">ЦА!F30+'СВОД терр'!F30</f>
        <v>11909253.2999999</v>
      </c>
      <c r="G30" s="461">
        <f ca="1">ЦА!G30+'СВОД терр'!G30</f>
        <v>11757022.062739899</v>
      </c>
      <c r="H30" s="461">
        <f ca="1">ЦА!H30+'СВОД терр'!H30</f>
        <v>152231.23725999802</v>
      </c>
      <c r="I30" s="461">
        <f t="shared" ca="1" si="1"/>
        <v>98.721739865420432</v>
      </c>
      <c r="J30" s="461"/>
      <c r="K30" s="461">
        <f ca="1">ЦА!K30+'СВОД терр'!K30</f>
        <v>11359725.0969999</v>
      </c>
      <c r="L30" s="461">
        <f ca="1">ЦА!L30+'СВОД терр'!L30</f>
        <v>11356951.914839901</v>
      </c>
      <c r="M30" s="461">
        <f ca="1">ЦА!M30+'СВОД терр'!M30</f>
        <v>2773.1821599993827</v>
      </c>
      <c r="N30" s="461">
        <f t="shared" ca="1" si="2"/>
        <v>99.975587594450403</v>
      </c>
      <c r="O30" s="462"/>
      <c r="P30" s="463">
        <f t="shared" ca="1" si="3"/>
        <v>9983765.1372600999</v>
      </c>
      <c r="Q30" s="464">
        <f>ЦА!E30-ЦА!G30</f>
        <v>329188.86699000001</v>
      </c>
      <c r="R30" s="464">
        <f t="shared" ca="1" si="4"/>
        <v>9654576.2702700999</v>
      </c>
      <c r="S30" s="464"/>
      <c r="T30" s="465"/>
      <c r="U30" s="405">
        <f t="shared" ca="1" si="5"/>
        <v>10383835.285160098</v>
      </c>
      <c r="V30" s="406">
        <f>ЦА!E30-ЦА!L30</f>
        <v>344496.11238999997</v>
      </c>
      <c r="W30" s="406">
        <f t="shared" ca="1" si="6"/>
        <v>10039339.172770098</v>
      </c>
      <c r="X30" s="426"/>
      <c r="Y30" s="427">
        <f ca="1">IFERROR(__xludf.DUMMYFUNCTION("""COMPUTED_VALUE"""),439139.91)</f>
        <v>439139.91</v>
      </c>
      <c r="Z30" s="427">
        <f ca="1">IFERROR(__xludf.DUMMYFUNCTION("""COMPUTED_VALUE"""),402112.321)</f>
        <v>402112.321</v>
      </c>
      <c r="AA30" s="427">
        <f ca="1">IFERROR(__xludf.DUMMYFUNCTION("""COMPUTED_VALUE"""),450725.256929999)</f>
        <v>450725.25692999898</v>
      </c>
      <c r="AB30" s="427">
        <f ca="1">IFERROR(__xludf.DUMMYFUNCTION("""COMPUTED_VALUE"""),368045.194)</f>
        <v>368045.19400000002</v>
      </c>
      <c r="AC30" s="427">
        <f ca="1">IFERROR(__xludf.DUMMYFUNCTION("""COMPUTED_VALUE"""),487827.405679999)</f>
        <v>487827.40567999898</v>
      </c>
      <c r="AD30" s="427">
        <f ca="1">IFERROR(__xludf.DUMMYFUNCTION("""COMPUTED_VALUE"""),606152.605999999)</f>
        <v>606152.60599999898</v>
      </c>
      <c r="AE30" s="427">
        <f ca="1">IFERROR(__xludf.DUMMYFUNCTION("""COMPUTED_VALUE"""),475744.13359)</f>
        <v>475744.13358999998</v>
      </c>
      <c r="AF30" s="427">
        <f ca="1">IFERROR(__xludf.DUMMYFUNCTION("""COMPUTED_VALUE"""),596702.278)</f>
        <v>596702.27800000005</v>
      </c>
      <c r="AG30" s="427">
        <f ca="1">IFERROR(__xludf.DUMMYFUNCTION("""COMPUTED_VALUE"""),466095.61766)</f>
        <v>466095.61765999999</v>
      </c>
      <c r="AH30" s="427">
        <f ca="1">IFERROR(__xludf.DUMMYFUNCTION("""COMPUTED_VALUE"""),530107.63)</f>
        <v>530107.63</v>
      </c>
      <c r="AI30" s="427">
        <f ca="1">IFERROR(__xludf.DUMMYFUNCTION("""COMPUTED_VALUE"""),259167.33541)</f>
        <v>259167.33541</v>
      </c>
      <c r="AJ30" s="427">
        <f ca="1">IFERROR(__xludf.DUMMYFUNCTION("""COMPUTED_VALUE"""),453380.831)</f>
        <v>453380.83100000001</v>
      </c>
      <c r="AK30" s="427">
        <f ca="1">IFERROR(__xludf.DUMMYFUNCTION("""COMPUTED_VALUE"""),395781.919999999)</f>
        <v>395781.91999999899</v>
      </c>
      <c r="AL30" s="427">
        <f ca="1">IFERROR(__xludf.DUMMYFUNCTION("""COMPUTED_VALUE"""),763865.121)</f>
        <v>763865.12100000004</v>
      </c>
      <c r="AM30" s="427">
        <f ca="1">IFERROR(__xludf.DUMMYFUNCTION("""COMPUTED_VALUE"""),386514.526)</f>
        <v>386514.52600000001</v>
      </c>
      <c r="AN30" s="427">
        <f ca="1">IFERROR(__xludf.DUMMYFUNCTION("""COMPUTED_VALUE"""),688397.740999999)</f>
        <v>688397.74099999899</v>
      </c>
      <c r="AO30" s="427">
        <f ca="1">IFERROR(__xludf.DUMMYFUNCTION("""COMPUTED_VALUE"""),362736.784999999)</f>
        <v>362736.78499999898</v>
      </c>
      <c r="AP30" s="427">
        <f ca="1">IFERROR(__xludf.DUMMYFUNCTION("""COMPUTED_VALUE"""),625223.824)</f>
        <v>625223.82400000002</v>
      </c>
      <c r="AQ30" s="427">
        <f ca="1">IFERROR(__xludf.DUMMYFUNCTION("""COMPUTED_VALUE"""),131989.816)</f>
        <v>131989.81599999999</v>
      </c>
      <c r="AR30" s="427">
        <f ca="1">IFERROR(__xludf.DUMMYFUNCTION("""COMPUTED_VALUE"""),390159.245)</f>
        <v>390159.245</v>
      </c>
      <c r="AS30" s="427">
        <f ca="1">IFERROR(__xludf.DUMMYFUNCTION("""COMPUTED_VALUE"""),374706.732999999)</f>
        <v>374706.73299999902</v>
      </c>
      <c r="AT30" s="466">
        <v>834279.60185000207</v>
      </c>
      <c r="AU30" s="427">
        <f ca="1">P30-AT30</f>
        <v>9149485.5354100987</v>
      </c>
    </row>
    <row r="31" spans="1:47" ht="15">
      <c r="A31" s="906"/>
      <c r="B31" s="370"/>
      <c r="C31" s="370">
        <v>111</v>
      </c>
      <c r="D31" s="370" t="s">
        <v>37</v>
      </c>
      <c r="E31" s="401">
        <f ca="1">ЦА!E31+'СВОД терр'!E31</f>
        <v>12010421.1</v>
      </c>
      <c r="F31" s="401">
        <f ca="1">ЦА!F31+'СВОД терр'!F31</f>
        <v>5441788.2000000002</v>
      </c>
      <c r="G31" s="401">
        <f ca="1">ЦА!G31+'СВОД терр'!G31</f>
        <v>5441785.2648499897</v>
      </c>
      <c r="H31" s="401">
        <f ca="1">ЦА!H31+'СВОД терр'!H31</f>
        <v>2.9351500011980498</v>
      </c>
      <c r="I31" s="401">
        <f t="shared" ca="1" si="1"/>
        <v>99.999946062766455</v>
      </c>
      <c r="J31" s="401"/>
      <c r="K31" s="401">
        <f ca="1">ЦА!K31+'СВОД терр'!K31</f>
        <v>5441788.2000000002</v>
      </c>
      <c r="L31" s="401">
        <f ca="1">ЦА!L31+'СВОД терр'!L31</f>
        <v>5441785.2658499898</v>
      </c>
      <c r="M31" s="401">
        <f ca="1">ЦА!M31+'СВОД терр'!M31</f>
        <v>2.9341500010341401</v>
      </c>
      <c r="N31" s="401">
        <f t="shared" ca="1" si="2"/>
        <v>99.999946081142767</v>
      </c>
      <c r="O31" s="430">
        <f ca="1">M31+M32+M33+M35+M36+M38</f>
        <v>959.80920000141327</v>
      </c>
      <c r="P31" s="403">
        <f t="shared" ca="1" si="3"/>
        <v>6568635.83515001</v>
      </c>
      <c r="Q31" s="55">
        <f>ЦА!E31-ЦА!G31</f>
        <v>233555.40000000002</v>
      </c>
      <c r="R31" s="55">
        <f t="shared" ca="1" si="4"/>
        <v>6335080.4351500096</v>
      </c>
      <c r="S31" s="55">
        <v>9994081.9999999981</v>
      </c>
      <c r="T31" s="454">
        <f t="shared" ref="T31:T39" ca="1" si="10">S31-E31</f>
        <v>-2016339.1000000015</v>
      </c>
      <c r="U31" s="405">
        <f t="shared" ca="1" si="5"/>
        <v>6568635.8341500098</v>
      </c>
      <c r="V31" s="406">
        <f>ЦА!E31-ЦА!L31</f>
        <v>233555.40000000002</v>
      </c>
      <c r="W31" s="406">
        <f t="shared" ca="1" si="6"/>
        <v>6335080.4341500094</v>
      </c>
      <c r="X31" s="436" t="s">
        <v>78</v>
      </c>
      <c r="Y31" s="432">
        <f ca="1">IFERROR(__xludf.DUMMYFUNCTION("""COMPUTED_VALUE"""),308166.739)</f>
        <v>308166.739</v>
      </c>
      <c r="Z31" s="432">
        <f ca="1">IFERROR(__xludf.DUMMYFUNCTION("""COMPUTED_VALUE"""),268700)</f>
        <v>268700</v>
      </c>
      <c r="AA31" s="432">
        <f ca="1">IFERROR(__xludf.DUMMYFUNCTION("""COMPUTED_VALUE"""),314213.999999999)</f>
        <v>314213.99999999901</v>
      </c>
      <c r="AB31" s="432">
        <f ca="1">IFERROR(__xludf.DUMMYFUNCTION("""COMPUTED_VALUE"""),184830)</f>
        <v>184830</v>
      </c>
      <c r="AC31" s="432">
        <f ca="1">IFERROR(__xludf.DUMMYFUNCTION("""COMPUTED_VALUE"""),279570.00015)</f>
        <v>279570.00014999998</v>
      </c>
      <c r="AD31" s="432">
        <f ca="1">IFERROR(__xludf.DUMMYFUNCTION("""COMPUTED_VALUE"""),429696)</f>
        <v>429696</v>
      </c>
      <c r="AE31" s="432">
        <f ca="1">IFERROR(__xludf.DUMMYFUNCTION("""COMPUTED_VALUE"""),288762)</f>
        <v>288762</v>
      </c>
      <c r="AF31" s="432">
        <f ca="1">IFERROR(__xludf.DUMMYFUNCTION("""COMPUTED_VALUE"""),424009.01)</f>
        <v>424009.01</v>
      </c>
      <c r="AG31" s="432">
        <f ca="1">IFERROR(__xludf.DUMMYFUNCTION("""COMPUTED_VALUE"""),324877)</f>
        <v>324877</v>
      </c>
      <c r="AH31" s="432">
        <f ca="1">IFERROR(__xludf.DUMMYFUNCTION("""COMPUTED_VALUE"""),383942.5)</f>
        <v>383942.5</v>
      </c>
      <c r="AI31" s="432">
        <f ca="1">IFERROR(__xludf.DUMMYFUNCTION("""COMPUTED_VALUE"""),161730)</f>
        <v>161730</v>
      </c>
      <c r="AJ31" s="432">
        <f ca="1">IFERROR(__xludf.DUMMYFUNCTION("""COMPUTED_VALUE"""),303230)</f>
        <v>303230</v>
      </c>
      <c r="AK31" s="432">
        <f ca="1">IFERROR(__xludf.DUMMYFUNCTION("""COMPUTED_VALUE"""),240779)</f>
        <v>240779</v>
      </c>
      <c r="AL31" s="433">
        <f ca="1">IFERROR(__xludf.DUMMYFUNCTION("""COMPUTED_VALUE"""),506870)</f>
        <v>506870</v>
      </c>
      <c r="AM31" s="432">
        <f ca="1">IFERROR(__xludf.DUMMYFUNCTION("""COMPUTED_VALUE"""),216353.05)</f>
        <v>216353.05</v>
      </c>
      <c r="AN31" s="368">
        <f ca="1">IFERROR(__xludf.DUMMYFUNCTION("""COMPUTED_VALUE"""),418582)</f>
        <v>418582</v>
      </c>
      <c r="AO31" s="432">
        <f ca="1">IFERROR(__xludf.DUMMYFUNCTION("""COMPUTED_VALUE"""),252093.136)</f>
        <v>252093.136</v>
      </c>
      <c r="AP31" s="368">
        <f ca="1">IFERROR(__xludf.DUMMYFUNCTION("""COMPUTED_VALUE"""),420762)</f>
        <v>420762</v>
      </c>
      <c r="AQ31" s="368">
        <f ca="1">IFERROR(__xludf.DUMMYFUNCTION("""COMPUTED_VALUE"""),94188)</f>
        <v>94188</v>
      </c>
      <c r="AR31" s="368">
        <f ca="1">IFERROR(__xludf.DUMMYFUNCTION("""COMPUTED_VALUE"""),264066)</f>
        <v>264066</v>
      </c>
      <c r="AS31" s="368">
        <f ca="1">IFERROR(__xludf.DUMMYFUNCTION("""COMPUTED_VALUE"""),249660)</f>
        <v>249660</v>
      </c>
      <c r="AT31" s="13"/>
      <c r="AU31" s="367"/>
    </row>
    <row r="32" spans="1:47" ht="15">
      <c r="A32" s="863"/>
      <c r="B32" s="370"/>
      <c r="C32" s="370">
        <v>112</v>
      </c>
      <c r="D32" s="370" t="s">
        <v>38</v>
      </c>
      <c r="E32" s="401">
        <f ca="1">ЦА!E32+'СВОД терр'!E32</f>
        <v>3119628.9999999898</v>
      </c>
      <c r="F32" s="401">
        <f ca="1">ЦА!F32+'СВОД терр'!F32</f>
        <v>3140853.8</v>
      </c>
      <c r="G32" s="401">
        <f ca="1">ЦА!G32+'СВОД терр'!G32</f>
        <v>3140457.6657199897</v>
      </c>
      <c r="H32" s="401">
        <f ca="1">ЦА!H32+'СВОД терр'!H32</f>
        <v>396.13428000034702</v>
      </c>
      <c r="I32" s="401">
        <f t="shared" ca="1" si="1"/>
        <v>99.987387688022594</v>
      </c>
      <c r="J32" s="401"/>
      <c r="K32" s="401">
        <f ca="1">ЦА!K32+'СВОД терр'!K32</f>
        <v>3140853.8</v>
      </c>
      <c r="L32" s="401">
        <f ca="1">ЦА!L32+'СВОД терр'!L32</f>
        <v>3140457.66471999</v>
      </c>
      <c r="M32" s="401">
        <f ca="1">ЦА!M32+'СВОД терр'!M32</f>
        <v>396.13528000051099</v>
      </c>
      <c r="N32" s="401">
        <f t="shared" ca="1" si="2"/>
        <v>99.98738765618414</v>
      </c>
      <c r="O32" s="434"/>
      <c r="P32" s="403">
        <f t="shared" ca="1" si="3"/>
        <v>-20828.665719999932</v>
      </c>
      <c r="Q32" s="55">
        <f>ЦА!E32-ЦА!G32</f>
        <v>0</v>
      </c>
      <c r="R32" s="55">
        <f t="shared" ca="1" si="4"/>
        <v>-20828.665719999932</v>
      </c>
      <c r="S32" s="55">
        <v>1158808.3</v>
      </c>
      <c r="T32" s="454">
        <f t="shared" ca="1" si="10"/>
        <v>-1960820.6999999897</v>
      </c>
      <c r="U32" s="405">
        <f t="shared" ca="1" si="5"/>
        <v>-20828.664720000234</v>
      </c>
      <c r="V32" s="406">
        <f>ЦА!E32-ЦА!L32</f>
        <v>0</v>
      </c>
      <c r="W32" s="406">
        <f t="shared" ca="1" si="6"/>
        <v>-20828.664720000234</v>
      </c>
      <c r="X32" s="436" t="s">
        <v>78</v>
      </c>
      <c r="Y32" s="432">
        <f ca="1">IFERROR(__xludf.DUMMYFUNCTION("""COMPUTED_VALUE"""),0.72500000000582)</f>
        <v>0.72500000000581999</v>
      </c>
      <c r="Z32" s="432">
        <f ca="1">IFERROR(__xludf.DUMMYFUNCTION("""COMPUTED_VALUE"""),0)</f>
        <v>0</v>
      </c>
      <c r="AA32" s="432">
        <f ca="1">IFERROR(__xludf.DUMMYFUNCTION("""COMPUTED_VALUE"""),519.200000000011)</f>
        <v>519.20000000001096</v>
      </c>
      <c r="AB32" s="432">
        <f ca="1">IFERROR(__xludf.DUMMYFUNCTION("""COMPUTED_VALUE"""),365.400000000008)</f>
        <v>365.40000000000799</v>
      </c>
      <c r="AC32" s="432">
        <f ca="1">IFERROR(__xludf.DUMMYFUNCTION("""COMPUTED_VALUE"""),0)</f>
        <v>0</v>
      </c>
      <c r="AD32" s="432">
        <f ca="1">IFERROR(__xludf.DUMMYFUNCTION("""COMPUTED_VALUE"""),0)</f>
        <v>0</v>
      </c>
      <c r="AE32" s="432">
        <f ca="1">IFERROR(__xludf.DUMMYFUNCTION("""COMPUTED_VALUE"""),0)</f>
        <v>0</v>
      </c>
      <c r="AF32" s="432">
        <f ca="1">IFERROR(__xludf.DUMMYFUNCTION("""COMPUTED_VALUE"""),-24499.9899999999)</f>
        <v>-24499.9899999999</v>
      </c>
      <c r="AG32" s="432">
        <f ca="1">IFERROR(__xludf.DUMMYFUNCTION("""COMPUTED_VALUE"""),25.5899999999965)</f>
        <v>25.5899999999965</v>
      </c>
      <c r="AH32" s="432">
        <f ca="1">IFERROR(__xludf.DUMMYFUNCTION("""COMPUTED_VALUE"""),0)</f>
        <v>0</v>
      </c>
      <c r="AI32" s="432">
        <f ca="1">IFERROR(__xludf.DUMMYFUNCTION("""COMPUTED_VALUE"""),0.0372800000041024)</f>
        <v>3.72800000041024E-2</v>
      </c>
      <c r="AJ32" s="432">
        <f ca="1">IFERROR(__xludf.DUMMYFUNCTION("""COMPUTED_VALUE"""),0)</f>
        <v>0</v>
      </c>
      <c r="AK32" s="432">
        <f ca="1">IFERROR(__xludf.DUMMYFUNCTION("""COMPUTED_VALUE"""),0)</f>
        <v>0</v>
      </c>
      <c r="AL32" s="433">
        <f ca="1">IFERROR(__xludf.DUMMYFUNCTION("""COMPUTED_VALUE"""),2000)</f>
        <v>2000</v>
      </c>
      <c r="AM32" s="432">
        <f ca="1">IFERROR(__xludf.DUMMYFUNCTION("""COMPUTED_VALUE"""),756.009999999994)</f>
        <v>756.00999999999397</v>
      </c>
      <c r="AN32" s="368">
        <f ca="1">IFERROR(__xludf.DUMMYFUNCTION("""COMPUTED_VALUE"""),0)</f>
        <v>0</v>
      </c>
      <c r="AO32" s="432">
        <f ca="1">IFERROR(__xludf.DUMMYFUNCTION("""COMPUTED_VALUE"""),2.24199999999837)</f>
        <v>2.2419999999983702</v>
      </c>
      <c r="AP32" s="368">
        <f ca="1">IFERROR(__xludf.DUMMYFUNCTION("""COMPUTED_VALUE"""),2.11900000000605)</f>
        <v>2.11900000000605</v>
      </c>
      <c r="AQ32" s="368">
        <f ca="1">IFERROR(__xludf.DUMMYFUNCTION("""COMPUTED_VALUE"""),0)</f>
        <v>0</v>
      </c>
      <c r="AR32" s="368">
        <f ca="1">IFERROR(__xludf.DUMMYFUNCTION("""COMPUTED_VALUE"""),0)</f>
        <v>0</v>
      </c>
      <c r="AS32" s="368">
        <f ca="1">IFERROR(__xludf.DUMMYFUNCTION("""COMPUTED_VALUE"""),0.0010000000038417)</f>
        <v>1.0000000038417E-3</v>
      </c>
      <c r="AT32" s="13"/>
      <c r="AU32" s="367"/>
    </row>
    <row r="33" spans="1:47" ht="15">
      <c r="A33" s="863"/>
      <c r="B33" s="370"/>
      <c r="C33" s="370">
        <v>113</v>
      </c>
      <c r="D33" s="370" t="s">
        <v>39</v>
      </c>
      <c r="E33" s="401">
        <f ca="1">ЦА!E33+'СВОД терр'!E33</f>
        <v>2205565.9</v>
      </c>
      <c r="F33" s="401">
        <f ca="1">ЦА!F33+'СВОД терр'!F33</f>
        <v>896546.2</v>
      </c>
      <c r="G33" s="401">
        <f ca="1">ЦА!G33+'СВОД терр'!G33</f>
        <v>896507.30999999994</v>
      </c>
      <c r="H33" s="401">
        <f ca="1">ЦА!H33+'СВОД терр'!H33</f>
        <v>38.889999999897491</v>
      </c>
      <c r="I33" s="401">
        <f t="shared" ca="1" si="1"/>
        <v>99.995662242503514</v>
      </c>
      <c r="J33" s="401"/>
      <c r="K33" s="401">
        <f ca="1">ЦА!K33+'СВОД терр'!K33</f>
        <v>896546.2</v>
      </c>
      <c r="L33" s="401">
        <f ca="1">ЦА!L33+'СВОД терр'!L33</f>
        <v>896507.30999999994</v>
      </c>
      <c r="M33" s="401">
        <f ca="1">ЦА!M33+'СВОД терр'!M33</f>
        <v>38.889999999897491</v>
      </c>
      <c r="N33" s="401">
        <f t="shared" ca="1" si="2"/>
        <v>99.995662242503514</v>
      </c>
      <c r="O33" s="434"/>
      <c r="P33" s="403">
        <f t="shared" ca="1" si="3"/>
        <v>1309058.5899999999</v>
      </c>
      <c r="Q33" s="55">
        <f>ЦА!E33-ЦА!G33</f>
        <v>37388.103000000003</v>
      </c>
      <c r="R33" s="55">
        <f t="shared" ca="1" si="4"/>
        <v>1271670.4869999997</v>
      </c>
      <c r="S33" s="55">
        <v>2130307.6</v>
      </c>
      <c r="T33" s="454">
        <f t="shared" ca="1" si="10"/>
        <v>-75258.299999999814</v>
      </c>
      <c r="U33" s="405">
        <f t="shared" ca="1" si="5"/>
        <v>1309058.5899999999</v>
      </c>
      <c r="V33" s="406">
        <f>ЦА!E33-ЦА!L33</f>
        <v>37388.103000000003</v>
      </c>
      <c r="W33" s="406">
        <f t="shared" ca="1" si="6"/>
        <v>1271670.4869999997</v>
      </c>
      <c r="X33" s="436" t="s">
        <v>78</v>
      </c>
      <c r="Y33" s="432">
        <f ca="1">IFERROR(__xludf.DUMMYFUNCTION("""COMPUTED_VALUE"""),63520.49)</f>
        <v>63520.49</v>
      </c>
      <c r="Z33" s="432">
        <f ca="1">IFERROR(__xludf.DUMMYFUNCTION("""COMPUTED_VALUE"""),57039)</f>
        <v>57039</v>
      </c>
      <c r="AA33" s="432">
        <f ca="1">IFERROR(__xludf.DUMMYFUNCTION("""COMPUTED_VALUE"""),77151)</f>
        <v>77151</v>
      </c>
      <c r="AB33" s="432">
        <f ca="1">IFERROR(__xludf.DUMMYFUNCTION("""COMPUTED_VALUE"""),34988.71)</f>
        <v>34988.71</v>
      </c>
      <c r="AC33" s="432">
        <f ca="1">IFERROR(__xludf.DUMMYFUNCTION("""COMPUTED_VALUE"""),66850)</f>
        <v>66850</v>
      </c>
      <c r="AD33" s="432">
        <f ca="1">IFERROR(__xludf.DUMMYFUNCTION("""COMPUTED_VALUE"""),83232)</f>
        <v>83232</v>
      </c>
      <c r="AE33" s="432">
        <f ca="1">IFERROR(__xludf.DUMMYFUNCTION("""COMPUTED_VALUE"""),52419)</f>
        <v>52419</v>
      </c>
      <c r="AF33" s="432">
        <f ca="1">IFERROR(__xludf.DUMMYFUNCTION("""COMPUTED_VALUE"""),84536)</f>
        <v>84536</v>
      </c>
      <c r="AG33" s="432">
        <f ca="1">IFERROR(__xludf.DUMMYFUNCTION("""COMPUTED_VALUE"""),59363.337)</f>
        <v>59363.337</v>
      </c>
      <c r="AH33" s="432">
        <f ca="1">IFERROR(__xludf.DUMMYFUNCTION("""COMPUTED_VALUE"""),63419.5)</f>
        <v>63419.5</v>
      </c>
      <c r="AI33" s="432">
        <f ca="1">IFERROR(__xludf.DUMMYFUNCTION("""COMPUTED_VALUE"""),36654.049)</f>
        <v>36654.048999999999</v>
      </c>
      <c r="AJ33" s="432">
        <f ca="1">IFERROR(__xludf.DUMMYFUNCTION("""COMPUTED_VALUE"""),47652)</f>
        <v>47652</v>
      </c>
      <c r="AK33" s="432">
        <f ca="1">IFERROR(__xludf.DUMMYFUNCTION("""COMPUTED_VALUE"""),40264.3)</f>
        <v>40264.300000000003</v>
      </c>
      <c r="AL33" s="433">
        <f ca="1">IFERROR(__xludf.DUMMYFUNCTION("""COMPUTED_VALUE"""),73800)</f>
        <v>73800</v>
      </c>
      <c r="AM33" s="432">
        <f ca="1">IFERROR(__xludf.DUMMYFUNCTION("""COMPUTED_VALUE"""),39826.3999999999)</f>
        <v>39826.3999999999</v>
      </c>
      <c r="AN33" s="368">
        <f ca="1">IFERROR(__xludf.DUMMYFUNCTION("""COMPUTED_VALUE"""),93470)</f>
        <v>93470</v>
      </c>
      <c r="AO33" s="432">
        <f ca="1">IFERROR(__xludf.DUMMYFUNCTION("""COMPUTED_VALUE"""),55485)</f>
        <v>55485</v>
      </c>
      <c r="AP33" s="368">
        <f ca="1">IFERROR(__xludf.DUMMYFUNCTION("""COMPUTED_VALUE"""),88145)</f>
        <v>88145</v>
      </c>
      <c r="AQ33" s="368">
        <f ca="1">IFERROR(__xludf.DUMMYFUNCTION("""COMPUTED_VALUE"""),21523)</f>
        <v>21523</v>
      </c>
      <c r="AR33" s="368">
        <f ca="1">IFERROR(__xludf.DUMMYFUNCTION("""COMPUTED_VALUE"""),70786)</f>
        <v>70786</v>
      </c>
      <c r="AS33" s="368">
        <f ca="1">IFERROR(__xludf.DUMMYFUNCTION("""COMPUTED_VALUE"""),61545.7009999999)</f>
        <v>61545.700999999899</v>
      </c>
      <c r="AT33" s="13"/>
      <c r="AU33" s="367"/>
    </row>
    <row r="34" spans="1:47" ht="15">
      <c r="A34" s="863"/>
      <c r="B34" s="370"/>
      <c r="C34" s="467">
        <v>116</v>
      </c>
      <c r="D34" s="35" t="s">
        <v>40</v>
      </c>
      <c r="E34" s="401">
        <f ca="1">ЦА!E34+'СВОД терр'!E34</f>
        <v>0</v>
      </c>
      <c r="F34" s="401">
        <f ca="1">ЦА!F34+'СВОД терр'!F34</f>
        <v>0</v>
      </c>
      <c r="G34" s="401">
        <f ca="1">ЦА!G34+'СВОД терр'!G34</f>
        <v>0</v>
      </c>
      <c r="H34" s="401">
        <f ca="1">ЦА!H34+'СВОД терр'!H34</f>
        <v>0</v>
      </c>
      <c r="I34" s="401" t="e">
        <f t="shared" ca="1" si="1"/>
        <v>#DIV/0!</v>
      </c>
      <c r="J34" s="401"/>
      <c r="K34" s="401">
        <f ca="1">ЦА!K34+'СВОД терр'!K34</f>
        <v>0</v>
      </c>
      <c r="L34" s="401">
        <f ca="1">ЦА!L34+'СВОД терр'!L34</f>
        <v>0</v>
      </c>
      <c r="M34" s="401">
        <f ca="1">ЦА!M34+'СВОД терр'!M34</f>
        <v>0</v>
      </c>
      <c r="N34" s="401" t="e">
        <f t="shared" ca="1" si="2"/>
        <v>#DIV/0!</v>
      </c>
      <c r="O34" s="434"/>
      <c r="P34" s="403">
        <f t="shared" ca="1" si="3"/>
        <v>0</v>
      </c>
      <c r="Q34" s="55">
        <f>ЦА!E34-ЦА!G34</f>
        <v>0</v>
      </c>
      <c r="R34" s="55">
        <f t="shared" ca="1" si="4"/>
        <v>0</v>
      </c>
      <c r="S34" s="55"/>
      <c r="T34" s="454">
        <f t="shared" ca="1" si="10"/>
        <v>0</v>
      </c>
      <c r="U34" s="405">
        <f t="shared" ca="1" si="5"/>
        <v>0</v>
      </c>
      <c r="V34" s="406">
        <f>ЦА!E34-ЦА!L34</f>
        <v>0</v>
      </c>
      <c r="W34" s="406">
        <f t="shared" ca="1" si="6"/>
        <v>0</v>
      </c>
      <c r="X34" s="436" t="s">
        <v>78</v>
      </c>
      <c r="Y34" s="367"/>
      <c r="Z34" s="367"/>
      <c r="AA34" s="367"/>
      <c r="AB34" s="367"/>
      <c r="AC34" s="432">
        <f ca="1">IFERROR(__xludf.DUMMYFUNCTION("""COMPUTED_VALUE"""),0)</f>
        <v>0</v>
      </c>
      <c r="AD34" s="367"/>
      <c r="AE34" s="367"/>
      <c r="AF34" s="367"/>
      <c r="AG34" s="367"/>
      <c r="AH34" s="367"/>
      <c r="AI34" s="367"/>
      <c r="AJ34" s="367"/>
      <c r="AK34" s="367"/>
      <c r="AL34" s="367"/>
      <c r="AM34" s="367"/>
      <c r="AN34" s="367"/>
      <c r="AO34" s="367"/>
      <c r="AP34" s="367"/>
      <c r="AQ34" s="367"/>
      <c r="AR34" s="367"/>
      <c r="AS34" s="368">
        <f ca="1">IFERROR(__xludf.DUMMYFUNCTION("""COMPUTED_VALUE"""),0)</f>
        <v>0</v>
      </c>
      <c r="AT34" s="13"/>
      <c r="AU34" s="367"/>
    </row>
    <row r="35" spans="1:47" ht="15">
      <c r="A35" s="863"/>
      <c r="B35" s="370"/>
      <c r="C35" s="370">
        <v>121</v>
      </c>
      <c r="D35" s="370" t="s">
        <v>41</v>
      </c>
      <c r="E35" s="401">
        <f ca="1">ЦА!E35+'СВОД терр'!E35</f>
        <v>819260.29999999993</v>
      </c>
      <c r="F35" s="401">
        <f ca="1">ЦА!F35+'СВОД терр'!F35</f>
        <v>478350.3</v>
      </c>
      <c r="G35" s="401">
        <f ca="1">ЦА!G35+'СВОД терр'!G35</f>
        <v>478349.97822999995</v>
      </c>
      <c r="H35" s="401">
        <f ca="1">ЦА!H35+'СВОД терр'!H35</f>
        <v>0.32176999998046002</v>
      </c>
      <c r="I35" s="401">
        <f t="shared" ca="1" si="1"/>
        <v>99.999932733396406</v>
      </c>
      <c r="J35" s="401"/>
      <c r="K35" s="401">
        <f ca="1">ЦА!K35+'СВОД терр'!K35</f>
        <v>478350.3</v>
      </c>
      <c r="L35" s="401">
        <f ca="1">ЦА!L35+'СВОД терр'!L35</f>
        <v>478349.97722999996</v>
      </c>
      <c r="M35" s="401">
        <f ca="1">ЦА!M35+'СВОД терр'!M35</f>
        <v>0.32276999996974998</v>
      </c>
      <c r="N35" s="401">
        <f t="shared" ca="1" si="2"/>
        <v>99.999932524344601</v>
      </c>
      <c r="O35" s="434"/>
      <c r="P35" s="403">
        <f t="shared" ca="1" si="3"/>
        <v>340910.32176999998</v>
      </c>
      <c r="Q35" s="55">
        <f>ЦА!E35-ЦА!G35</f>
        <v>12588</v>
      </c>
      <c r="R35" s="55">
        <f t="shared" ca="1" si="4"/>
        <v>328322.32176999998</v>
      </c>
      <c r="S35" s="55">
        <v>614615.1</v>
      </c>
      <c r="T35" s="454">
        <f t="shared" ca="1" si="10"/>
        <v>-204645.19999999995</v>
      </c>
      <c r="U35" s="405">
        <f t="shared" ca="1" si="5"/>
        <v>340910.32276999997</v>
      </c>
      <c r="V35" s="406">
        <f>ЦА!E35-ЦА!L35</f>
        <v>12588</v>
      </c>
      <c r="W35" s="406">
        <f t="shared" ca="1" si="6"/>
        <v>328322.32276999997</v>
      </c>
      <c r="X35" s="436" t="s">
        <v>78</v>
      </c>
      <c r="Y35" s="432">
        <f ca="1">IFERROR(__xludf.DUMMYFUNCTION("""COMPUTED_VALUE"""),16272)</f>
        <v>16272</v>
      </c>
      <c r="Z35" s="432">
        <f ca="1">IFERROR(__xludf.DUMMYFUNCTION("""COMPUTED_VALUE"""),14183.9999999999)</f>
        <v>14183.9999999999</v>
      </c>
      <c r="AA35" s="432">
        <f ca="1">IFERROR(__xludf.DUMMYFUNCTION("""COMPUTED_VALUE"""),16589.9999999999)</f>
        <v>16589.999999999902</v>
      </c>
      <c r="AB35" s="432">
        <f ca="1">IFERROR(__xludf.DUMMYFUNCTION("""COMPUTED_VALUE"""),9478)</f>
        <v>9478</v>
      </c>
      <c r="AC35" s="367"/>
      <c r="AD35" s="432">
        <f ca="1">IFERROR(__xludf.DUMMYFUNCTION("""COMPUTED_VALUE"""),22686)</f>
        <v>22686</v>
      </c>
      <c r="AE35" s="432">
        <f ca="1">IFERROR(__xludf.DUMMYFUNCTION("""COMPUTED_VALUE"""),15246)</f>
        <v>15246</v>
      </c>
      <c r="AF35" s="432">
        <f ca="1">IFERROR(__xludf.DUMMYFUNCTION("""COMPUTED_VALUE"""),20634.01)</f>
        <v>20634.009999999998</v>
      </c>
      <c r="AG35" s="432">
        <f ca="1">IFERROR(__xludf.DUMMYFUNCTION("""COMPUTED_VALUE"""),17153)</f>
        <v>17153</v>
      </c>
      <c r="AH35" s="432">
        <f ca="1">IFERROR(__xludf.DUMMYFUNCTION("""COMPUTED_VALUE"""),14597.9999999999)</f>
        <v>14597.9999999999</v>
      </c>
      <c r="AI35" s="432">
        <f ca="1">IFERROR(__xludf.DUMMYFUNCTION("""COMPUTED_VALUE"""),8538)</f>
        <v>8538</v>
      </c>
      <c r="AJ35" s="432">
        <f ca="1">IFERROR(__xludf.DUMMYFUNCTION("""COMPUTED_VALUE"""),16008)</f>
        <v>16008</v>
      </c>
      <c r="AK35" s="432">
        <f ca="1">IFERROR(__xludf.DUMMYFUNCTION("""COMPUTED_VALUE"""),12708)</f>
        <v>12708</v>
      </c>
      <c r="AL35" s="433">
        <f ca="1">IFERROR(__xludf.DUMMYFUNCTION("""COMPUTED_VALUE"""),26760)</f>
        <v>26760</v>
      </c>
      <c r="AM35" s="432">
        <f ca="1">IFERROR(__xludf.DUMMYFUNCTION("""COMPUTED_VALUE"""),11412)</f>
        <v>11412</v>
      </c>
      <c r="AN35" s="368">
        <f ca="1">IFERROR(__xludf.DUMMYFUNCTION("""COMPUTED_VALUE"""),22098)</f>
        <v>22098</v>
      </c>
      <c r="AO35" s="432">
        <f ca="1">IFERROR(__xludf.DUMMYFUNCTION("""COMPUTED_VALUE"""),13308.311)</f>
        <v>13308.311</v>
      </c>
      <c r="AP35" s="368">
        <f ca="1">IFERROR(__xludf.DUMMYFUNCTION("""COMPUTED_VALUE"""),22212)</f>
        <v>22212</v>
      </c>
      <c r="AQ35" s="368">
        <f ca="1">IFERROR(__xludf.DUMMYFUNCTION("""COMPUTED_VALUE"""),5257)</f>
        <v>5257</v>
      </c>
      <c r="AR35" s="368">
        <f ca="1">IFERROR(__xludf.DUMMYFUNCTION("""COMPUTED_VALUE"""),15238)</f>
        <v>15238</v>
      </c>
      <c r="AS35" s="367"/>
      <c r="AT35" s="13"/>
      <c r="AU35" s="367"/>
    </row>
    <row r="36" spans="1:47" ht="15">
      <c r="A36" s="863"/>
      <c r="B36" s="370"/>
      <c r="C36" s="370">
        <v>122</v>
      </c>
      <c r="D36" s="370" t="s">
        <v>42</v>
      </c>
      <c r="E36" s="401">
        <f ca="1">ЦА!E36+'СВОД терр'!E36</f>
        <v>449748</v>
      </c>
      <c r="F36" s="401">
        <f ca="1">ЦА!F36+'СВОД терр'!F36</f>
        <v>240006.899999999</v>
      </c>
      <c r="G36" s="401">
        <f ca="1">ЦА!G36+'СВОД терр'!G36</f>
        <v>239719.16999999902</v>
      </c>
      <c r="H36" s="401">
        <f ca="1">ЦА!H36+'СВОД терр'!H36</f>
        <v>287.73000000001002</v>
      </c>
      <c r="I36" s="401">
        <f t="shared" ca="1" si="1"/>
        <v>99.880115946666535</v>
      </c>
      <c r="J36" s="401"/>
      <c r="K36" s="401">
        <f ca="1">ЦА!K36+'СВОД терр'!K36</f>
        <v>240006.899999999</v>
      </c>
      <c r="L36" s="401">
        <f ca="1">ЦА!L36+'СВОД терр'!L36</f>
        <v>239719.16999999902</v>
      </c>
      <c r="M36" s="401">
        <f ca="1">ЦА!M36+'СВОД терр'!M36</f>
        <v>287.73000000001002</v>
      </c>
      <c r="N36" s="401">
        <f t="shared" ca="1" si="2"/>
        <v>99.880115946666535</v>
      </c>
      <c r="O36" s="434"/>
      <c r="P36" s="403">
        <f t="shared" ca="1" si="3"/>
        <v>210028.83000000098</v>
      </c>
      <c r="Q36" s="55">
        <f>ЦА!E36-ЦА!G36</f>
        <v>7512.0000000000009</v>
      </c>
      <c r="R36" s="55">
        <f t="shared" ca="1" si="4"/>
        <v>202516.83000000098</v>
      </c>
      <c r="S36" s="55">
        <v>358292.7</v>
      </c>
      <c r="T36" s="454">
        <f t="shared" ca="1" si="10"/>
        <v>-91455.299999999988</v>
      </c>
      <c r="U36" s="405">
        <f t="shared" ca="1" si="5"/>
        <v>210028.83000000098</v>
      </c>
      <c r="V36" s="406">
        <f>ЦА!E36-ЦА!L36</f>
        <v>7512.0000000000009</v>
      </c>
      <c r="W36" s="406">
        <f t="shared" ca="1" si="6"/>
        <v>202516.83000000098</v>
      </c>
      <c r="X36" s="436" t="s">
        <v>78</v>
      </c>
      <c r="Y36" s="432">
        <f ca="1">IFERROR(__xludf.DUMMYFUNCTION("""COMPUTED_VALUE"""),9708)</f>
        <v>9708</v>
      </c>
      <c r="Z36" s="432">
        <f ca="1">IFERROR(__xludf.DUMMYFUNCTION("""COMPUTED_VALUE"""),8459.99999999999)</f>
        <v>8459.9999999999909</v>
      </c>
      <c r="AA36" s="432">
        <f ca="1">IFERROR(__xludf.DUMMYFUNCTION("""COMPUTED_VALUE"""),9900)</f>
        <v>9900</v>
      </c>
      <c r="AB36" s="432">
        <f ca="1">IFERROR(__xludf.DUMMYFUNCTION("""COMPUTED_VALUE"""),5872.27)</f>
        <v>5872.27</v>
      </c>
      <c r="AC36" s="432">
        <f ca="1">IFERROR(__xludf.DUMMYFUNCTION("""COMPUTED_VALUE"""),8808)</f>
        <v>8808</v>
      </c>
      <c r="AD36" s="432">
        <f ca="1">IFERROR(__xludf.DUMMYFUNCTION("""COMPUTED_VALUE"""),13730)</f>
        <v>13730</v>
      </c>
      <c r="AE36" s="432">
        <f ca="1">IFERROR(__xludf.DUMMYFUNCTION("""COMPUTED_VALUE"""),9886)</f>
        <v>9886</v>
      </c>
      <c r="AF36" s="432">
        <f ca="1">IFERROR(__xludf.DUMMYFUNCTION("""COMPUTED_VALUE"""),12362)</f>
        <v>12362</v>
      </c>
      <c r="AG36" s="432">
        <f ca="1">IFERROR(__xludf.DUMMYFUNCTION("""COMPUTED_VALUE"""),10233)</f>
        <v>10233</v>
      </c>
      <c r="AH36" s="432">
        <f ca="1">IFERROR(__xludf.DUMMYFUNCTION("""COMPUTED_VALUE"""),8784)</f>
        <v>8784</v>
      </c>
      <c r="AI36" s="432">
        <f ca="1">IFERROR(__xludf.DUMMYFUNCTION("""COMPUTED_VALUE"""),6094)</f>
        <v>6094</v>
      </c>
      <c r="AJ36" s="432">
        <f ca="1">IFERROR(__xludf.DUMMYFUNCTION("""COMPUTED_VALUE"""),9552)</f>
        <v>9552</v>
      </c>
      <c r="AK36" s="432">
        <f ca="1">IFERROR(__xludf.DUMMYFUNCTION("""COMPUTED_VALUE"""),7584)</f>
        <v>7584</v>
      </c>
      <c r="AL36" s="433">
        <f ca="1">IFERROR(__xludf.DUMMYFUNCTION("""COMPUTED_VALUE"""),15966)</f>
        <v>15966</v>
      </c>
      <c r="AM36" s="432">
        <f ca="1">IFERROR(__xludf.DUMMYFUNCTION("""COMPUTED_VALUE"""),6810)</f>
        <v>6810</v>
      </c>
      <c r="AN36" s="368">
        <f ca="1">IFERROR(__xludf.DUMMYFUNCTION("""COMPUTED_VALUE"""),13182)</f>
        <v>13182</v>
      </c>
      <c r="AO36" s="432">
        <f ca="1">IFERROR(__xludf.DUMMYFUNCTION("""COMPUTED_VALUE"""),8088.92)</f>
        <v>8088.92</v>
      </c>
      <c r="AP36" s="368">
        <f ca="1">IFERROR(__xludf.DUMMYFUNCTION("""COMPUTED_VALUE"""),13764)</f>
        <v>13764</v>
      </c>
      <c r="AQ36" s="368">
        <f ca="1">IFERROR(__xludf.DUMMYFUNCTION("""COMPUTED_VALUE"""),4155.54)</f>
        <v>4155.54</v>
      </c>
      <c r="AR36" s="368">
        <f ca="1">IFERROR(__xludf.DUMMYFUNCTION("""COMPUTED_VALUE"""),9816)</f>
        <v>9816</v>
      </c>
      <c r="AS36" s="368">
        <f ca="1">IFERROR(__xludf.DUMMYFUNCTION("""COMPUTED_VALUE"""),9761.1)</f>
        <v>9761.1</v>
      </c>
      <c r="AT36" s="13"/>
      <c r="AU36" s="367"/>
    </row>
    <row r="37" spans="1:47" ht="15">
      <c r="A37" s="863"/>
      <c r="B37" s="370"/>
      <c r="C37" s="370">
        <v>123</v>
      </c>
      <c r="D37" s="370" t="s">
        <v>43</v>
      </c>
      <c r="E37" s="401">
        <f ca="1">ЦА!E37+'СВОД терр'!E37</f>
        <v>9321.1</v>
      </c>
      <c r="F37" s="401">
        <f ca="1">ЦА!F37+'СВОД терр'!F37</f>
        <v>5082.5</v>
      </c>
      <c r="G37" s="401">
        <f ca="1">ЦА!G37+'СВОД терр'!G37</f>
        <v>4711.7750999999998</v>
      </c>
      <c r="H37" s="401">
        <f ca="1">ЦА!H37+'СВОД терр'!H37</f>
        <v>370.72489999999999</v>
      </c>
      <c r="I37" s="401">
        <f t="shared" ca="1" si="1"/>
        <v>92.70585538612886</v>
      </c>
      <c r="J37" s="401"/>
      <c r="K37" s="401">
        <f ca="1">ЦА!K37+'СВОД терр'!K37</f>
        <v>4665.5</v>
      </c>
      <c r="L37" s="401">
        <f ca="1">ЦА!L37+'СВОД терр'!L37</f>
        <v>4597.51709999999</v>
      </c>
      <c r="M37" s="401">
        <f ca="1">ЦА!M37+'СВОД терр'!M37</f>
        <v>67.982900000000797</v>
      </c>
      <c r="N37" s="401">
        <f t="shared" ca="1" si="2"/>
        <v>98.542859286249922</v>
      </c>
      <c r="O37" s="434"/>
      <c r="P37" s="403">
        <f t="shared" ca="1" si="3"/>
        <v>4609.3249000000005</v>
      </c>
      <c r="Q37" s="55">
        <f>ЦА!E37-ЦА!G37</f>
        <v>0</v>
      </c>
      <c r="R37" s="55">
        <f t="shared" ca="1" si="4"/>
        <v>4609.3249000000005</v>
      </c>
      <c r="S37" s="55">
        <v>8191.2999999999984</v>
      </c>
      <c r="T37" s="454">
        <f t="shared" ca="1" si="10"/>
        <v>-1129.800000000002</v>
      </c>
      <c r="U37" s="405">
        <f t="shared" ca="1" si="5"/>
        <v>4723.5829000000103</v>
      </c>
      <c r="V37" s="406">
        <f>ЦА!E37-ЦА!L37</f>
        <v>0</v>
      </c>
      <c r="W37" s="406">
        <f t="shared" ca="1" si="6"/>
        <v>4723.5829000000103</v>
      </c>
      <c r="X37" s="436" t="s">
        <v>78</v>
      </c>
      <c r="Y37" s="432">
        <f ca="1">IFERROR(__xludf.DUMMYFUNCTION("""COMPUTED_VALUE"""),546.278)</f>
        <v>546.27800000000002</v>
      </c>
      <c r="Z37" s="432">
        <f ca="1">IFERROR(__xludf.DUMMYFUNCTION("""COMPUTED_VALUE"""),258)</f>
        <v>258</v>
      </c>
      <c r="AA37" s="432">
        <f ca="1">IFERROR(__xludf.DUMMYFUNCTION("""COMPUTED_VALUE"""),540)</f>
        <v>540</v>
      </c>
      <c r="AB37" s="432">
        <f ca="1">IFERROR(__xludf.DUMMYFUNCTION("""COMPUTED_VALUE"""),492.07)</f>
        <v>492.07</v>
      </c>
      <c r="AC37" s="432">
        <f ca="1">IFERROR(__xludf.DUMMYFUNCTION("""COMPUTED_VALUE"""),343.022679999999)</f>
        <v>343.02267999999901</v>
      </c>
      <c r="AD37" s="432">
        <f ca="1">IFERROR(__xludf.DUMMYFUNCTION("""COMPUTED_VALUE"""),0)</f>
        <v>0</v>
      </c>
      <c r="AE37" s="432">
        <f ca="1">IFERROR(__xludf.DUMMYFUNCTION("""COMPUTED_VALUE"""),14.93859)</f>
        <v>14.93859</v>
      </c>
      <c r="AF37" s="432">
        <f ca="1">IFERROR(__xludf.DUMMYFUNCTION("""COMPUTED_VALUE"""),26.7279999999999)</f>
        <v>26.727999999999899</v>
      </c>
      <c r="AG37" s="432">
        <f ca="1">IFERROR(__xludf.DUMMYFUNCTION("""COMPUTED_VALUE"""),0)</f>
        <v>0</v>
      </c>
      <c r="AH37" s="432">
        <f ca="1">IFERROR(__xludf.DUMMYFUNCTION("""COMPUTED_VALUE"""),204.024)</f>
        <v>204.024</v>
      </c>
      <c r="AI37" s="432">
        <f ca="1">IFERROR(__xludf.DUMMYFUNCTION("""COMPUTED_VALUE"""),0.0466299999999932)</f>
        <v>4.6629999999993198E-2</v>
      </c>
      <c r="AJ37" s="432">
        <f ca="1">IFERROR(__xludf.DUMMYFUNCTION("""COMPUTED_VALUE"""),65.6399999999999)</f>
        <v>65.639999999999901</v>
      </c>
      <c r="AK37" s="432">
        <f ca="1">IFERROR(__xludf.DUMMYFUNCTION("""COMPUTED_VALUE"""),22.619)</f>
        <v>22.619</v>
      </c>
      <c r="AL37" s="433">
        <f ca="1">IFERROR(__xludf.DUMMYFUNCTION("""COMPUTED_VALUE"""),303.382)</f>
        <v>303.38200000000001</v>
      </c>
      <c r="AM37" s="432">
        <f ca="1">IFERROR(__xludf.DUMMYFUNCTION("""COMPUTED_VALUE"""),124)</f>
        <v>124</v>
      </c>
      <c r="AN37" s="368">
        <f ca="1">IFERROR(__xludf.DUMMYFUNCTION("""COMPUTED_VALUE"""),47.038)</f>
        <v>47.037999999999997</v>
      </c>
      <c r="AO37" s="432">
        <f ca="1">IFERROR(__xludf.DUMMYFUNCTION("""COMPUTED_VALUE"""),0.0320000000000035)</f>
        <v>3.2000000000003498E-2</v>
      </c>
      <c r="AP37" s="368">
        <f ca="1">IFERROR(__xludf.DUMMYFUNCTION("""COMPUTED_VALUE"""),730)</f>
        <v>730</v>
      </c>
      <c r="AQ37" s="368">
        <f ca="1">IFERROR(__xludf.DUMMYFUNCTION("""COMPUTED_VALUE"""),0.466000000000008)</f>
        <v>0.46600000000000802</v>
      </c>
      <c r="AR37" s="368">
        <f ca="1">IFERROR(__xludf.DUMMYFUNCTION("""COMPUTED_VALUE"""),486)</f>
        <v>486</v>
      </c>
      <c r="AS37" s="368">
        <f ca="1">IFERROR(__xludf.DUMMYFUNCTION("""COMPUTED_VALUE"""),405.04)</f>
        <v>405.04</v>
      </c>
      <c r="AT37" s="13"/>
      <c r="AU37" s="367"/>
    </row>
    <row r="38" spans="1:47" ht="45">
      <c r="A38" s="863"/>
      <c r="B38" s="370"/>
      <c r="C38" s="370">
        <v>124</v>
      </c>
      <c r="D38" s="429" t="s">
        <v>44</v>
      </c>
      <c r="E38" s="401">
        <f ca="1">ЦА!E38+'СВОД терр'!E38</f>
        <v>439043.89999999997</v>
      </c>
      <c r="F38" s="401">
        <f ca="1">ЦА!F38+'СВОД терр'!F38</f>
        <v>236284.1</v>
      </c>
      <c r="G38" s="401">
        <f ca="1">ЦА!G38+'СВОД терр'!G38</f>
        <v>236050.31299999999</v>
      </c>
      <c r="H38" s="401">
        <f ca="1">ЦА!H38+'СВОД терр'!H38</f>
        <v>233.78699999998199</v>
      </c>
      <c r="I38" s="401">
        <f t="shared" ca="1" si="1"/>
        <v>99.901056821004872</v>
      </c>
      <c r="J38" s="401"/>
      <c r="K38" s="401">
        <f ca="1">ЦА!K38+'СВОД терр'!K38</f>
        <v>236284.1</v>
      </c>
      <c r="L38" s="401">
        <f ca="1">ЦА!L38+'СВОД терр'!L38</f>
        <v>236050.30300000001</v>
      </c>
      <c r="M38" s="401">
        <f ca="1">ЦА!M38+'СВОД терр'!M38</f>
        <v>233.79699999999099</v>
      </c>
      <c r="N38" s="401">
        <f t="shared" ca="1" si="2"/>
        <v>99.901052588811524</v>
      </c>
      <c r="O38" s="434"/>
      <c r="P38" s="403">
        <f t="shared" ca="1" si="3"/>
        <v>202993.58699999997</v>
      </c>
      <c r="Q38" s="55">
        <f>ЦА!E38-ЦА!G38</f>
        <v>7152</v>
      </c>
      <c r="R38" s="55">
        <f t="shared" ca="1" si="4"/>
        <v>195841.58699999997</v>
      </c>
      <c r="S38" s="55">
        <v>323441.80000000005</v>
      </c>
      <c r="T38" s="454">
        <f t="shared" ca="1" si="10"/>
        <v>-115602.09999999992</v>
      </c>
      <c r="U38" s="405">
        <f t="shared" ca="1" si="5"/>
        <v>202993.59699999995</v>
      </c>
      <c r="V38" s="406">
        <f>ЦА!E38-ЦА!L38</f>
        <v>7152</v>
      </c>
      <c r="W38" s="406">
        <f t="shared" ca="1" si="6"/>
        <v>195841.59699999995</v>
      </c>
      <c r="X38" s="436" t="s">
        <v>78</v>
      </c>
      <c r="Y38" s="432">
        <f ca="1">IFERROR(__xludf.DUMMYFUNCTION("""COMPUTED_VALUE"""),9246)</f>
        <v>9246</v>
      </c>
      <c r="Z38" s="432">
        <f ca="1">IFERROR(__xludf.DUMMYFUNCTION("""COMPUTED_VALUE"""),8058)</f>
        <v>8058</v>
      </c>
      <c r="AA38" s="432">
        <f ca="1">IFERROR(__xludf.DUMMYFUNCTION("""COMPUTED_VALUE"""),9432)</f>
        <v>9432</v>
      </c>
      <c r="AB38" s="432">
        <f ca="1">IFERROR(__xludf.DUMMYFUNCTION("""COMPUTED_VALUE"""),5630.84)</f>
        <v>5630.84</v>
      </c>
      <c r="AC38" s="432">
        <f ca="1">IFERROR(__xludf.DUMMYFUNCTION("""COMPUTED_VALUE"""),8388)</f>
        <v>8388</v>
      </c>
      <c r="AD38" s="432">
        <f ca="1">IFERROR(__xludf.DUMMYFUNCTION("""COMPUTED_VALUE"""),13366.8)</f>
        <v>13366.8</v>
      </c>
      <c r="AE38" s="432">
        <f ca="1">IFERROR(__xludf.DUMMYFUNCTION("""COMPUTED_VALUE"""),9339)</f>
        <v>9339</v>
      </c>
      <c r="AF38" s="432">
        <f ca="1">IFERROR(__xludf.DUMMYFUNCTION("""COMPUTED_VALUE"""),12175)</f>
        <v>12175</v>
      </c>
      <c r="AG38" s="432">
        <f ca="1">IFERROR(__xludf.DUMMYFUNCTION("""COMPUTED_VALUE"""),9747)</f>
        <v>9747</v>
      </c>
      <c r="AH38" s="432">
        <f ca="1">IFERROR(__xludf.DUMMYFUNCTION("""COMPUTED_VALUE"""),11495.9999999999)</f>
        <v>11495.9999999999</v>
      </c>
      <c r="AI38" s="432">
        <f ca="1">IFERROR(__xludf.DUMMYFUNCTION("""COMPUTED_VALUE"""),5783.836)</f>
        <v>5783.8360000000002</v>
      </c>
      <c r="AJ38" s="432">
        <f ca="1">IFERROR(__xludf.DUMMYFUNCTION("""COMPUTED_VALUE"""),9096)</f>
        <v>9096</v>
      </c>
      <c r="AK38" s="432">
        <f ca="1">IFERROR(__xludf.DUMMYFUNCTION("""COMPUTED_VALUE"""),7224)</f>
        <v>7224</v>
      </c>
      <c r="AL38" s="433">
        <f ca="1">IFERROR(__xludf.DUMMYFUNCTION("""COMPUTED_VALUE"""),15204)</f>
        <v>15204</v>
      </c>
      <c r="AM38" s="432">
        <f ca="1">IFERROR(__xludf.DUMMYFUNCTION("""COMPUTED_VALUE"""),6486)</f>
        <v>6486</v>
      </c>
      <c r="AN38" s="368">
        <f ca="1">IFERROR(__xludf.DUMMYFUNCTION("""COMPUTED_VALUE"""),12558)</f>
        <v>12558</v>
      </c>
      <c r="AO38" s="432">
        <f ca="1">IFERROR(__xludf.DUMMYFUNCTION("""COMPUTED_VALUE"""),7637.87099999999)</f>
        <v>7637.8709999999901</v>
      </c>
      <c r="AP38" s="368">
        <f ca="1">IFERROR(__xludf.DUMMYFUNCTION("""COMPUTED_VALUE"""),13053)</f>
        <v>13053</v>
      </c>
      <c r="AQ38" s="368">
        <f ca="1">IFERROR(__xludf.DUMMYFUNCTION("""COMPUTED_VALUE"""),3972.24)</f>
        <v>3972.24</v>
      </c>
      <c r="AR38" s="368">
        <f ca="1">IFERROR(__xludf.DUMMYFUNCTION("""COMPUTED_VALUE"""),8656)</f>
        <v>8656</v>
      </c>
      <c r="AS38" s="368">
        <f ca="1">IFERROR(__xludf.DUMMYFUNCTION("""COMPUTED_VALUE"""),9292)</f>
        <v>9292</v>
      </c>
      <c r="AT38" s="13"/>
      <c r="AU38" s="367"/>
    </row>
    <row r="39" spans="1:47" ht="60">
      <c r="A39" s="863"/>
      <c r="B39" s="370"/>
      <c r="C39" s="370">
        <v>142</v>
      </c>
      <c r="D39" s="429" t="s">
        <v>45</v>
      </c>
      <c r="E39" s="401">
        <f ca="1">ЦА!E39+'СВОД терр'!E39</f>
        <v>661221.5</v>
      </c>
      <c r="F39" s="401">
        <f ca="1">ЦА!F39+'СВОД терр'!F39</f>
        <v>93073.9</v>
      </c>
      <c r="G39" s="401">
        <f ca="1">ЦА!G39+'СВОД терр'!G39</f>
        <v>5813.74</v>
      </c>
      <c r="H39" s="401">
        <f ca="1">ЦА!H39+'СВОД терр'!H39</f>
        <v>87260.159999999902</v>
      </c>
      <c r="I39" s="401">
        <f t="shared" ca="1" si="1"/>
        <v>6.2463698201106865</v>
      </c>
      <c r="J39" s="401"/>
      <c r="K39" s="401">
        <f ca="1">ЦА!K39+'СВОД терр'!K39</f>
        <v>2702.4</v>
      </c>
      <c r="L39" s="401">
        <f ca="1">ЦА!L39+'СВОД терр'!L39</f>
        <v>2692.54</v>
      </c>
      <c r="M39" s="401">
        <f ca="1">ЦА!M39+'СВОД терр'!M39</f>
        <v>9.8600000000001202</v>
      </c>
      <c r="N39" s="401">
        <f t="shared" ca="1" si="2"/>
        <v>99.635139135583188</v>
      </c>
      <c r="O39" s="402"/>
      <c r="P39" s="403">
        <f t="shared" ca="1" si="3"/>
        <v>655407.76</v>
      </c>
      <c r="Q39" s="55">
        <f>ЦА!E39-ЦА!G39</f>
        <v>0</v>
      </c>
      <c r="R39" s="435">
        <f t="shared" ca="1" si="4"/>
        <v>655407.76</v>
      </c>
      <c r="S39" s="55">
        <v>344094.30000000005</v>
      </c>
      <c r="T39" s="454">
        <f t="shared" ca="1" si="10"/>
        <v>-317127.19999999995</v>
      </c>
      <c r="U39" s="405">
        <f t="shared" ca="1" si="5"/>
        <v>658528.96</v>
      </c>
      <c r="V39" s="406">
        <f>ЦА!E39-ЦА!L39</f>
        <v>0</v>
      </c>
      <c r="W39" s="406">
        <f t="shared" ca="1" si="6"/>
        <v>658528.96</v>
      </c>
      <c r="X39" s="468" t="s">
        <v>235</v>
      </c>
      <c r="Y39" s="432">
        <f ca="1">IFERROR(__xludf.DUMMYFUNCTION("""COMPUTED_VALUE"""),1831.4)</f>
        <v>1831.4</v>
      </c>
      <c r="Z39" s="432">
        <f ca="1">IFERROR(__xludf.DUMMYFUNCTION("""COMPUTED_VALUE"""),11775.4)</f>
        <v>11775.4</v>
      </c>
      <c r="AA39" s="432">
        <f ca="1">IFERROR(__xludf.DUMMYFUNCTION("""COMPUTED_VALUE"""),2580)</f>
        <v>2580</v>
      </c>
      <c r="AB39" s="432">
        <f ca="1">IFERROR(__xludf.DUMMYFUNCTION("""COMPUTED_VALUE"""),73145.3)</f>
        <v>73145.3</v>
      </c>
      <c r="AC39" s="432">
        <f ca="1">IFERROR(__xludf.DUMMYFUNCTION("""COMPUTED_VALUE"""),81723.6)</f>
        <v>81723.600000000006</v>
      </c>
      <c r="AD39" s="432">
        <f ca="1">IFERROR(__xludf.DUMMYFUNCTION("""COMPUTED_VALUE"""),7626.7)</f>
        <v>7626.7</v>
      </c>
      <c r="AE39" s="432">
        <f ca="1">IFERROR(__xludf.DUMMYFUNCTION("""COMPUTED_VALUE"""),42304.9)</f>
        <v>42304.9</v>
      </c>
      <c r="AF39" s="432">
        <f ca="1">IFERROR(__xludf.DUMMYFUNCTION("""COMPUTED_VALUE"""),35904)</f>
        <v>35904</v>
      </c>
      <c r="AG39" s="432">
        <f ca="1">IFERROR(__xludf.DUMMYFUNCTION("""COMPUTED_VALUE"""),1267.46)</f>
        <v>1267.46</v>
      </c>
      <c r="AH39" s="432">
        <f ca="1">IFERROR(__xludf.DUMMYFUNCTION("""COMPUTED_VALUE"""),22776)</f>
        <v>22776</v>
      </c>
      <c r="AI39" s="432">
        <f ca="1">IFERROR(__xludf.DUMMYFUNCTION("""COMPUTED_VALUE"""),10898)</f>
        <v>10898</v>
      </c>
      <c r="AJ39" s="432">
        <f ca="1">IFERROR(__xludf.DUMMYFUNCTION("""COMPUTED_VALUE"""),23002)</f>
        <v>23002</v>
      </c>
      <c r="AK39" s="432">
        <f ca="1">IFERROR(__xludf.DUMMYFUNCTION("""COMPUTED_VALUE"""),18600)</f>
        <v>18600</v>
      </c>
      <c r="AL39" s="433">
        <f ca="1">IFERROR(__xludf.DUMMYFUNCTION("""COMPUTED_VALUE"""),102976.3)</f>
        <v>102976.3</v>
      </c>
      <c r="AM39" s="432">
        <f ca="1">IFERROR(__xludf.DUMMYFUNCTION("""COMPUTED_VALUE"""),83411.9)</f>
        <v>83411.899999999994</v>
      </c>
      <c r="AN39" s="368">
        <f ca="1">IFERROR(__xludf.DUMMYFUNCTION("""COMPUTED_VALUE"""),105705)</f>
        <v>105705</v>
      </c>
      <c r="AO39" s="432">
        <f ca="1">IFERROR(__xludf.DUMMYFUNCTION("""COMPUTED_VALUE"""),2318.8)</f>
        <v>2318.8000000000002</v>
      </c>
      <c r="AP39" s="368">
        <f ca="1">IFERROR(__xludf.DUMMYFUNCTION("""COMPUTED_VALUE"""),24519)</f>
        <v>24519</v>
      </c>
      <c r="AQ39" s="368">
        <f ca="1">IFERROR(__xludf.DUMMYFUNCTION("""COMPUTED_VALUE"""),500)</f>
        <v>500</v>
      </c>
      <c r="AR39" s="368">
        <f ca="1">IFERROR(__xludf.DUMMYFUNCTION("""COMPUTED_VALUE"""),2542)</f>
        <v>2542</v>
      </c>
      <c r="AS39" s="368">
        <f ca="1">IFERROR(__xludf.DUMMYFUNCTION("""COMPUTED_VALUE"""),0)</f>
        <v>0</v>
      </c>
      <c r="AT39" s="13"/>
      <c r="AU39" s="367"/>
    </row>
    <row r="40" spans="1:47" ht="15">
      <c r="A40" s="863"/>
      <c r="B40" s="370"/>
      <c r="C40" s="370"/>
      <c r="D40" s="429"/>
      <c r="E40" s="401"/>
      <c r="F40" s="401"/>
      <c r="G40" s="401"/>
      <c r="H40" s="401"/>
      <c r="I40" s="401"/>
      <c r="J40" s="401"/>
      <c r="K40" s="401"/>
      <c r="L40" s="401"/>
      <c r="M40" s="401"/>
      <c r="N40" s="401"/>
      <c r="O40" s="434"/>
      <c r="P40" s="469"/>
      <c r="Q40" s="404"/>
      <c r="R40" s="470"/>
      <c r="S40" s="55"/>
      <c r="T40" s="471"/>
      <c r="U40" s="472"/>
      <c r="V40" s="407"/>
      <c r="W40" s="407"/>
      <c r="X40" s="468"/>
      <c r="Y40" s="367"/>
      <c r="Z40" s="367"/>
      <c r="AA40" s="367"/>
      <c r="AB40" s="367"/>
      <c r="AC40" s="367"/>
      <c r="AD40" s="367"/>
      <c r="AE40" s="367"/>
      <c r="AF40" s="367"/>
      <c r="AG40" s="367"/>
      <c r="AH40" s="367"/>
      <c r="AI40" s="367"/>
      <c r="AJ40" s="367"/>
      <c r="AK40" s="367"/>
      <c r="AL40" s="367"/>
      <c r="AM40" s="367"/>
      <c r="AN40" s="367"/>
      <c r="AO40" s="367"/>
      <c r="AP40" s="367"/>
      <c r="AQ40" s="367"/>
      <c r="AR40" s="367"/>
      <c r="AS40" s="367"/>
      <c r="AT40" s="13"/>
      <c r="AU40" s="367"/>
    </row>
    <row r="41" spans="1:47" ht="45">
      <c r="A41" s="863"/>
      <c r="B41" s="370"/>
      <c r="C41" s="370">
        <v>144</v>
      </c>
      <c r="D41" s="429" t="s">
        <v>46</v>
      </c>
      <c r="E41" s="401">
        <f ca="1">ЦА!E41+'СВОД терр'!E42</f>
        <v>251782.39999999999</v>
      </c>
      <c r="F41" s="401">
        <f ca="1">ЦА!F41+'СВОД терр'!F42</f>
        <v>135693</v>
      </c>
      <c r="G41" s="401">
        <f ca="1">ЦА!G41+'СВОД терр'!G42</f>
        <v>126030.10241000001</v>
      </c>
      <c r="H41" s="401">
        <f ca="1">ЦА!H41+'СВОД терр'!H42</f>
        <v>9662.8975900000205</v>
      </c>
      <c r="I41" s="401">
        <f t="shared" ref="I41:I60" ca="1" si="11">G41/F41*100</f>
        <v>92.878853301201985</v>
      </c>
      <c r="J41" s="401"/>
      <c r="K41" s="401">
        <f ca="1">ЦА!K41+'СВОД терр'!K42</f>
        <v>123222</v>
      </c>
      <c r="L41" s="401">
        <f ca="1">ЦА!L41+'СВОД терр'!L42</f>
        <v>122997.92709</v>
      </c>
      <c r="M41" s="401">
        <f ca="1">ЦА!M41+'СВОД терр'!M42</f>
        <v>224.072910000002</v>
      </c>
      <c r="N41" s="401">
        <f t="shared" ref="N41:N60" ca="1" si="12">L41/K41*100</f>
        <v>99.818155110288743</v>
      </c>
      <c r="O41" s="434"/>
      <c r="P41" s="403">
        <f t="shared" ref="P41:P60" ca="1" si="13">E41-G41</f>
        <v>125752.29758999999</v>
      </c>
      <c r="Q41" s="55">
        <f>ЦА!E41-ЦА!G41</f>
        <v>0</v>
      </c>
      <c r="R41" s="435">
        <f t="shared" ref="R41:R60" ca="1" si="14">P41-Q41</f>
        <v>125752.29758999999</v>
      </c>
      <c r="S41" s="55">
        <v>242985.90000000002</v>
      </c>
      <c r="T41" s="454">
        <f t="shared" ref="T41:T52" ca="1" si="15">S41-E41</f>
        <v>-8796.4999999999709</v>
      </c>
      <c r="U41" s="405">
        <f t="shared" ref="U41:U60" ca="1" si="16">E41-L41</f>
        <v>128784.47291</v>
      </c>
      <c r="V41" s="406">
        <f>ЦА!E41-ЦА!L41</f>
        <v>0</v>
      </c>
      <c r="W41" s="406">
        <f t="shared" ref="W41:W60" ca="1" si="17">U41-V41</f>
        <v>128784.47291</v>
      </c>
      <c r="X41" s="468" t="s">
        <v>64</v>
      </c>
      <c r="Y41" s="432">
        <f ca="1">IFERROR(__xludf.DUMMYFUNCTION("""COMPUTED_VALUE"""),5917.31799999999)</f>
        <v>5917.3179999999902</v>
      </c>
      <c r="Z41" s="432">
        <f ca="1">IFERROR(__xludf.DUMMYFUNCTION("""COMPUTED_VALUE"""),178.139)</f>
        <v>178.13900000000001</v>
      </c>
      <c r="AA41" s="432">
        <f ca="1">IFERROR(__xludf.DUMMYFUNCTION("""COMPUTED_VALUE"""),4791.17067999999)</f>
        <v>4791.1706799999902</v>
      </c>
      <c r="AB41" s="432">
        <f ca="1">IFERROR(__xludf.DUMMYFUNCTION("""COMPUTED_VALUE"""),22.7020000000002)</f>
        <v>22.702000000000201</v>
      </c>
      <c r="AC41" s="432">
        <f ca="1">IFERROR(__xludf.DUMMYFUNCTION("""COMPUTED_VALUE"""),1957.80773)</f>
        <v>1957.80773</v>
      </c>
      <c r="AD41" s="432">
        <f ca="1">IFERROR(__xludf.DUMMYFUNCTION("""COMPUTED_VALUE"""),3192.333)</f>
        <v>3192.3330000000001</v>
      </c>
      <c r="AE41" s="432">
        <f ca="1">IFERROR(__xludf.DUMMYFUNCTION("""COMPUTED_VALUE"""),112.649)</f>
        <v>112.649</v>
      </c>
      <c r="AF41" s="432">
        <f ca="1">IFERROR(__xludf.DUMMYFUNCTION("""COMPUTED_VALUE"""),5009.65)</f>
        <v>5009.6499999999996</v>
      </c>
      <c r="AG41" s="432">
        <f ca="1">IFERROR(__xludf.DUMMYFUNCTION("""COMPUTED_VALUE"""),14737.3699599999)</f>
        <v>14737.3699599999</v>
      </c>
      <c r="AH41" s="432">
        <f ca="1">IFERROR(__xludf.DUMMYFUNCTION("""COMPUTED_VALUE"""),2218.13199999999)</f>
        <v>2218.1319999999901</v>
      </c>
      <c r="AI41" s="432">
        <f ca="1">IFERROR(__xludf.DUMMYFUNCTION("""COMPUTED_VALUE"""),120.489729999999)</f>
        <v>120.489729999999</v>
      </c>
      <c r="AJ41" s="432">
        <f ca="1">IFERROR(__xludf.DUMMYFUNCTION("""COMPUTED_VALUE"""),13880)</f>
        <v>13880</v>
      </c>
      <c r="AK41" s="432">
        <f ca="1">IFERROR(__xludf.DUMMYFUNCTION("""COMPUTED_VALUE"""),6459.77)</f>
        <v>6459.77</v>
      </c>
      <c r="AL41" s="433">
        <f ca="1">IFERROR(__xludf.DUMMYFUNCTION("""COMPUTED_VALUE"""),1619.28399999999)</f>
        <v>1619.2839999999901</v>
      </c>
      <c r="AM41" s="432">
        <f ca="1">IFERROR(__xludf.DUMMYFUNCTION("""COMPUTED_VALUE"""),39.94)</f>
        <v>39.94</v>
      </c>
      <c r="AN41" s="368">
        <f ca="1">IFERROR(__xludf.DUMMYFUNCTION("""COMPUTED_VALUE"""),0)</f>
        <v>0</v>
      </c>
      <c r="AO41" s="432">
        <f ca="1">IFERROR(__xludf.DUMMYFUNCTION("""COMPUTED_VALUE"""),599.057)</f>
        <v>599.05700000000002</v>
      </c>
      <c r="AP41" s="368">
        <f ca="1">IFERROR(__xludf.DUMMYFUNCTION("""COMPUTED_VALUE"""),3594.394)</f>
        <v>3594.3939999999998</v>
      </c>
      <c r="AQ41" s="368">
        <f ca="1">IFERROR(__xludf.DUMMYFUNCTION("""COMPUTED_VALUE"""),75.3400000000001)</f>
        <v>75.340000000000103</v>
      </c>
      <c r="AR41" s="368">
        <f ca="1">IFERROR(__xludf.DUMMYFUNCTION("""COMPUTED_VALUE"""),5673.772)</f>
        <v>5673.7719999999999</v>
      </c>
      <c r="AS41" s="368">
        <f ca="1">IFERROR(__xludf.DUMMYFUNCTION("""COMPUTED_VALUE"""),2868.863)</f>
        <v>2868.8629999999998</v>
      </c>
      <c r="AT41" s="13"/>
      <c r="AU41" s="367"/>
    </row>
    <row r="42" spans="1:47" ht="15">
      <c r="A42" s="863"/>
      <c r="B42" s="370"/>
      <c r="C42" s="370">
        <v>149</v>
      </c>
      <c r="D42" s="370" t="s">
        <v>26</v>
      </c>
      <c r="E42" s="401">
        <f ca="1">ЦА!E42+'СВОД терр'!E43</f>
        <v>346195.7</v>
      </c>
      <c r="F42" s="401">
        <f ca="1">ЦА!F42+'СВОД терр'!F43</f>
        <v>209047</v>
      </c>
      <c r="G42" s="401">
        <f ca="1">ЦА!G42+'СВОД терр'!G43</f>
        <v>207120.73757999999</v>
      </c>
      <c r="H42" s="401">
        <f ca="1">ЦА!H42+'СВОД терр'!H43</f>
        <v>1926.2624199999998</v>
      </c>
      <c r="I42" s="401">
        <f t="shared" ca="1" si="11"/>
        <v>99.078550555616673</v>
      </c>
      <c r="J42" s="401"/>
      <c r="K42" s="401">
        <f ca="1">ЦА!K42+'СВОД терр'!K43</f>
        <v>208112</v>
      </c>
      <c r="L42" s="401">
        <f ca="1">ЦА!L42+'СВОД терр'!L43</f>
        <v>207120.73757999999</v>
      </c>
      <c r="M42" s="401">
        <f ca="1">ЦА!M42+'СВОД терр'!M43</f>
        <v>991.26242000000786</v>
      </c>
      <c r="N42" s="401">
        <f t="shared" ca="1" si="12"/>
        <v>99.523688004536012</v>
      </c>
      <c r="O42" s="434"/>
      <c r="P42" s="403">
        <f t="shared" ca="1" si="13"/>
        <v>139074.96242000003</v>
      </c>
      <c r="Q42" s="473">
        <f>ЦА!E42-ЦА!G42</f>
        <v>1971.1620000000003</v>
      </c>
      <c r="R42" s="55">
        <f t="shared" ca="1" si="14"/>
        <v>137103.80042000001</v>
      </c>
      <c r="S42" s="55">
        <v>224549.90000000002</v>
      </c>
      <c r="T42" s="454">
        <f t="shared" ca="1" si="15"/>
        <v>-121645.79999999999</v>
      </c>
      <c r="U42" s="405">
        <f t="shared" ca="1" si="16"/>
        <v>139074.96242000003</v>
      </c>
      <c r="V42" s="406">
        <f>ЦА!E42-ЦА!L42</f>
        <v>1971.1620000000003</v>
      </c>
      <c r="W42" s="406">
        <f t="shared" ca="1" si="17"/>
        <v>137103.80042000001</v>
      </c>
      <c r="X42" s="436" t="s">
        <v>236</v>
      </c>
      <c r="Y42" s="432">
        <f ca="1">IFERROR(__xludf.DUMMYFUNCTION("""COMPUTED_VALUE"""),5955.598)</f>
        <v>5955.598</v>
      </c>
      <c r="Z42" s="432">
        <f ca="1">IFERROR(__xludf.DUMMYFUNCTION("""COMPUTED_VALUE"""),10980.163)</f>
        <v>10980.163</v>
      </c>
      <c r="AA42" s="432">
        <f ca="1">IFERROR(__xludf.DUMMYFUNCTION("""COMPUTED_VALUE"""),3649.33824)</f>
        <v>3649.33824</v>
      </c>
      <c r="AB42" s="432">
        <f ca="1">IFERROR(__xludf.DUMMYFUNCTION("""COMPUTED_VALUE"""),6246.41)</f>
        <v>6246.41</v>
      </c>
      <c r="AC42" s="432">
        <f ca="1">IFERROR(__xludf.DUMMYFUNCTION("""COMPUTED_VALUE"""),3050.43203)</f>
        <v>3050.4320299999999</v>
      </c>
      <c r="AD42" s="432">
        <f ca="1">IFERROR(__xludf.DUMMYFUNCTION("""COMPUTED_VALUE"""),8534.504)</f>
        <v>8534.5040000000008</v>
      </c>
      <c r="AE42" s="432">
        <f ca="1">IFERROR(__xludf.DUMMYFUNCTION("""COMPUTED_VALUE"""),6237.55046)</f>
        <v>6237.5504600000004</v>
      </c>
      <c r="AF42" s="432">
        <f ca="1">IFERROR(__xludf.DUMMYFUNCTION("""COMPUTED_VALUE"""),7000.01)</f>
        <v>7000.01</v>
      </c>
      <c r="AG42" s="432">
        <f ca="1">IFERROR(__xludf.DUMMYFUNCTION("""COMPUTED_VALUE"""),5665.04711999999)</f>
        <v>5665.0471199999902</v>
      </c>
      <c r="AH42" s="432">
        <f ca="1">IFERROR(__xludf.DUMMYFUNCTION("""COMPUTED_VALUE"""),5955)</f>
        <v>5955</v>
      </c>
      <c r="AI42" s="432">
        <f ca="1">IFERROR(__xludf.DUMMYFUNCTION("""COMPUTED_VALUE"""),9935.02474)</f>
        <v>9935.0247400000007</v>
      </c>
      <c r="AJ42" s="432">
        <f ca="1">IFERROR(__xludf.DUMMYFUNCTION("""COMPUTED_VALUE"""),5789.378)</f>
        <v>5789.3779999999997</v>
      </c>
      <c r="AK42" s="432">
        <f ca="1">IFERROR(__xludf.DUMMYFUNCTION("""COMPUTED_VALUE"""),11436.2)</f>
        <v>11436.2</v>
      </c>
      <c r="AL42" s="433">
        <f ca="1">IFERROR(__xludf.DUMMYFUNCTION("""COMPUTED_VALUE"""),7644.055)</f>
        <v>7644.0550000000003</v>
      </c>
      <c r="AM42" s="432">
        <f ca="1">IFERROR(__xludf.DUMMYFUNCTION("""COMPUTED_VALUE"""),5569.534)</f>
        <v>5569.5339999999997</v>
      </c>
      <c r="AN42" s="368">
        <f ca="1">IFERROR(__xludf.DUMMYFUNCTION("""COMPUTED_VALUE"""),10651.756)</f>
        <v>10651.755999999999</v>
      </c>
      <c r="AO42" s="432">
        <f ca="1">IFERROR(__xludf.DUMMYFUNCTION("""COMPUTED_VALUE"""),5563.133)</f>
        <v>5563.1329999999998</v>
      </c>
      <c r="AP42" s="368">
        <f ca="1">IFERROR(__xludf.DUMMYFUNCTION("""COMPUTED_VALUE"""),1000)</f>
        <v>1000</v>
      </c>
      <c r="AQ42" s="368">
        <f ca="1">IFERROR(__xludf.DUMMYFUNCTION("""COMPUTED_VALUE"""),0.0399999999999636)</f>
        <v>3.9999999999963599E-2</v>
      </c>
      <c r="AR42" s="368">
        <f ca="1">IFERROR(__xludf.DUMMYFUNCTION("""COMPUTED_VALUE"""),2170.12299999999)</f>
        <v>2170.12299999999</v>
      </c>
      <c r="AS42" s="368">
        <f ca="1">IFERROR(__xludf.DUMMYFUNCTION("""COMPUTED_VALUE"""),2719.001)</f>
        <v>2719.0010000000002</v>
      </c>
      <c r="AT42" s="13"/>
      <c r="AU42" s="367"/>
    </row>
    <row r="43" spans="1:47" ht="15">
      <c r="A43" s="863"/>
      <c r="B43" s="370"/>
      <c r="C43" s="370">
        <v>151</v>
      </c>
      <c r="D43" s="370" t="s">
        <v>47</v>
      </c>
      <c r="E43" s="401">
        <f ca="1">ЦА!E43+'СВОД терр'!E44</f>
        <v>49566.1</v>
      </c>
      <c r="F43" s="401">
        <f ca="1">ЦА!F43+'СВОД терр'!F44</f>
        <v>45134.7</v>
      </c>
      <c r="G43" s="401">
        <f ca="1">ЦА!G43+'СВОД терр'!G44</f>
        <v>44416.801879999897</v>
      </c>
      <c r="H43" s="401">
        <f ca="1">ЦА!H43+'СВОД терр'!H44</f>
        <v>717.89812000000495</v>
      </c>
      <c r="I43" s="401">
        <f t="shared" ca="1" si="11"/>
        <v>98.409431944822728</v>
      </c>
      <c r="J43" s="401"/>
      <c r="K43" s="401">
        <f ca="1">ЦА!K43+'СВОД терр'!K44</f>
        <v>17692.5</v>
      </c>
      <c r="L43" s="401">
        <f ca="1">ЦА!L43+'СВОД терр'!L44</f>
        <v>17637.337920000002</v>
      </c>
      <c r="M43" s="401">
        <f ca="1">ЦА!M43+'СВОД терр'!M44</f>
        <v>55.162079999998198</v>
      </c>
      <c r="N43" s="401">
        <f t="shared" ca="1" si="12"/>
        <v>99.688217719372631</v>
      </c>
      <c r="O43" s="434"/>
      <c r="P43" s="403">
        <f t="shared" ca="1" si="13"/>
        <v>5149.2981200001013</v>
      </c>
      <c r="Q43" s="55">
        <f>ЦА!E43-ЦА!G43</f>
        <v>0</v>
      </c>
      <c r="R43" s="55">
        <f t="shared" ca="1" si="14"/>
        <v>5149.2981200001013</v>
      </c>
      <c r="S43" s="55">
        <v>282695.39999999997</v>
      </c>
      <c r="T43" s="454">
        <f t="shared" ca="1" si="15"/>
        <v>233129.29999999996</v>
      </c>
      <c r="U43" s="405">
        <f t="shared" ca="1" si="16"/>
        <v>31928.762079999997</v>
      </c>
      <c r="V43" s="406">
        <f>ЦА!E43-ЦА!L43</f>
        <v>0</v>
      </c>
      <c r="W43" s="406">
        <f t="shared" ca="1" si="17"/>
        <v>31928.762079999997</v>
      </c>
      <c r="X43" s="436" t="s">
        <v>237</v>
      </c>
      <c r="Y43" s="432">
        <f ca="1">IFERROR(__xludf.DUMMYFUNCTION("""COMPUTED_VALUE"""),7730)</f>
        <v>7730</v>
      </c>
      <c r="Z43" s="432">
        <f ca="1">IFERROR(__xludf.DUMMYFUNCTION("""COMPUTED_VALUE"""),1690)</f>
        <v>1690</v>
      </c>
      <c r="AA43" s="432">
        <f ca="1">IFERROR(__xludf.DUMMYFUNCTION("""COMPUTED_VALUE"""),4831)</f>
        <v>4831</v>
      </c>
      <c r="AB43" s="432">
        <f ca="1">IFERROR(__xludf.DUMMYFUNCTION("""COMPUTED_VALUE"""),3034.3)</f>
        <v>3034.3</v>
      </c>
      <c r="AC43" s="432">
        <f ca="1">IFERROR(__xludf.DUMMYFUNCTION("""COMPUTED_VALUE"""),3845)</f>
        <v>3845</v>
      </c>
      <c r="AD43" s="432">
        <f ca="1">IFERROR(__xludf.DUMMYFUNCTION("""COMPUTED_VALUE"""),18050)</f>
        <v>18050</v>
      </c>
      <c r="AE43" s="432">
        <f ca="1">IFERROR(__xludf.DUMMYFUNCTION("""COMPUTED_VALUE"""),6250.00042)</f>
        <v>6250.0004200000003</v>
      </c>
      <c r="AF43" s="432">
        <f ca="1">IFERROR(__xludf.DUMMYFUNCTION("""COMPUTED_VALUE"""),4269.01)</f>
        <v>4269.01</v>
      </c>
      <c r="AG43" s="432">
        <f ca="1">IFERROR(__xludf.DUMMYFUNCTION("""COMPUTED_VALUE"""),11952)</f>
        <v>11952</v>
      </c>
      <c r="AH43" s="432">
        <f ca="1">IFERROR(__xludf.DUMMYFUNCTION("""COMPUTED_VALUE"""),4520)</f>
        <v>4520</v>
      </c>
      <c r="AI43" s="432">
        <f ca="1">IFERROR(__xludf.DUMMYFUNCTION("""COMPUTED_VALUE"""),593.099999999999)</f>
        <v>593.099999999999</v>
      </c>
      <c r="AJ43" s="432">
        <f ca="1">IFERROR(__xludf.DUMMYFUNCTION("""COMPUTED_VALUE"""),14391)</f>
        <v>14391</v>
      </c>
      <c r="AK43" s="432">
        <f ca="1">IFERROR(__xludf.DUMMYFUNCTION("""COMPUTED_VALUE"""),10922)</f>
        <v>10922</v>
      </c>
      <c r="AL43" s="433">
        <f ca="1">IFERROR(__xludf.DUMMYFUNCTION("""COMPUTED_VALUE"""),4631)</f>
        <v>4631</v>
      </c>
      <c r="AM43" s="432">
        <f ca="1">IFERROR(__xludf.DUMMYFUNCTION("""COMPUTED_VALUE"""),14043.41)</f>
        <v>14043.41</v>
      </c>
      <c r="AN43" s="368">
        <f ca="1">IFERROR(__xludf.DUMMYFUNCTION("""COMPUTED_VALUE"""),5301.4)</f>
        <v>5301.4</v>
      </c>
      <c r="AO43" s="432">
        <f ca="1">IFERROR(__xludf.DUMMYFUNCTION("""COMPUTED_VALUE"""),5855)</f>
        <v>5855</v>
      </c>
      <c r="AP43" s="368">
        <f ca="1">IFERROR(__xludf.DUMMYFUNCTION("""COMPUTED_VALUE"""),7143.001)</f>
        <v>7143.0010000000002</v>
      </c>
      <c r="AQ43" s="368">
        <f ca="1">IFERROR(__xludf.DUMMYFUNCTION("""COMPUTED_VALUE"""),446)</f>
        <v>446</v>
      </c>
      <c r="AR43" s="368">
        <f ca="1">IFERROR(__xludf.DUMMYFUNCTION("""COMPUTED_VALUE"""),5665)</f>
        <v>5665</v>
      </c>
      <c r="AS43" s="368">
        <f ca="1">IFERROR(__xludf.DUMMYFUNCTION("""COMPUTED_VALUE"""),1941.57899999999)</f>
        <v>1941.5789999999899</v>
      </c>
      <c r="AT43" s="13"/>
      <c r="AU43" s="367"/>
    </row>
    <row r="44" spans="1:47" ht="15">
      <c r="A44" s="863"/>
      <c r="B44" s="370"/>
      <c r="C44" s="370">
        <v>152</v>
      </c>
      <c r="D44" s="370" t="s">
        <v>28</v>
      </c>
      <c r="E44" s="401">
        <f ca="1">ЦА!E44+'СВОД терр'!E45</f>
        <v>184057</v>
      </c>
      <c r="F44" s="401">
        <f ca="1">ЦА!F44+'СВОД терр'!F45</f>
        <v>143747.69999999998</v>
      </c>
      <c r="G44" s="401">
        <f ca="1">ЦА!G44+'СВОД терр'!G45</f>
        <v>135844.01700999998</v>
      </c>
      <c r="H44" s="401">
        <f ca="1">ЦА!H44+'СВОД терр'!H45</f>
        <v>7903.6829899999993</v>
      </c>
      <c r="I44" s="401">
        <f t="shared" ca="1" si="11"/>
        <v>94.501697773251323</v>
      </c>
      <c r="J44" s="401"/>
      <c r="K44" s="401">
        <f ca="1">ЦА!K44+'СВОД терр'!K45</f>
        <v>53204.499999999898</v>
      </c>
      <c r="L44" s="401">
        <f ca="1">ЦА!L44+'СВОД терр'!L45</f>
        <v>53204.144849999902</v>
      </c>
      <c r="M44" s="401">
        <f ca="1">ЦА!M44+'СВОД терр'!M45</f>
        <v>0.35514999999600133</v>
      </c>
      <c r="N44" s="401">
        <f t="shared" ca="1" si="12"/>
        <v>99.999332481275076</v>
      </c>
      <c r="O44" s="434"/>
      <c r="P44" s="403">
        <f t="shared" ca="1" si="13"/>
        <v>48212.982990000019</v>
      </c>
      <c r="Q44" s="55">
        <f>ЦА!E44-ЦА!G44</f>
        <v>6378.2419900000004</v>
      </c>
      <c r="R44" s="55">
        <f t="shared" ca="1" si="14"/>
        <v>41834.741000000016</v>
      </c>
      <c r="S44" s="55">
        <v>57349.599999999999</v>
      </c>
      <c r="T44" s="454">
        <f t="shared" ca="1" si="15"/>
        <v>-126707.4</v>
      </c>
      <c r="U44" s="405">
        <f t="shared" ca="1" si="16"/>
        <v>130852.8551500001</v>
      </c>
      <c r="V44" s="406">
        <f>ЦА!E44-ЦА!L44</f>
        <v>8601.6473900000001</v>
      </c>
      <c r="W44" s="406">
        <f t="shared" ca="1" si="17"/>
        <v>122251.20776000011</v>
      </c>
      <c r="X44" s="436" t="s">
        <v>238</v>
      </c>
      <c r="Y44" s="432">
        <f ca="1">IFERROR(__xludf.DUMMYFUNCTION("""COMPUTED_VALUE"""),0.0019999999999527)</f>
        <v>1.9999999999527002E-3</v>
      </c>
      <c r="Z44" s="432">
        <f ca="1">IFERROR(__xludf.DUMMYFUNCTION("""COMPUTED_VALUE"""),725.656)</f>
        <v>725.65599999999995</v>
      </c>
      <c r="AA44" s="432">
        <f ca="1">IFERROR(__xludf.DUMMYFUNCTION("""COMPUTED_VALUE"""),744.60022)</f>
        <v>744.60022000000004</v>
      </c>
      <c r="AB44" s="432">
        <f ca="1">IFERROR(__xludf.DUMMYFUNCTION("""COMPUTED_VALUE"""),639.361999999999)</f>
        <v>639.36199999999894</v>
      </c>
      <c r="AC44" s="432">
        <f ca="1">IFERROR(__xludf.DUMMYFUNCTION("""COMPUTED_VALUE"""),0)</f>
        <v>0</v>
      </c>
      <c r="AD44" s="432">
        <f ca="1">IFERROR(__xludf.DUMMYFUNCTION("""COMPUTED_VALUE"""),84.5799999999999)</f>
        <v>84.579999999999899</v>
      </c>
      <c r="AE44" s="432">
        <f ca="1">IFERROR(__xludf.DUMMYFUNCTION("""COMPUTED_VALUE"""),19.5451199999999)</f>
        <v>19.545119999999901</v>
      </c>
      <c r="AF44" s="432">
        <f ca="1">IFERROR(__xludf.DUMMYFUNCTION("""COMPUTED_VALUE"""),0.159999999999854)</f>
        <v>0.15999999999985401</v>
      </c>
      <c r="AG44" s="432">
        <f ca="1">IFERROR(__xludf.DUMMYFUNCTION("""COMPUTED_VALUE"""),350.06075)</f>
        <v>350.06074999999998</v>
      </c>
      <c r="AH44" s="432">
        <f ca="1">IFERROR(__xludf.DUMMYFUNCTION("""COMPUTED_VALUE"""),32.1539999999999)</f>
        <v>32.153999999999897</v>
      </c>
      <c r="AI44" s="432">
        <f ca="1">IFERROR(__xludf.DUMMYFUNCTION("""COMPUTED_VALUE"""),0.00403000000005704)</f>
        <v>4.03000000005704E-3</v>
      </c>
      <c r="AJ44" s="432">
        <f ca="1">IFERROR(__xludf.DUMMYFUNCTION("""COMPUTED_VALUE"""),500)</f>
        <v>500</v>
      </c>
      <c r="AK44" s="432">
        <f ca="1">IFERROR(__xludf.DUMMYFUNCTION("""COMPUTED_VALUE"""),26)</f>
        <v>26</v>
      </c>
      <c r="AL44" s="433">
        <f ca="1">IFERROR(__xludf.DUMMYFUNCTION("""COMPUTED_VALUE"""),0.799999999999954)</f>
        <v>0.79999999999995397</v>
      </c>
      <c r="AM44" s="432">
        <f ca="1">IFERROR(__xludf.DUMMYFUNCTION("""COMPUTED_VALUE"""),0)</f>
        <v>0</v>
      </c>
      <c r="AN44" s="368">
        <f ca="1">IFERROR(__xludf.DUMMYFUNCTION("""COMPUTED_VALUE"""),941.893)</f>
        <v>941.89300000000003</v>
      </c>
      <c r="AO44" s="432">
        <f ca="1">IFERROR(__xludf.DUMMYFUNCTION("""COMPUTED_VALUE"""),184.601)</f>
        <v>184.601</v>
      </c>
      <c r="AP44" s="368">
        <f ca="1">IFERROR(__xludf.DUMMYFUNCTION("""COMPUTED_VALUE"""),0.372000000000298)</f>
        <v>0.37200000000029798</v>
      </c>
      <c r="AQ44" s="368">
        <f ca="1">IFERROR(__xludf.DUMMYFUNCTION("""COMPUTED_VALUE"""),846.4)</f>
        <v>846.4</v>
      </c>
      <c r="AR44" s="368">
        <f ca="1">IFERROR(__xludf.DUMMYFUNCTION("""COMPUTED_VALUE"""),53.0129999999999)</f>
        <v>53.012999999999899</v>
      </c>
      <c r="AS44" s="368">
        <f ca="1">IFERROR(__xludf.DUMMYFUNCTION("""COMPUTED_VALUE"""),0.0950000000000272)</f>
        <v>9.5000000000027202E-2</v>
      </c>
      <c r="AT44" s="13"/>
      <c r="AU44" s="367"/>
    </row>
    <row r="45" spans="1:47" ht="15">
      <c r="A45" s="863"/>
      <c r="B45" s="370"/>
      <c r="C45" s="370">
        <v>153</v>
      </c>
      <c r="D45" s="370" t="s">
        <v>48</v>
      </c>
      <c r="E45" s="401">
        <f ca="1">ЦА!E45+'СВОД терр'!E46</f>
        <v>7553</v>
      </c>
      <c r="F45" s="401">
        <f ca="1">ЦА!F45+'СВОД терр'!F46</f>
        <v>7551.1</v>
      </c>
      <c r="G45" s="401">
        <f ca="1">ЦА!G45+'СВОД терр'!G46</f>
        <v>7551.04</v>
      </c>
      <c r="H45" s="401">
        <f ca="1">ЦА!H45+'СВОД терр'!H46</f>
        <v>6.0000000000400178E-2</v>
      </c>
      <c r="I45" s="401">
        <f t="shared" ca="1" si="11"/>
        <v>99.999205413780771</v>
      </c>
      <c r="J45" s="401"/>
      <c r="K45" s="401">
        <f ca="1">ЦА!K45+'СВОД терр'!K46</f>
        <v>3150</v>
      </c>
      <c r="L45" s="401">
        <f ca="1">ЦА!L45+'СВОД терр'!L46</f>
        <v>3150</v>
      </c>
      <c r="M45" s="401">
        <f ca="1">ЦА!M45+'СВОД терр'!M46</f>
        <v>0</v>
      </c>
      <c r="N45" s="401">
        <f t="shared" ca="1" si="12"/>
        <v>100</v>
      </c>
      <c r="O45" s="434"/>
      <c r="P45" s="403">
        <f t="shared" ca="1" si="13"/>
        <v>1.9600000000000364</v>
      </c>
      <c r="Q45" s="55">
        <f>ЦА!E45-ЦА!G45</f>
        <v>1.9600000000000364</v>
      </c>
      <c r="R45" s="55">
        <f t="shared" ca="1" si="14"/>
        <v>0</v>
      </c>
      <c r="S45" s="55">
        <v>150052.9</v>
      </c>
      <c r="T45" s="454">
        <f t="shared" ca="1" si="15"/>
        <v>142499.9</v>
      </c>
      <c r="U45" s="405">
        <f t="shared" ca="1" si="16"/>
        <v>4403</v>
      </c>
      <c r="V45" s="406">
        <f>ЦА!E45-ЦА!L45</f>
        <v>4403</v>
      </c>
      <c r="W45" s="406">
        <f t="shared" ca="1" si="17"/>
        <v>0</v>
      </c>
      <c r="X45" s="436" t="s">
        <v>239</v>
      </c>
      <c r="Y45" s="432">
        <f ca="1">IFERROR(__xludf.DUMMYFUNCTION("""COMPUTED_VALUE"""),0)</f>
        <v>0</v>
      </c>
      <c r="Z45" s="432">
        <f ca="1">IFERROR(__xludf.DUMMYFUNCTION("""COMPUTED_VALUE"""),1262.28299999999)</f>
        <v>1262.2829999999899</v>
      </c>
      <c r="AA45" s="432">
        <f ca="1">IFERROR(__xludf.DUMMYFUNCTION("""COMPUTED_VALUE"""),0)</f>
        <v>0</v>
      </c>
      <c r="AB45" s="432">
        <f ca="1">IFERROR(__xludf.DUMMYFUNCTION("""COMPUTED_VALUE"""),5742)</f>
        <v>5742</v>
      </c>
      <c r="AC45" s="432">
        <f ca="1">IFERROR(__xludf.DUMMYFUNCTION("""COMPUTED_VALUE"""),0.0360000000000582)</f>
        <v>3.6000000000058201E-2</v>
      </c>
      <c r="AD45" s="432">
        <f ca="1">IFERROR(__xludf.DUMMYFUNCTION("""COMPUTED_VALUE"""),0)</f>
        <v>0</v>
      </c>
      <c r="AE45" s="432">
        <f ca="1">IFERROR(__xludf.DUMMYFUNCTION("""COMPUTED_VALUE"""),12265.8)</f>
        <v>12265.8</v>
      </c>
      <c r="AF45" s="432">
        <f ca="1">IFERROR(__xludf.DUMMYFUNCTION("""COMPUTED_VALUE"""),0)</f>
        <v>0</v>
      </c>
      <c r="AG45" s="432">
        <f ca="1">IFERROR(__xludf.DUMMYFUNCTION("""COMPUTED_VALUE"""),1554.6)</f>
        <v>1554.6</v>
      </c>
      <c r="AH45" s="432">
        <f ca="1">IFERROR(__xludf.DUMMYFUNCTION("""COMPUTED_VALUE"""),0)</f>
        <v>0</v>
      </c>
      <c r="AI45" s="432">
        <f ca="1">IFERROR(__xludf.DUMMYFUNCTION("""COMPUTED_VALUE"""),14019.7)</f>
        <v>14019.7</v>
      </c>
      <c r="AJ45" s="432">
        <f ca="1">IFERROR(__xludf.DUMMYFUNCTION("""COMPUTED_VALUE"""),0)</f>
        <v>0</v>
      </c>
      <c r="AK45" s="432">
        <f ca="1">IFERROR(__xludf.DUMMYFUNCTION("""COMPUTED_VALUE"""),0)</f>
        <v>0</v>
      </c>
      <c r="AL45" s="433">
        <f ca="1">IFERROR(__xludf.DUMMYFUNCTION("""COMPUTED_VALUE"""),918)</f>
        <v>918</v>
      </c>
      <c r="AM45" s="432">
        <f ca="1">IFERROR(__xludf.DUMMYFUNCTION("""COMPUTED_VALUE"""),321.029999999999)</f>
        <v>321.02999999999901</v>
      </c>
      <c r="AN45" s="368">
        <f ca="1">IFERROR(__xludf.DUMMYFUNCTION("""COMPUTED_VALUE"""),2711.112)</f>
        <v>2711.1120000000001</v>
      </c>
      <c r="AO45" s="432">
        <f ca="1">IFERROR(__xludf.DUMMYFUNCTION("""COMPUTED_VALUE"""),2560.4)</f>
        <v>2560.4</v>
      </c>
      <c r="AP45" s="368">
        <f ca="1">IFERROR(__xludf.DUMMYFUNCTION("""COMPUTED_VALUE"""),479.334)</f>
        <v>479.334</v>
      </c>
      <c r="AQ45" s="368">
        <f ca="1">IFERROR(__xludf.DUMMYFUNCTION("""COMPUTED_VALUE"""),0)</f>
        <v>0</v>
      </c>
      <c r="AR45" s="368">
        <f ca="1">IFERROR(__xludf.DUMMYFUNCTION("""COMPUTED_VALUE"""),0)</f>
        <v>0</v>
      </c>
      <c r="AS45" s="368">
        <f ca="1">IFERROR(__xludf.DUMMYFUNCTION("""COMPUTED_VALUE"""),0.445999999999912)</f>
        <v>0.44599999999991202</v>
      </c>
      <c r="AT45" s="13"/>
      <c r="AU45" s="367"/>
    </row>
    <row r="46" spans="1:47" ht="15">
      <c r="A46" s="863"/>
      <c r="B46" s="370"/>
      <c r="C46" s="370">
        <v>154</v>
      </c>
      <c r="D46" s="370" t="s">
        <v>49</v>
      </c>
      <c r="E46" s="401">
        <f ca="1">ЦА!E46+'СВОД терр'!E47</f>
        <v>522265.3</v>
      </c>
      <c r="F46" s="401">
        <f ca="1">ЦА!F46+'СВОД терр'!F47</f>
        <v>469011.6</v>
      </c>
      <c r="G46" s="401">
        <f ca="1">ЦА!G46+'СВОД терр'!G47</f>
        <v>449614.13855999999</v>
      </c>
      <c r="H46" s="401">
        <f ca="1">ЦА!H46+'СВОД терр'!H47</f>
        <v>19397.461439999901</v>
      </c>
      <c r="I46" s="401">
        <f t="shared" ca="1" si="11"/>
        <v>95.864183009546039</v>
      </c>
      <c r="J46" s="401"/>
      <c r="K46" s="401">
        <f ca="1">ЦА!K46+'СВОД терр'!K47</f>
        <v>215697.9</v>
      </c>
      <c r="L46" s="401">
        <f ca="1">ЦА!L46+'СВОД терр'!L47</f>
        <v>215671.86682</v>
      </c>
      <c r="M46" s="401">
        <f ca="1">ЦА!M46+'СВОД терр'!M47</f>
        <v>26.033179999940302</v>
      </c>
      <c r="N46" s="401">
        <f t="shared" ca="1" si="12"/>
        <v>99.98793072162502</v>
      </c>
      <c r="O46" s="434"/>
      <c r="P46" s="403">
        <f t="shared" ca="1" si="13"/>
        <v>72651.161439999996</v>
      </c>
      <c r="Q46" s="55">
        <f>ЦА!E46-ЦА!G46</f>
        <v>0</v>
      </c>
      <c r="R46" s="55">
        <f t="shared" ca="1" si="14"/>
        <v>72651.161439999996</v>
      </c>
      <c r="S46" s="55">
        <v>0</v>
      </c>
      <c r="T46" s="454">
        <f t="shared" ca="1" si="15"/>
        <v>-522265.3</v>
      </c>
      <c r="U46" s="405">
        <f t="shared" ca="1" si="16"/>
        <v>306593.43317999999</v>
      </c>
      <c r="V46" s="406">
        <f>ЦА!E46-ЦА!L46</f>
        <v>0</v>
      </c>
      <c r="W46" s="406">
        <f t="shared" ca="1" si="17"/>
        <v>306593.43317999999</v>
      </c>
      <c r="X46" s="407"/>
      <c r="Y46" s="432">
        <f ca="1">IFERROR(__xludf.DUMMYFUNCTION("""COMPUTED_VALUE"""),0)</f>
        <v>0</v>
      </c>
      <c r="Z46" s="432">
        <f ca="1">IFERROR(__xludf.DUMMYFUNCTION("""COMPUTED_VALUE"""),0)</f>
        <v>0</v>
      </c>
      <c r="AA46" s="432">
        <f ca="1">IFERROR(__xludf.DUMMYFUNCTION("""COMPUTED_VALUE"""),0)</f>
        <v>0</v>
      </c>
      <c r="AB46" s="432">
        <f ca="1">IFERROR(__xludf.DUMMYFUNCTION("""COMPUTED_VALUE"""),0)</f>
        <v>0</v>
      </c>
      <c r="AC46" s="432">
        <f ca="1">IFERROR(__xludf.DUMMYFUNCTION("""COMPUTED_VALUE"""),0)</f>
        <v>0</v>
      </c>
      <c r="AD46" s="432">
        <f ca="1">IFERROR(__xludf.DUMMYFUNCTION("""COMPUTED_VALUE"""),0)</f>
        <v>0</v>
      </c>
      <c r="AE46" s="432">
        <f ca="1">IFERROR(__xludf.DUMMYFUNCTION("""COMPUTED_VALUE"""),0)</f>
        <v>0</v>
      </c>
      <c r="AF46" s="432">
        <f ca="1">IFERROR(__xludf.DUMMYFUNCTION("""COMPUTED_VALUE"""),0)</f>
        <v>0</v>
      </c>
      <c r="AG46" s="432">
        <f ca="1">IFERROR(__xludf.DUMMYFUNCTION("""COMPUTED_VALUE"""),0)</f>
        <v>0</v>
      </c>
      <c r="AH46" s="432">
        <f ca="1">IFERROR(__xludf.DUMMYFUNCTION("""COMPUTED_VALUE"""),0)</f>
        <v>0</v>
      </c>
      <c r="AI46" s="432">
        <f ca="1">IFERROR(__xludf.DUMMYFUNCTION("""COMPUTED_VALUE"""),0)</f>
        <v>0</v>
      </c>
      <c r="AJ46" s="432">
        <f ca="1">IFERROR(__xludf.DUMMYFUNCTION("""COMPUTED_VALUE"""),0)</f>
        <v>0</v>
      </c>
      <c r="AK46" s="432">
        <f ca="1">IFERROR(__xludf.DUMMYFUNCTION("""COMPUTED_VALUE"""),0)</f>
        <v>0</v>
      </c>
      <c r="AL46" s="433">
        <f ca="1">IFERROR(__xludf.DUMMYFUNCTION("""COMPUTED_VALUE"""),0)</f>
        <v>0</v>
      </c>
      <c r="AM46" s="432">
        <f ca="1">IFERROR(__xludf.DUMMYFUNCTION("""COMPUTED_VALUE"""),0)</f>
        <v>0</v>
      </c>
      <c r="AN46" s="368">
        <f ca="1">IFERROR(__xludf.DUMMYFUNCTION("""COMPUTED_VALUE"""),0)</f>
        <v>0</v>
      </c>
      <c r="AO46" s="432">
        <f ca="1">IFERROR(__xludf.DUMMYFUNCTION("""COMPUTED_VALUE"""),0)</f>
        <v>0</v>
      </c>
      <c r="AP46" s="368">
        <f ca="1">IFERROR(__xludf.DUMMYFUNCTION("""COMPUTED_VALUE"""),0)</f>
        <v>0</v>
      </c>
      <c r="AQ46" s="368">
        <f ca="1">IFERROR(__xludf.DUMMYFUNCTION("""COMPUTED_VALUE"""),0)</f>
        <v>0</v>
      </c>
      <c r="AR46" s="368">
        <f ca="1">IFERROR(__xludf.DUMMYFUNCTION("""COMPUTED_VALUE"""),0)</f>
        <v>0</v>
      </c>
      <c r="AS46" s="368">
        <f ca="1">IFERROR(__xludf.DUMMYFUNCTION("""COMPUTED_VALUE"""),0)</f>
        <v>0</v>
      </c>
      <c r="AT46" s="13"/>
      <c r="AU46" s="367"/>
    </row>
    <row r="47" spans="1:47" ht="179.25">
      <c r="A47" s="863"/>
      <c r="B47" s="370"/>
      <c r="C47" s="370">
        <v>159</v>
      </c>
      <c r="D47" s="370" t="s">
        <v>21</v>
      </c>
      <c r="E47" s="401">
        <f ca="1">ЦА!E47+'СВОД терр'!E48</f>
        <v>339231.69999999902</v>
      </c>
      <c r="F47" s="401">
        <f ca="1">ЦА!F47+'СВОД терр'!F48</f>
        <v>127672.299999999</v>
      </c>
      <c r="G47" s="401">
        <f ca="1">ЦА!G47+'СВОД терр'!G48</f>
        <v>127601.398999999</v>
      </c>
      <c r="H47" s="401">
        <f ca="1">ЦА!H47+'СВОД терр'!H48</f>
        <v>70.900999999998007</v>
      </c>
      <c r="I47" s="401">
        <f t="shared" ca="1" si="11"/>
        <v>99.944466419105794</v>
      </c>
      <c r="J47" s="401"/>
      <c r="K47" s="401">
        <f ca="1">ЦА!K47+'СВОД терр'!K48</f>
        <v>118989.499999999</v>
      </c>
      <c r="L47" s="401">
        <f ca="1">ЦА!L47+'СВОД терр'!L48</f>
        <v>118918.58899999999</v>
      </c>
      <c r="M47" s="401">
        <f ca="1">ЦА!M47+'СВОД терр'!M48</f>
        <v>70.910999999992697</v>
      </c>
      <c r="N47" s="401">
        <f t="shared" ca="1" si="12"/>
        <v>99.940405666046999</v>
      </c>
      <c r="O47" s="474"/>
      <c r="P47" s="403">
        <f t="shared" ca="1" si="13"/>
        <v>211630.30100000004</v>
      </c>
      <c r="Q47" s="55">
        <f>ЦА!E47-ЦА!G47</f>
        <v>0</v>
      </c>
      <c r="R47" s="55">
        <f t="shared" ca="1" si="14"/>
        <v>211630.30100000004</v>
      </c>
      <c r="S47" s="55">
        <v>385228.49999999994</v>
      </c>
      <c r="T47" s="55">
        <f t="shared" ca="1" si="15"/>
        <v>45996.80000000092</v>
      </c>
      <c r="U47" s="448">
        <f t="shared" ca="1" si="16"/>
        <v>220313.11099999904</v>
      </c>
      <c r="V47" s="54">
        <f>ЦА!E47-ЦА!L47</f>
        <v>8682.7999999999993</v>
      </c>
      <c r="W47" s="54">
        <f t="shared" ca="1" si="17"/>
        <v>211630.31099999906</v>
      </c>
      <c r="X47" s="431" t="s">
        <v>240</v>
      </c>
      <c r="Y47" s="432">
        <f ca="1">IFERROR(__xludf.DUMMYFUNCTION("""COMPUTED_VALUE"""),2653.35999999999)</f>
        <v>2653.3599999999901</v>
      </c>
      <c r="Z47" s="432">
        <f ca="1">IFERROR(__xludf.DUMMYFUNCTION("""COMPUTED_VALUE"""),11612.2799999999)</f>
        <v>11612.279999999901</v>
      </c>
      <c r="AA47" s="432">
        <f ca="1">IFERROR(__xludf.DUMMYFUNCTION("""COMPUTED_VALUE"""),1098.94778999999)</f>
        <v>1098.9477899999899</v>
      </c>
      <c r="AB47" s="432">
        <f ca="1">IFERROR(__xludf.DUMMYFUNCTION("""COMPUTED_VALUE"""),24288.83)</f>
        <v>24288.83</v>
      </c>
      <c r="AC47" s="432">
        <f ca="1">IFERROR(__xludf.DUMMYFUNCTION("""COMPUTED_VALUE"""),1001.50632)</f>
        <v>1001.50632</v>
      </c>
      <c r="AD47" s="432">
        <f ca="1">IFERROR(__xludf.DUMMYFUNCTION("""COMPUTED_VALUE"""),652.889)</f>
        <v>652.88900000000001</v>
      </c>
      <c r="AE47" s="432">
        <f ca="1">IFERROR(__xludf.DUMMYFUNCTION("""COMPUTED_VALUE"""),1032.55)</f>
        <v>1032.55</v>
      </c>
      <c r="AF47" s="432">
        <f ca="1">IFERROR(__xludf.DUMMYFUNCTION("""COMPUTED_VALUE"""),1168.83)</f>
        <v>1168.83</v>
      </c>
      <c r="AG47" s="432">
        <f ca="1">IFERROR(__xludf.DUMMYFUNCTION("""COMPUTED_VALUE"""),8939.74233)</f>
        <v>8939.7423299999991</v>
      </c>
      <c r="AH47" s="432">
        <f ca="1">IFERROR(__xludf.DUMMYFUNCTION("""COMPUTED_VALUE"""),1399)</f>
        <v>1399</v>
      </c>
      <c r="AI47" s="432">
        <f ca="1">IFERROR(__xludf.DUMMYFUNCTION("""COMPUTED_VALUE"""),4801.048)</f>
        <v>4801.0479999999998</v>
      </c>
      <c r="AJ47" s="432">
        <f ca="1">IFERROR(__xludf.DUMMYFUNCTION("""COMPUTED_VALUE"""),862.813)</f>
        <v>862.81299999999999</v>
      </c>
      <c r="AK47" s="432">
        <f ca="1">IFERROR(__xludf.DUMMYFUNCTION("""COMPUTED_VALUE"""),1538.416)</f>
        <v>1538.4159999999999</v>
      </c>
      <c r="AL47" s="433">
        <f ca="1">IFERROR(__xludf.DUMMYFUNCTION("""COMPUTED_VALUE"""),47.2999999999992)</f>
        <v>47.299999999999201</v>
      </c>
      <c r="AM47" s="432">
        <f ca="1">IFERROR(__xludf.DUMMYFUNCTION("""COMPUTED_VALUE"""),725.252)</f>
        <v>725.25199999999995</v>
      </c>
      <c r="AN47" s="368">
        <f ca="1">IFERROR(__xludf.DUMMYFUNCTION("""COMPUTED_VALUE"""),1515.53899999999)</f>
        <v>1515.53899999999</v>
      </c>
      <c r="AO47" s="432">
        <f ca="1">IFERROR(__xludf.DUMMYFUNCTION("""COMPUTED_VALUE"""),837.447999999989)</f>
        <v>837.44799999998895</v>
      </c>
      <c r="AP47" s="368">
        <f ca="1">IFERROR(__xludf.DUMMYFUNCTION("""COMPUTED_VALUE"""),5949.861)</f>
        <v>5949.8609999999999</v>
      </c>
      <c r="AQ47" s="368">
        <f ca="1">IFERROR(__xludf.DUMMYFUNCTION("""COMPUTED_VALUE"""),164.119999999999)</f>
        <v>164.11999999999901</v>
      </c>
      <c r="AR47" s="368">
        <f ca="1">IFERROR(__xludf.DUMMYFUNCTION("""COMPUTED_VALUE"""),2282.33699999999)</f>
        <v>2282.33699999999</v>
      </c>
      <c r="AS47" s="368">
        <f ca="1">IFERROR(__xludf.DUMMYFUNCTION("""COMPUTED_VALUE"""),79.0920000000041)</f>
        <v>79.092000000004106</v>
      </c>
      <c r="AT47" s="13"/>
      <c r="AU47" s="367"/>
    </row>
    <row r="48" spans="1:47" ht="15">
      <c r="A48" s="862"/>
      <c r="B48" s="370"/>
      <c r="C48" s="370">
        <v>161</v>
      </c>
      <c r="D48" s="370" t="s">
        <v>50</v>
      </c>
      <c r="E48" s="401">
        <f ca="1">ЦА!E48+'СВОД терр'!E49</f>
        <v>32064</v>
      </c>
      <c r="F48" s="401">
        <f ca="1">ЦА!F48+'СВОД терр'!F49</f>
        <v>9424</v>
      </c>
      <c r="G48" s="401">
        <f ca="1">ЦА!G48+'СВОД терр'!G49</f>
        <v>9423.3894999999993</v>
      </c>
      <c r="H48" s="401">
        <f ca="1">ЦА!H48+'СВОД терр'!H49</f>
        <v>0.61050000000000104</v>
      </c>
      <c r="I48" s="401">
        <f t="shared" ca="1" si="11"/>
        <v>99.993521859083188</v>
      </c>
      <c r="J48" s="401"/>
      <c r="K48" s="401">
        <f ca="1">ЦА!K48+'СВОД терр'!K49</f>
        <v>9424</v>
      </c>
      <c r="L48" s="401">
        <f ca="1">ЦА!L48+'СВОД терр'!L49</f>
        <v>9423.3894999999993</v>
      </c>
      <c r="M48" s="401">
        <f ca="1">ЦА!M48+'СВОД терр'!M49</f>
        <v>0.61050000000000104</v>
      </c>
      <c r="N48" s="401">
        <f t="shared" ca="1" si="12"/>
        <v>99.993521859083188</v>
      </c>
      <c r="O48" s="434"/>
      <c r="P48" s="403">
        <f t="shared" ca="1" si="13"/>
        <v>22640.610500000003</v>
      </c>
      <c r="Q48" s="55">
        <f>ЦА!E48-ЦА!G48</f>
        <v>22642</v>
      </c>
      <c r="R48" s="55">
        <f t="shared" ca="1" si="14"/>
        <v>-1.3894999999974971</v>
      </c>
      <c r="S48" s="55">
        <v>470039.10000000003</v>
      </c>
      <c r="T48" s="55">
        <f t="shared" ca="1" si="15"/>
        <v>437975.10000000003</v>
      </c>
      <c r="U48" s="448">
        <f t="shared" ca="1" si="16"/>
        <v>22640.610500000003</v>
      </c>
      <c r="V48" s="54">
        <f>ЦА!E48-ЦА!L48</f>
        <v>22642</v>
      </c>
      <c r="W48" s="54">
        <f t="shared" ca="1" si="17"/>
        <v>-1.3894999999974971</v>
      </c>
      <c r="X48" s="436" t="s">
        <v>241</v>
      </c>
      <c r="Y48" s="432">
        <f ca="1">IFERROR(__xludf.DUMMYFUNCTION("""COMPUTED_VALUE"""),7525)</f>
        <v>7525</v>
      </c>
      <c r="Z48" s="432">
        <f ca="1">IFERROR(__xludf.DUMMYFUNCTION("""COMPUTED_VALUE"""),7161.4)</f>
        <v>7161.4</v>
      </c>
      <c r="AA48" s="432">
        <f ca="1">IFERROR(__xludf.DUMMYFUNCTION("""COMPUTED_VALUE"""),4684)</f>
        <v>4684</v>
      </c>
      <c r="AB48" s="432">
        <f ca="1">IFERROR(__xludf.DUMMYFUNCTION("""COMPUTED_VALUE"""),13214)</f>
        <v>13214</v>
      </c>
      <c r="AC48" s="432">
        <f ca="1">IFERROR(__xludf.DUMMYFUNCTION("""COMPUTED_VALUE"""),17502)</f>
        <v>17502</v>
      </c>
      <c r="AD48" s="432">
        <f ca="1">IFERROR(__xludf.DUMMYFUNCTION("""COMPUTED_VALUE"""),5235)</f>
        <v>5235</v>
      </c>
      <c r="AE48" s="432">
        <f ca="1">IFERROR(__xludf.DUMMYFUNCTION("""COMPUTED_VALUE"""),31812.8)</f>
        <v>31812.799999999999</v>
      </c>
      <c r="AF48" s="432">
        <f ca="1">IFERROR(__xludf.DUMMYFUNCTION("""COMPUTED_VALUE"""),10510)</f>
        <v>10510</v>
      </c>
      <c r="AG48" s="432">
        <f ca="1">IFERROR(__xludf.DUMMYFUNCTION("""COMPUTED_VALUE"""),145.4)</f>
        <v>145.4</v>
      </c>
      <c r="AH48" s="432">
        <f ca="1">IFERROR(__xludf.DUMMYFUNCTION("""COMPUTED_VALUE"""),10534)</f>
        <v>10534</v>
      </c>
      <c r="AI48" s="432">
        <f ca="1">IFERROR(__xludf.DUMMYFUNCTION("""COMPUTED_VALUE"""),0)</f>
        <v>0</v>
      </c>
      <c r="AJ48" s="432">
        <f ca="1">IFERROR(__xludf.DUMMYFUNCTION("""COMPUTED_VALUE"""),8400)</f>
        <v>8400</v>
      </c>
      <c r="AK48" s="432">
        <f ca="1">IFERROR(__xludf.DUMMYFUNCTION("""COMPUTED_VALUE"""),38217.53)</f>
        <v>38217.53</v>
      </c>
      <c r="AL48" s="433">
        <f ca="1">IFERROR(__xludf.DUMMYFUNCTION("""COMPUTED_VALUE"""),5125)</f>
        <v>5125</v>
      </c>
      <c r="AM48" s="432">
        <f ca="1">IFERROR(__xludf.DUMMYFUNCTION("""COMPUTED_VALUE"""),610)</f>
        <v>610</v>
      </c>
      <c r="AN48" s="368">
        <f ca="1">IFERROR(__xludf.DUMMYFUNCTION("""COMPUTED_VALUE"""),827)</f>
        <v>827</v>
      </c>
      <c r="AO48" s="432">
        <f ca="1">IFERROR(__xludf.DUMMYFUNCTION("""COMPUTED_VALUE"""),1202.36099999999)</f>
        <v>1202.3609999999901</v>
      </c>
      <c r="AP48" s="368">
        <f ca="1">IFERROR(__xludf.DUMMYFUNCTION("""COMPUTED_VALUE"""),23726)</f>
        <v>23726</v>
      </c>
      <c r="AQ48" s="368">
        <f ca="1">IFERROR(__xludf.DUMMYFUNCTION("""COMPUTED_VALUE"""),857.01)</f>
        <v>857.01</v>
      </c>
      <c r="AR48" s="368">
        <f ca="1">IFERROR(__xludf.DUMMYFUNCTION("""COMPUTED_VALUE"""),2725)</f>
        <v>2725</v>
      </c>
      <c r="AS48" s="368">
        <f ca="1">IFERROR(__xludf.DUMMYFUNCTION("""COMPUTED_VALUE"""),21616.8)</f>
        <v>21616.799999999999</v>
      </c>
      <c r="AT48" s="13"/>
      <c r="AU48" s="367"/>
    </row>
    <row r="49" spans="1:47" ht="30">
      <c r="A49" s="475"/>
      <c r="B49" s="370"/>
      <c r="C49" s="370">
        <v>165</v>
      </c>
      <c r="D49" s="429" t="s">
        <v>20</v>
      </c>
      <c r="E49" s="401">
        <f ca="1">ЦА!E49+'СВОД терр'!E50</f>
        <v>20854.900000000001</v>
      </c>
      <c r="F49" s="401">
        <f ca="1">ЦА!F49+'СВОД терр'!F50</f>
        <v>13125.9</v>
      </c>
      <c r="G49" s="401">
        <f ca="1">ЦА!G49+'СВОД терр'!G50</f>
        <v>7609.701</v>
      </c>
      <c r="H49" s="401">
        <f ca="1">ЦА!H49+'СВОД терр'!H50</f>
        <v>5516.1989999999996</v>
      </c>
      <c r="I49" s="401">
        <f t="shared" ca="1" si="11"/>
        <v>57.974698877791241</v>
      </c>
      <c r="J49" s="401"/>
      <c r="K49" s="401">
        <f ca="1">ЦА!K49+'СВОД терр'!K50</f>
        <v>7656.3969999999999</v>
      </c>
      <c r="L49" s="401">
        <f ca="1">ЦА!L49+'СВОД терр'!L50</f>
        <v>7609.701</v>
      </c>
      <c r="M49" s="401">
        <f ca="1">ЦА!M49+'СВОД терр'!M50</f>
        <v>46.695999999999003</v>
      </c>
      <c r="N49" s="401">
        <f t="shared" ca="1" si="12"/>
        <v>99.39010477121289</v>
      </c>
      <c r="O49" s="434"/>
      <c r="P49" s="403">
        <f t="shared" ca="1" si="13"/>
        <v>13245.199000000001</v>
      </c>
      <c r="Q49" s="55">
        <f>ЦА!E49-ЦА!G49</f>
        <v>0</v>
      </c>
      <c r="R49" s="55">
        <f t="shared" ca="1" si="14"/>
        <v>13245.199000000001</v>
      </c>
      <c r="S49" s="55">
        <v>362.8</v>
      </c>
      <c r="T49" s="55">
        <f t="shared" ca="1" si="15"/>
        <v>-20492.100000000002</v>
      </c>
      <c r="U49" s="448">
        <f t="shared" ca="1" si="16"/>
        <v>13245.199000000001</v>
      </c>
      <c r="V49" s="54">
        <f>ЦА!E49-ЦА!L49</f>
        <v>0</v>
      </c>
      <c r="W49" s="54">
        <f t="shared" ca="1" si="17"/>
        <v>13245.199000000001</v>
      </c>
      <c r="X49" s="407"/>
      <c r="Y49" s="432">
        <f ca="1">IFERROR(__xludf.DUMMYFUNCTION("""COMPUTED_VALUE"""),0)</f>
        <v>0</v>
      </c>
      <c r="Z49" s="432">
        <f ca="1">IFERROR(__xludf.DUMMYFUNCTION("""COMPUTED_VALUE"""),0)</f>
        <v>0</v>
      </c>
      <c r="AA49" s="432">
        <f ca="1">IFERROR(__xludf.DUMMYFUNCTION("""COMPUTED_VALUE"""),0)</f>
        <v>0</v>
      </c>
      <c r="AB49" s="432">
        <f ca="1">IFERROR(__xludf.DUMMYFUNCTION("""COMPUTED_VALUE"""),0)</f>
        <v>0</v>
      </c>
      <c r="AC49" s="432">
        <f ca="1">IFERROR(__xludf.DUMMYFUNCTION("""COMPUTED_VALUE"""),0)</f>
        <v>0</v>
      </c>
      <c r="AD49" s="432">
        <f ca="1">IFERROR(__xludf.DUMMYFUNCTION("""COMPUTED_VALUE"""),0)</f>
        <v>0</v>
      </c>
      <c r="AE49" s="432">
        <f ca="1">IFERROR(__xludf.DUMMYFUNCTION("""COMPUTED_VALUE"""),0)</f>
        <v>0</v>
      </c>
      <c r="AF49" s="432">
        <f ca="1">IFERROR(__xludf.DUMMYFUNCTION("""COMPUTED_VALUE"""),-1.5)</f>
        <v>-1.5</v>
      </c>
      <c r="AG49" s="432">
        <f ca="1">IFERROR(__xludf.DUMMYFUNCTION("""COMPUTED_VALUE"""),0.000499999999988176)</f>
        <v>4.9999999998817603E-4</v>
      </c>
      <c r="AH49" s="432">
        <f ca="1">IFERROR(__xludf.DUMMYFUNCTION("""COMPUTED_VALUE"""),0)</f>
        <v>0</v>
      </c>
      <c r="AI49" s="432">
        <f ca="1">IFERROR(__xludf.DUMMYFUNCTION("""COMPUTED_VALUE"""),0)</f>
        <v>0</v>
      </c>
      <c r="AJ49" s="432">
        <f ca="1">IFERROR(__xludf.DUMMYFUNCTION("""COMPUTED_VALUE"""),0)</f>
        <v>0</v>
      </c>
      <c r="AK49" s="432">
        <f ca="1">IFERROR(__xludf.DUMMYFUNCTION("""COMPUTED_VALUE"""),0.0850000000000008)</f>
        <v>8.5000000000000797E-2</v>
      </c>
      <c r="AL49" s="433">
        <f ca="1">IFERROR(__xludf.DUMMYFUNCTION("""COMPUTED_VALUE"""),0)</f>
        <v>0</v>
      </c>
      <c r="AM49" s="432">
        <f ca="1">IFERROR(__xludf.DUMMYFUNCTION("""COMPUTED_VALUE"""),0)</f>
        <v>0</v>
      </c>
      <c r="AN49" s="368">
        <f ca="1">IFERROR(__xludf.DUMMYFUNCTION("""COMPUTED_VALUE"""),0)</f>
        <v>0</v>
      </c>
      <c r="AO49" s="432">
        <f ca="1">IFERROR(__xludf.DUMMYFUNCTION("""COMPUTED_VALUE"""),0)</f>
        <v>0</v>
      </c>
      <c r="AP49" s="432">
        <f ca="1">IFERROR(__xludf.DUMMYFUNCTION("""COMPUTED_VALUE"""),0.0249999999999994)</f>
        <v>2.4999999999999401E-2</v>
      </c>
      <c r="AQ49" s="432">
        <f ca="1">IFERROR(__xludf.DUMMYFUNCTION("""COMPUTED_VALUE"""),0)</f>
        <v>0</v>
      </c>
      <c r="AR49" s="432">
        <f ca="1">IFERROR(__xludf.DUMMYFUNCTION("""COMPUTED_VALUE"""),0)</f>
        <v>0</v>
      </c>
      <c r="AS49" s="368">
        <f ca="1">IFERROR(__xludf.DUMMYFUNCTION("""COMPUTED_VALUE"""),0)</f>
        <v>0</v>
      </c>
      <c r="AT49" s="13"/>
      <c r="AU49" s="367"/>
    </row>
    <row r="50" spans="1:47" ht="15">
      <c r="A50" s="370"/>
      <c r="B50" s="370"/>
      <c r="C50" s="370">
        <v>169</v>
      </c>
      <c r="D50" s="370" t="s">
        <v>22</v>
      </c>
      <c r="E50" s="401">
        <f ca="1">ЦА!E50+'СВОД терр'!E51</f>
        <v>0</v>
      </c>
      <c r="F50" s="401">
        <f ca="1">ЦА!F50+'СВОД терр'!F51</f>
        <v>0</v>
      </c>
      <c r="G50" s="401">
        <f ca="1">ЦА!G50+'СВОД терр'!G51</f>
        <v>0</v>
      </c>
      <c r="H50" s="401">
        <f ca="1">ЦА!H50+'СВОД терр'!H51</f>
        <v>0</v>
      </c>
      <c r="I50" s="401" t="e">
        <f t="shared" ca="1" si="11"/>
        <v>#DIV/0!</v>
      </c>
      <c r="J50" s="401"/>
      <c r="K50" s="401">
        <f ca="1">ЦА!K50+'СВОД терр'!K51</f>
        <v>0</v>
      </c>
      <c r="L50" s="401">
        <f ca="1">ЦА!L50+'СВОД терр'!L51</f>
        <v>0</v>
      </c>
      <c r="M50" s="401">
        <f ca="1">ЦА!M50+'СВОД терр'!M51</f>
        <v>0</v>
      </c>
      <c r="N50" s="401" t="e">
        <f t="shared" ca="1" si="12"/>
        <v>#DIV/0!</v>
      </c>
      <c r="O50" s="434"/>
      <c r="P50" s="403">
        <f t="shared" ca="1" si="13"/>
        <v>0</v>
      </c>
      <c r="Q50" s="55">
        <f>ЦА!E50-ЦА!G50</f>
        <v>0</v>
      </c>
      <c r="R50" s="55">
        <f t="shared" ca="1" si="14"/>
        <v>0</v>
      </c>
      <c r="S50" s="55">
        <v>16688.2</v>
      </c>
      <c r="T50" s="55">
        <f t="shared" ca="1" si="15"/>
        <v>16688.2</v>
      </c>
      <c r="U50" s="448">
        <f t="shared" ca="1" si="16"/>
        <v>0</v>
      </c>
      <c r="V50" s="54">
        <f>ЦА!E50-ЦА!L50</f>
        <v>0</v>
      </c>
      <c r="W50" s="54">
        <f t="shared" ca="1" si="17"/>
        <v>0</v>
      </c>
      <c r="X50" s="468" t="s">
        <v>242</v>
      </c>
      <c r="Y50" s="432">
        <f ca="1">IFERROR(__xludf.DUMMYFUNCTION("""COMPUTED_VALUE"""),67)</f>
        <v>67</v>
      </c>
      <c r="Z50" s="432">
        <f ca="1">IFERROR(__xludf.DUMMYFUNCTION("""COMPUTED_VALUE"""),28)</f>
        <v>28</v>
      </c>
      <c r="AA50" s="432">
        <f ca="1">IFERROR(__xludf.DUMMYFUNCTION("""COMPUTED_VALUE"""),0)</f>
        <v>0</v>
      </c>
      <c r="AB50" s="432">
        <f ca="1">IFERROR(__xludf.DUMMYFUNCTION("""COMPUTED_VALUE"""),55)</f>
        <v>55</v>
      </c>
      <c r="AC50" s="432">
        <f ca="1">IFERROR(__xludf.DUMMYFUNCTION("""COMPUTED_VALUE"""),28)</f>
        <v>28</v>
      </c>
      <c r="AD50" s="432">
        <f ca="1">IFERROR(__xludf.DUMMYFUNCTION("""COMPUTED_VALUE"""),65.8)</f>
        <v>65.8</v>
      </c>
      <c r="AE50" s="432">
        <f ca="1">IFERROR(__xludf.DUMMYFUNCTION("""COMPUTED_VALUE"""),41.4)</f>
        <v>41.4</v>
      </c>
      <c r="AF50" s="432">
        <f ca="1">IFERROR(__xludf.DUMMYFUNCTION("""COMPUTED_VALUE"""),2076.8)</f>
        <v>2076.8000000000002</v>
      </c>
      <c r="AG50" s="432">
        <f ca="1">IFERROR(__xludf.DUMMYFUNCTION("""COMPUTED_VALUE"""),85.0099999999999)</f>
        <v>85.009999999999906</v>
      </c>
      <c r="AH50" s="432">
        <f ca="1">IFERROR(__xludf.DUMMYFUNCTION("""COMPUTED_VALUE"""),229.32)</f>
        <v>229.32</v>
      </c>
      <c r="AI50" s="432">
        <f ca="1">IFERROR(__xludf.DUMMYFUNCTION("""COMPUTED_VALUE"""),0)</f>
        <v>0</v>
      </c>
      <c r="AJ50" s="432">
        <f ca="1">IFERROR(__xludf.DUMMYFUNCTION("""COMPUTED_VALUE"""),952)</f>
        <v>952</v>
      </c>
      <c r="AK50" s="432">
        <f ca="1">IFERROR(__xludf.DUMMYFUNCTION("""COMPUTED_VALUE"""),0)</f>
        <v>0</v>
      </c>
      <c r="AL50" s="433">
        <f ca="1">IFERROR(__xludf.DUMMYFUNCTION("""COMPUTED_VALUE"""),0)</f>
        <v>0</v>
      </c>
      <c r="AM50" s="432">
        <f ca="1">IFERROR(__xludf.DUMMYFUNCTION("""COMPUTED_VALUE"""),26)</f>
        <v>26</v>
      </c>
      <c r="AN50" s="368">
        <f ca="1">IFERROR(__xludf.DUMMYFUNCTION("""COMPUTED_VALUE"""),807.002999999999)</f>
        <v>807.00299999999902</v>
      </c>
      <c r="AO50" s="432">
        <f ca="1">IFERROR(__xludf.DUMMYFUNCTION("""COMPUTED_VALUE"""),7000.473)</f>
        <v>7000.473</v>
      </c>
      <c r="AP50" s="368">
        <f ca="1">IFERROR(__xludf.DUMMYFUNCTION("""COMPUTED_VALUE"""),143.718)</f>
        <v>143.71799999999999</v>
      </c>
      <c r="AQ50" s="368">
        <f ca="1">IFERROR(__xludf.DUMMYFUNCTION("""COMPUTED_VALUE"""),4.65999999999999)</f>
        <v>4.6599999999999904</v>
      </c>
      <c r="AR50" s="368">
        <f ca="1">IFERROR(__xludf.DUMMYFUNCTION("""COMPUTED_VALUE"""),0)</f>
        <v>0</v>
      </c>
      <c r="AS50" s="368">
        <f ca="1">IFERROR(__xludf.DUMMYFUNCTION("""COMPUTED_VALUE"""),1635.015)</f>
        <v>1635.0150000000001</v>
      </c>
      <c r="AT50" s="13"/>
      <c r="AU50" s="367"/>
    </row>
    <row r="51" spans="1:47" ht="15">
      <c r="A51" s="370"/>
      <c r="B51" s="370"/>
      <c r="C51" s="370">
        <v>322</v>
      </c>
      <c r="D51" s="370" t="s">
        <v>23</v>
      </c>
      <c r="E51" s="401">
        <f ca="1">ЦА!E51+'СВОД терр'!E52</f>
        <v>0</v>
      </c>
      <c r="F51" s="401">
        <f ca="1">ЦА!F51+'СВОД терр'!F52</f>
        <v>0</v>
      </c>
      <c r="G51" s="401">
        <f ca="1">ЦА!G51+'СВОД терр'!G52</f>
        <v>0</v>
      </c>
      <c r="H51" s="401">
        <f ca="1">ЦА!H51+'СВОД терр'!H52</f>
        <v>0</v>
      </c>
      <c r="I51" s="401" t="e">
        <f t="shared" ca="1" si="11"/>
        <v>#DIV/0!</v>
      </c>
      <c r="J51" s="401"/>
      <c r="K51" s="401">
        <f ca="1">ЦА!K51+'СВОД терр'!K52</f>
        <v>0</v>
      </c>
      <c r="L51" s="401">
        <f ca="1">ЦА!L51+'СВОД терр'!L52</f>
        <v>0</v>
      </c>
      <c r="M51" s="401">
        <f ca="1">ЦА!M51+'СВОД терр'!M52</f>
        <v>0</v>
      </c>
      <c r="N51" s="401" t="e">
        <f t="shared" ca="1" si="12"/>
        <v>#DIV/0!</v>
      </c>
      <c r="O51" s="434"/>
      <c r="P51" s="403">
        <f t="shared" ca="1" si="13"/>
        <v>0</v>
      </c>
      <c r="Q51" s="55">
        <f>ЦА!E51-ЦА!G51</f>
        <v>0</v>
      </c>
      <c r="R51" s="55">
        <f t="shared" ca="1" si="14"/>
        <v>0</v>
      </c>
      <c r="S51" s="55">
        <v>1940.1</v>
      </c>
      <c r="T51" s="55">
        <f t="shared" ca="1" si="15"/>
        <v>1940.1</v>
      </c>
      <c r="U51" s="448">
        <f t="shared" ca="1" si="16"/>
        <v>0</v>
      </c>
      <c r="V51" s="54">
        <f>ЦА!E51-ЦА!L51</f>
        <v>0</v>
      </c>
      <c r="W51" s="54">
        <f t="shared" ca="1" si="17"/>
        <v>0</v>
      </c>
      <c r="X51" s="407"/>
      <c r="Y51" s="432">
        <f ca="1">IFERROR(__xludf.DUMMYFUNCTION("""COMPUTED_VALUE"""),0)</f>
        <v>0</v>
      </c>
      <c r="Z51" s="432">
        <f ca="1">IFERROR(__xludf.DUMMYFUNCTION("""COMPUTED_VALUE"""),0)</f>
        <v>0</v>
      </c>
      <c r="AA51" s="432">
        <f ca="1">IFERROR(__xludf.DUMMYFUNCTION("""COMPUTED_VALUE"""),0)</f>
        <v>0</v>
      </c>
      <c r="AB51" s="432">
        <f ca="1">IFERROR(__xludf.DUMMYFUNCTION("""COMPUTED_VALUE"""),0)</f>
        <v>0</v>
      </c>
      <c r="AC51" s="432">
        <f ca="1">IFERROR(__xludf.DUMMYFUNCTION("""COMPUTED_VALUE"""),0)</f>
        <v>0</v>
      </c>
      <c r="AD51" s="432">
        <f ca="1">IFERROR(__xludf.DUMMYFUNCTION("""COMPUTED_VALUE"""),0)</f>
        <v>0</v>
      </c>
      <c r="AE51" s="432">
        <f ca="1">IFERROR(__xludf.DUMMYFUNCTION("""COMPUTED_VALUE"""),0)</f>
        <v>0</v>
      </c>
      <c r="AF51" s="432">
        <f ca="1">IFERROR(__xludf.DUMMYFUNCTION("""COMPUTED_VALUE"""),0)</f>
        <v>0</v>
      </c>
      <c r="AG51" s="432">
        <f ca="1">IFERROR(__xludf.DUMMYFUNCTION("""COMPUTED_VALUE"""),0)</f>
        <v>0</v>
      </c>
      <c r="AH51" s="432">
        <f ca="1">IFERROR(__xludf.DUMMYFUNCTION("""COMPUTED_VALUE"""),0)</f>
        <v>0</v>
      </c>
      <c r="AI51" s="432">
        <f ca="1">IFERROR(__xludf.DUMMYFUNCTION("""COMPUTED_VALUE"""),0)</f>
        <v>0</v>
      </c>
      <c r="AJ51" s="432">
        <f ca="1">IFERROR(__xludf.DUMMYFUNCTION("""COMPUTED_VALUE"""),0)</f>
        <v>0</v>
      </c>
      <c r="AK51" s="432">
        <f ca="1">IFERROR(__xludf.DUMMYFUNCTION("""COMPUTED_VALUE"""),0)</f>
        <v>0</v>
      </c>
      <c r="AL51" s="433">
        <f ca="1">IFERROR(__xludf.DUMMYFUNCTION("""COMPUTED_VALUE"""),0)</f>
        <v>0</v>
      </c>
      <c r="AM51" s="432">
        <f ca="1">IFERROR(__xludf.DUMMYFUNCTION("""COMPUTED_VALUE"""),0)</f>
        <v>0</v>
      </c>
      <c r="AN51" s="368">
        <f ca="1">IFERROR(__xludf.DUMMYFUNCTION("""COMPUTED_VALUE"""),0)</f>
        <v>0</v>
      </c>
      <c r="AO51" s="432">
        <f ca="1">IFERROR(__xludf.DUMMYFUNCTION("""COMPUTED_VALUE"""),0)</f>
        <v>0</v>
      </c>
      <c r="AP51" s="368">
        <f ca="1">IFERROR(__xludf.DUMMYFUNCTION("""COMPUTED_VALUE"""),0)</f>
        <v>0</v>
      </c>
      <c r="AQ51" s="368">
        <f ca="1">IFERROR(__xludf.DUMMYFUNCTION("""COMPUTED_VALUE"""),0)</f>
        <v>0</v>
      </c>
      <c r="AR51" s="368">
        <f ca="1">IFERROR(__xludf.DUMMYFUNCTION("""COMPUTED_VALUE"""),0)</f>
        <v>0</v>
      </c>
      <c r="AS51" s="368">
        <f ca="1">IFERROR(__xludf.DUMMYFUNCTION("""COMPUTED_VALUE"""),0)</f>
        <v>0</v>
      </c>
      <c r="AT51" s="13"/>
      <c r="AU51" s="367"/>
    </row>
    <row r="52" spans="1:47" ht="75">
      <c r="A52" s="370"/>
      <c r="B52" s="370"/>
      <c r="C52" s="370">
        <v>414</v>
      </c>
      <c r="D52" s="429" t="s">
        <v>24</v>
      </c>
      <c r="E52" s="401">
        <f ca="1">ЦА!E52+'СВОД терр'!E53</f>
        <v>18305495.999999899</v>
      </c>
      <c r="F52" s="401">
        <f ca="1">ЦА!F52+'СВОД терр'!F53</f>
        <v>18305495.999999899</v>
      </c>
      <c r="G52" s="401">
        <f ca="1">ЦА!G52+'СВОД терр'!G53</f>
        <v>18305494.448259901</v>
      </c>
      <c r="H52" s="401">
        <f ca="1">ЦА!H52+'СВОД терр'!H53</f>
        <v>1.5517399944365</v>
      </c>
      <c r="I52" s="401">
        <f t="shared" ca="1" si="11"/>
        <v>99.999991523092319</v>
      </c>
      <c r="J52" s="401"/>
      <c r="K52" s="401">
        <f ca="1">ЦА!K52+'СВОД терр'!K53</f>
        <v>7843213.7999999896</v>
      </c>
      <c r="L52" s="401">
        <f ca="1">ЦА!L52+'СВОД терр'!L53</f>
        <v>7843211.7814499997</v>
      </c>
      <c r="M52" s="401">
        <f ca="1">ЦА!M52+'СВОД терр'!M53</f>
        <v>2.01854999992065</v>
      </c>
      <c r="N52" s="401">
        <f t="shared" ca="1" si="12"/>
        <v>99.999974263738807</v>
      </c>
      <c r="O52" s="434"/>
      <c r="P52" s="403">
        <f t="shared" ca="1" si="13"/>
        <v>1.5517399981617928</v>
      </c>
      <c r="Q52" s="55">
        <f>ЦА!E52-ЦА!G52</f>
        <v>0</v>
      </c>
      <c r="R52" s="55">
        <f t="shared" ca="1" si="14"/>
        <v>1.5517399981617928</v>
      </c>
      <c r="S52" s="55">
        <v>0</v>
      </c>
      <c r="T52" s="55">
        <f t="shared" ca="1" si="15"/>
        <v>-18305495.999999899</v>
      </c>
      <c r="U52" s="448">
        <f t="shared" ca="1" si="16"/>
        <v>10462284.2185499</v>
      </c>
      <c r="V52" s="54">
        <f>ЦА!E52-ЦА!L52</f>
        <v>0</v>
      </c>
      <c r="W52" s="54">
        <f t="shared" ca="1" si="17"/>
        <v>10462284.2185499</v>
      </c>
      <c r="X52" s="407"/>
      <c r="Y52" s="432">
        <f ca="1">IFERROR(__xludf.DUMMYFUNCTION("""COMPUTED_VALUE"""),0)</f>
        <v>0</v>
      </c>
      <c r="Z52" s="432">
        <f ca="1">IFERROR(__xludf.DUMMYFUNCTION("""COMPUTED_VALUE"""),0)</f>
        <v>0</v>
      </c>
      <c r="AA52" s="432">
        <f ca="1">IFERROR(__xludf.DUMMYFUNCTION("""COMPUTED_VALUE"""),0)</f>
        <v>0</v>
      </c>
      <c r="AB52" s="432">
        <f ca="1">IFERROR(__xludf.DUMMYFUNCTION("""COMPUTED_VALUE"""),0)</f>
        <v>0</v>
      </c>
      <c r="AC52" s="432">
        <f ca="1">IFERROR(__xludf.DUMMYFUNCTION("""COMPUTED_VALUE"""),0)</f>
        <v>0</v>
      </c>
      <c r="AD52" s="432">
        <f ca="1">IFERROR(__xludf.DUMMYFUNCTION("""COMPUTED_VALUE"""),0)</f>
        <v>0</v>
      </c>
      <c r="AE52" s="432">
        <f ca="1">IFERROR(__xludf.DUMMYFUNCTION("""COMPUTED_VALUE"""),0)</f>
        <v>0</v>
      </c>
      <c r="AF52" s="432">
        <f ca="1">IFERROR(__xludf.DUMMYFUNCTION("""COMPUTED_VALUE"""),0)</f>
        <v>0</v>
      </c>
      <c r="AG52" s="432">
        <f ca="1">IFERROR(__xludf.DUMMYFUNCTION("""COMPUTED_VALUE"""),0)</f>
        <v>0</v>
      </c>
      <c r="AH52" s="432">
        <f ca="1">IFERROR(__xludf.DUMMYFUNCTION("""COMPUTED_VALUE"""),0)</f>
        <v>0</v>
      </c>
      <c r="AI52" s="432">
        <f ca="1">IFERROR(__xludf.DUMMYFUNCTION("""COMPUTED_VALUE"""),0)</f>
        <v>0</v>
      </c>
      <c r="AJ52" s="432">
        <f ca="1">IFERROR(__xludf.DUMMYFUNCTION("""COMPUTED_VALUE"""),0)</f>
        <v>0</v>
      </c>
      <c r="AK52" s="432">
        <f ca="1">IFERROR(__xludf.DUMMYFUNCTION("""COMPUTED_VALUE"""),0)</f>
        <v>0</v>
      </c>
      <c r="AL52" s="433">
        <f ca="1">IFERROR(__xludf.DUMMYFUNCTION("""COMPUTED_VALUE"""),0)</f>
        <v>0</v>
      </c>
      <c r="AM52" s="432">
        <f ca="1">IFERROR(__xludf.DUMMYFUNCTION("""COMPUTED_VALUE"""),0)</f>
        <v>0</v>
      </c>
      <c r="AN52" s="368">
        <f ca="1">IFERROR(__xludf.DUMMYFUNCTION("""COMPUTED_VALUE"""),0)</f>
        <v>0</v>
      </c>
      <c r="AO52" s="432">
        <f ca="1">IFERROR(__xludf.DUMMYFUNCTION("""COMPUTED_VALUE"""),0)</f>
        <v>0</v>
      </c>
      <c r="AP52" s="368">
        <f ca="1">IFERROR(__xludf.DUMMYFUNCTION("""COMPUTED_VALUE"""),0)</f>
        <v>0</v>
      </c>
      <c r="AQ52" s="368">
        <f ca="1">IFERROR(__xludf.DUMMYFUNCTION("""COMPUTED_VALUE"""),0)</f>
        <v>0</v>
      </c>
      <c r="AR52" s="368">
        <f ca="1">IFERROR(__xludf.DUMMYFUNCTION("""COMPUTED_VALUE"""),0)</f>
        <v>0</v>
      </c>
      <c r="AS52" s="368">
        <f ca="1">IFERROR(__xludf.DUMMYFUNCTION("""COMPUTED_VALUE"""),0)</f>
        <v>0</v>
      </c>
      <c r="AT52" s="13"/>
      <c r="AU52" s="367"/>
    </row>
    <row r="53" spans="1:47" ht="15">
      <c r="A53" s="476">
        <v>70</v>
      </c>
      <c r="B53" s="477"/>
      <c r="C53" s="477"/>
      <c r="D53" s="478" t="s">
        <v>51</v>
      </c>
      <c r="E53" s="479">
        <f ca="1">ЦА!E53+'СВОД терр'!E54</f>
        <v>20365689.999999899</v>
      </c>
      <c r="F53" s="479">
        <f ca="1">ЦА!F53+'СВОД терр'!F54</f>
        <v>18305857.999999899</v>
      </c>
      <c r="G53" s="479">
        <f ca="1">ЦА!G53+'СВОД терр'!G54</f>
        <v>18305856.448259901</v>
      </c>
      <c r="H53" s="479">
        <f ca="1">ЦА!H53+'СВОД терр'!H54</f>
        <v>1.5517399999080199</v>
      </c>
      <c r="I53" s="479">
        <f t="shared" ca="1" si="11"/>
        <v>99.999991523259951</v>
      </c>
      <c r="J53" s="479"/>
      <c r="K53" s="479">
        <f ca="1">ЦА!K53+'СВОД терр'!K54</f>
        <v>7843575.7999999896</v>
      </c>
      <c r="L53" s="479">
        <f ca="1">ЦА!L53+'СВОД терр'!L54</f>
        <v>7843573.7824499998</v>
      </c>
      <c r="M53" s="479">
        <f ca="1">ЦА!M53+'СВОД терр'!M54</f>
        <v>2.0175499999313602</v>
      </c>
      <c r="N53" s="479">
        <f t="shared" ca="1" si="12"/>
        <v>99.999974277675889</v>
      </c>
      <c r="O53" s="480"/>
      <c r="P53" s="481">
        <f t="shared" ca="1" si="13"/>
        <v>2059833.5517399982</v>
      </c>
      <c r="Q53" s="482">
        <f>ЦА!E53-ЦА!G53</f>
        <v>2059832</v>
      </c>
      <c r="R53" s="482">
        <f t="shared" ca="1" si="14"/>
        <v>1.5517399981617928</v>
      </c>
      <c r="S53" s="483"/>
      <c r="T53" s="484"/>
      <c r="U53" s="485">
        <f t="shared" ca="1" si="16"/>
        <v>12522116.2175499</v>
      </c>
      <c r="V53" s="486">
        <f>ЦА!E53-ЦА!L53</f>
        <v>2059832</v>
      </c>
      <c r="W53" s="486">
        <f t="shared" ca="1" si="17"/>
        <v>10462284.2175499</v>
      </c>
      <c r="X53" s="487"/>
      <c r="Y53" s="488">
        <f ca="1">IFERROR(__xludf.DUMMYFUNCTION("""COMPUTED_VALUE"""),0.122999999905005)</f>
        <v>0.122999999905005</v>
      </c>
      <c r="Z53" s="488">
        <f ca="1">IFERROR(__xludf.DUMMYFUNCTION("""COMPUTED_VALUE"""),0.962999999988824)</f>
        <v>0.96299999998882402</v>
      </c>
      <c r="AA53" s="488">
        <f ca="1">IFERROR(__xludf.DUMMYFUNCTION("""COMPUTED_VALUE"""),0.0268600000999867)</f>
        <v>2.6860000099986701E-2</v>
      </c>
      <c r="AB53" s="488">
        <f ca="1">IFERROR(__xludf.DUMMYFUNCTION("""COMPUTED_VALUE"""),0.0600000000558793)</f>
        <v>6.0000000055879299E-2</v>
      </c>
      <c r="AC53" s="488">
        <f ca="1">IFERROR(__xludf.DUMMYFUNCTION("""COMPUTED_VALUE"""),0)</f>
        <v>0</v>
      </c>
      <c r="AD53" s="488">
        <f ca="1">IFERROR(__xludf.DUMMYFUNCTION("""COMPUTED_VALUE"""),0.0859999998938292)</f>
        <v>8.5999999893829199E-2</v>
      </c>
      <c r="AE53" s="488">
        <f ca="1">IFERROR(__xludf.DUMMYFUNCTION("""COMPUTED_VALUE"""),0.065889999968931)</f>
        <v>6.5889999968930996E-2</v>
      </c>
      <c r="AF53" s="488">
        <f ca="1">IFERROR(__xludf.DUMMYFUNCTION("""COMPUTED_VALUE"""),0.0200000000186264)</f>
        <v>2.0000000018626399E-2</v>
      </c>
      <c r="AG53" s="488">
        <f ca="1">IFERROR(__xludf.DUMMYFUNCTION("""COMPUTED_VALUE"""),0.0123700000112876)</f>
        <v>1.23700000112876E-2</v>
      </c>
      <c r="AH53" s="488">
        <f ca="1">IFERROR(__xludf.DUMMYFUNCTION("""COMPUTED_VALUE"""),0.037999999942258)</f>
        <v>3.7999999942258E-2</v>
      </c>
      <c r="AI53" s="488">
        <f ca="1">IFERROR(__xludf.DUMMYFUNCTION("""COMPUTED_VALUE"""),0.0166200000094249)</f>
        <v>1.6620000009424901E-2</v>
      </c>
      <c r="AJ53" s="488">
        <f ca="1">IFERROR(__xludf.DUMMYFUNCTION("""COMPUTED_VALUE"""),0)</f>
        <v>0</v>
      </c>
      <c r="AK53" s="488">
        <f ca="1">IFERROR(__xludf.DUMMYFUNCTION("""COMPUTED_VALUE"""),0.0500000000465661)</f>
        <v>5.0000000046566101E-2</v>
      </c>
      <c r="AL53" s="488">
        <f ca="1">IFERROR(__xludf.DUMMYFUNCTION("""COMPUTED_VALUE"""),0.0430000000633299)</f>
        <v>4.30000000633299E-2</v>
      </c>
      <c r="AM53" s="488">
        <f ca="1">IFERROR(__xludf.DUMMYFUNCTION("""COMPUTED_VALUE"""),0.0469999999040737)</f>
        <v>4.6999999904073698E-2</v>
      </c>
      <c r="AN53" s="488">
        <f ca="1">IFERROR(__xludf.DUMMYFUNCTION("""COMPUTED_VALUE"""),0)</f>
        <v>0</v>
      </c>
      <c r="AO53" s="488">
        <f ca="1">IFERROR(__xludf.DUMMYFUNCTION("""COMPUTED_VALUE"""),0)</f>
        <v>0</v>
      </c>
      <c r="AP53" s="488">
        <f ca="1">IFERROR(__xludf.DUMMYFUNCTION("""COMPUTED_VALUE"""),0)</f>
        <v>0</v>
      </c>
      <c r="AQ53" s="488">
        <f ca="1">IFERROR(__xludf.DUMMYFUNCTION("""COMPUTED_VALUE"""),0)</f>
        <v>0</v>
      </c>
      <c r="AR53" s="488">
        <f ca="1">IFERROR(__xludf.DUMMYFUNCTION("""COMPUTED_VALUE"""),0)</f>
        <v>0</v>
      </c>
      <c r="AS53" s="488">
        <f ca="1">IFERROR(__xludf.DUMMYFUNCTION("""COMPUTED_VALUE"""),0)</f>
        <v>0</v>
      </c>
      <c r="AT53" s="489"/>
      <c r="AU53" s="490"/>
    </row>
    <row r="54" spans="1:47" ht="45">
      <c r="A54" s="491"/>
      <c r="B54" s="492">
        <v>100</v>
      </c>
      <c r="C54" s="491"/>
      <c r="D54" s="493" t="s">
        <v>52</v>
      </c>
      <c r="E54" s="494">
        <f ca="1">ЦА!E54+'СВОД терр'!E55</f>
        <v>19211866.999999899</v>
      </c>
      <c r="F54" s="494">
        <f ca="1">ЦА!F54+'СВОД терр'!F55</f>
        <v>18305857.999999899</v>
      </c>
      <c r="G54" s="494">
        <f ca="1">ЦА!G54+'СВОД терр'!G55</f>
        <v>18305856.448259901</v>
      </c>
      <c r="H54" s="494">
        <f ca="1">ЦА!H54+'СВОД терр'!H55</f>
        <v>1.5517399944365</v>
      </c>
      <c r="I54" s="494">
        <f t="shared" ca="1" si="11"/>
        <v>99.999991523259951</v>
      </c>
      <c r="J54" s="494"/>
      <c r="K54" s="494">
        <f ca="1">ЦА!K54+'СВОД терр'!K55</f>
        <v>7843575.7989999903</v>
      </c>
      <c r="L54" s="494">
        <f ca="1">ЦА!L54+'СВОД терр'!L55</f>
        <v>7843573.7814499997</v>
      </c>
      <c r="M54" s="494">
        <f ca="1">ЦА!M54+'СВОД терр'!M55</f>
        <v>2.01754999812692</v>
      </c>
      <c r="N54" s="494">
        <f t="shared" ca="1" si="12"/>
        <v>99.999974277675861</v>
      </c>
      <c r="O54" s="495"/>
      <c r="P54" s="496">
        <f t="shared" ca="1" si="13"/>
        <v>906010.55173999816</v>
      </c>
      <c r="Q54" s="497">
        <f>ЦА!E54-ЦА!G54</f>
        <v>906009</v>
      </c>
      <c r="R54" s="497">
        <f t="shared" ca="1" si="14"/>
        <v>1.5517399981617928</v>
      </c>
      <c r="S54" s="498"/>
      <c r="T54" s="499"/>
      <c r="U54" s="500">
        <f t="shared" ca="1" si="16"/>
        <v>11368293.2185499</v>
      </c>
      <c r="V54" s="501">
        <f>ЦА!E54-ЦА!L54</f>
        <v>906009</v>
      </c>
      <c r="W54" s="501">
        <f t="shared" ca="1" si="17"/>
        <v>10462284.2185499</v>
      </c>
      <c r="X54" s="502"/>
      <c r="Y54" s="503">
        <f ca="1">IFERROR(__xludf.DUMMYFUNCTION("""COMPUTED_VALUE"""),0.122999999905005)</f>
        <v>0.122999999905005</v>
      </c>
      <c r="Z54" s="503">
        <f ca="1">IFERROR(__xludf.DUMMYFUNCTION("""COMPUTED_VALUE"""),0.962999999988824)</f>
        <v>0.96299999998882402</v>
      </c>
      <c r="AA54" s="503">
        <f ca="1">IFERROR(__xludf.DUMMYFUNCTION("""COMPUTED_VALUE"""),0.0268600000999867)</f>
        <v>2.6860000099986701E-2</v>
      </c>
      <c r="AB54" s="503">
        <f ca="1">IFERROR(__xludf.DUMMYFUNCTION("""COMPUTED_VALUE"""),0.0600000000558793)</f>
        <v>6.0000000055879299E-2</v>
      </c>
      <c r="AC54" s="503">
        <f ca="1">IFERROR(__xludf.DUMMYFUNCTION("""COMPUTED_VALUE"""),0)</f>
        <v>0</v>
      </c>
      <c r="AD54" s="503">
        <f ca="1">IFERROR(__xludf.DUMMYFUNCTION("""COMPUTED_VALUE"""),0.0859999998938292)</f>
        <v>8.5999999893829199E-2</v>
      </c>
      <c r="AE54" s="503">
        <f ca="1">IFERROR(__xludf.DUMMYFUNCTION("""COMPUTED_VALUE"""),0.065889999968931)</f>
        <v>6.5889999968930996E-2</v>
      </c>
      <c r="AF54" s="503">
        <f ca="1">IFERROR(__xludf.DUMMYFUNCTION("""COMPUTED_VALUE"""),0.0200000000186264)</f>
        <v>2.0000000018626399E-2</v>
      </c>
      <c r="AG54" s="503">
        <f ca="1">IFERROR(__xludf.DUMMYFUNCTION("""COMPUTED_VALUE"""),0.0123700000112876)</f>
        <v>1.23700000112876E-2</v>
      </c>
      <c r="AH54" s="503">
        <f ca="1">IFERROR(__xludf.DUMMYFUNCTION("""COMPUTED_VALUE"""),0.037999999942258)</f>
        <v>3.7999999942258E-2</v>
      </c>
      <c r="AI54" s="503">
        <f ca="1">IFERROR(__xludf.DUMMYFUNCTION("""COMPUTED_VALUE"""),0.0166200000094249)</f>
        <v>1.6620000009424901E-2</v>
      </c>
      <c r="AJ54" s="503">
        <f ca="1">IFERROR(__xludf.DUMMYFUNCTION("""COMPUTED_VALUE"""),0)</f>
        <v>0</v>
      </c>
      <c r="AK54" s="503">
        <f ca="1">IFERROR(__xludf.DUMMYFUNCTION("""COMPUTED_VALUE"""),0.0500000000465661)</f>
        <v>5.0000000046566101E-2</v>
      </c>
      <c r="AL54" s="503">
        <f ca="1">IFERROR(__xludf.DUMMYFUNCTION("""COMPUTED_VALUE"""),0.0430000000633299)</f>
        <v>4.30000000633299E-2</v>
      </c>
      <c r="AM54" s="503">
        <f ca="1">IFERROR(__xludf.DUMMYFUNCTION("""COMPUTED_VALUE"""),0.0469999999040737)</f>
        <v>4.6999999904073698E-2</v>
      </c>
      <c r="AN54" s="503">
        <f ca="1">IFERROR(__xludf.DUMMYFUNCTION("""COMPUTED_VALUE"""),0)</f>
        <v>0</v>
      </c>
      <c r="AO54" s="503">
        <f ca="1">IFERROR(__xludf.DUMMYFUNCTION("""COMPUTED_VALUE"""),0)</f>
        <v>0</v>
      </c>
      <c r="AP54" s="503">
        <f ca="1">IFERROR(__xludf.DUMMYFUNCTION("""COMPUTED_VALUE"""),0)</f>
        <v>0</v>
      </c>
      <c r="AQ54" s="503">
        <f ca="1">IFERROR(__xludf.DUMMYFUNCTION("""COMPUTED_VALUE"""),0)</f>
        <v>0</v>
      </c>
      <c r="AR54" s="503">
        <f ca="1">IFERROR(__xludf.DUMMYFUNCTION("""COMPUTED_VALUE"""),0)</f>
        <v>0</v>
      </c>
      <c r="AS54" s="503">
        <f ca="1">IFERROR(__xludf.DUMMYFUNCTION("""COMPUTED_VALUE"""),0)</f>
        <v>0</v>
      </c>
      <c r="AT54" s="504">
        <v>2326658.2599299988</v>
      </c>
      <c r="AU54" s="503">
        <f ca="1">P54-AT54</f>
        <v>-1420647.7081900006</v>
      </c>
    </row>
    <row r="55" spans="1:47" ht="248.25" customHeight="1">
      <c r="A55" s="906"/>
      <c r="B55" s="370"/>
      <c r="C55" s="370">
        <v>159</v>
      </c>
      <c r="D55" s="370" t="s">
        <v>21</v>
      </c>
      <c r="E55" s="401">
        <f ca="1">ЦА!E55+'СВОД терр'!E56</f>
        <v>872659</v>
      </c>
      <c r="F55" s="401">
        <f ca="1">ЦА!F55+'СВОД терр'!F56</f>
        <v>0</v>
      </c>
      <c r="G55" s="401">
        <f ca="1">ЦА!G55+'СВОД терр'!G56</f>
        <v>0</v>
      </c>
      <c r="H55" s="401">
        <f ca="1">ЦА!H55+'СВОД терр'!H56</f>
        <v>0</v>
      </c>
      <c r="I55" s="401" t="e">
        <f t="shared" ca="1" si="11"/>
        <v>#DIV/0!</v>
      </c>
      <c r="J55" s="401"/>
      <c r="K55" s="401">
        <f ca="1">ЦА!K55+'СВОД терр'!K56</f>
        <v>0</v>
      </c>
      <c r="L55" s="401">
        <f ca="1">ЦА!L55+'СВОД терр'!L56</f>
        <v>0</v>
      </c>
      <c r="M55" s="401">
        <f ca="1">ЦА!M55+'СВОД терр'!M56</f>
        <v>0</v>
      </c>
      <c r="N55" s="401" t="e">
        <f t="shared" ca="1" si="12"/>
        <v>#DIV/0!</v>
      </c>
      <c r="O55" s="434"/>
      <c r="P55" s="403">
        <f t="shared" ca="1" si="13"/>
        <v>872659</v>
      </c>
      <c r="Q55" s="55">
        <f>ЦА!H55</f>
        <v>0</v>
      </c>
      <c r="R55" s="55">
        <f t="shared" ca="1" si="14"/>
        <v>872659</v>
      </c>
      <c r="S55" s="449">
        <v>17330181</v>
      </c>
      <c r="T55" s="505"/>
      <c r="U55" s="448">
        <f t="shared" ca="1" si="16"/>
        <v>872659</v>
      </c>
      <c r="V55" s="54">
        <f>ЦА!F55-ЦА!G55</f>
        <v>0</v>
      </c>
      <c r="W55" s="54">
        <f t="shared" ca="1" si="17"/>
        <v>872659</v>
      </c>
      <c r="X55" s="431" t="s">
        <v>243</v>
      </c>
      <c r="Y55" s="432">
        <f ca="1">IFERROR(__xludf.DUMMYFUNCTION("""COMPUTED_VALUE"""),0.122999999905005)</f>
        <v>0.122999999905005</v>
      </c>
      <c r="Z55" s="432">
        <f ca="1">IFERROR(__xludf.DUMMYFUNCTION("""COMPUTED_VALUE"""),0.962999999988824)</f>
        <v>0.96299999998882402</v>
      </c>
      <c r="AA55" s="432">
        <f ca="1">IFERROR(__xludf.DUMMYFUNCTION("""COMPUTED_VALUE"""),0.0268600000999867)</f>
        <v>2.6860000099986701E-2</v>
      </c>
      <c r="AB55" s="432">
        <f ca="1">IFERROR(__xludf.DUMMYFUNCTION("""COMPUTED_VALUE"""),0.0600000000558793)</f>
        <v>6.0000000055879299E-2</v>
      </c>
      <c r="AC55" s="432">
        <f ca="1">IFERROR(__xludf.DUMMYFUNCTION("""COMPUTED_VALUE"""),0)</f>
        <v>0</v>
      </c>
      <c r="AD55" s="432">
        <f ca="1">IFERROR(__xludf.DUMMYFUNCTION("""COMPUTED_VALUE"""),0.0859999998938292)</f>
        <v>8.5999999893829199E-2</v>
      </c>
      <c r="AE55" s="432">
        <f ca="1">IFERROR(__xludf.DUMMYFUNCTION("""COMPUTED_VALUE"""),0.065889999968931)</f>
        <v>6.5889999968930996E-2</v>
      </c>
      <c r="AF55" s="432">
        <f ca="1">IFERROR(__xludf.DUMMYFUNCTION("""COMPUTED_VALUE"""),0.0200000000186264)</f>
        <v>2.0000000018626399E-2</v>
      </c>
      <c r="AG55" s="432">
        <f ca="1">IFERROR(__xludf.DUMMYFUNCTION("""COMPUTED_VALUE"""),0.0123700000112876)</f>
        <v>1.23700000112876E-2</v>
      </c>
      <c r="AH55" s="432">
        <f ca="1">IFERROR(__xludf.DUMMYFUNCTION("""COMPUTED_VALUE"""),0.037999999942258)</f>
        <v>3.7999999942258E-2</v>
      </c>
      <c r="AI55" s="432">
        <f ca="1">IFERROR(__xludf.DUMMYFUNCTION("""COMPUTED_VALUE"""),0.0166200000094249)</f>
        <v>1.6620000009424901E-2</v>
      </c>
      <c r="AJ55" s="432">
        <f ca="1">IFERROR(__xludf.DUMMYFUNCTION("""COMPUTED_VALUE"""),0)</f>
        <v>0</v>
      </c>
      <c r="AK55" s="432">
        <f ca="1">IFERROR(__xludf.DUMMYFUNCTION("""COMPUTED_VALUE"""),0.0500000000465661)</f>
        <v>5.0000000046566101E-2</v>
      </c>
      <c r="AL55" s="432">
        <f ca="1">IFERROR(__xludf.DUMMYFUNCTION("""COMPUTED_VALUE"""),0.0430000000633299)</f>
        <v>4.30000000633299E-2</v>
      </c>
      <c r="AM55" s="432">
        <f ca="1">IFERROR(__xludf.DUMMYFUNCTION("""COMPUTED_VALUE"""),0.0469999999040737)</f>
        <v>4.6999999904073698E-2</v>
      </c>
      <c r="AN55" s="432">
        <f ca="1">IFERROR(__xludf.DUMMYFUNCTION("""COMPUTED_VALUE"""),0)</f>
        <v>0</v>
      </c>
      <c r="AO55" s="432">
        <f ca="1">IFERROR(__xludf.DUMMYFUNCTION("""COMPUTED_VALUE"""),0)</f>
        <v>0</v>
      </c>
      <c r="AP55" s="368">
        <f ca="1">IFERROR(__xludf.DUMMYFUNCTION("""COMPUTED_VALUE"""),0)</f>
        <v>0</v>
      </c>
      <c r="AQ55" s="368">
        <f ca="1">IFERROR(__xludf.DUMMYFUNCTION("""COMPUTED_VALUE"""),0)</f>
        <v>0</v>
      </c>
      <c r="AR55" s="368">
        <f ca="1">IFERROR(__xludf.DUMMYFUNCTION("""COMPUTED_VALUE"""),0)</f>
        <v>0</v>
      </c>
      <c r="AS55" s="368">
        <f ca="1">IFERROR(__xludf.DUMMYFUNCTION("""COMPUTED_VALUE"""),0)</f>
        <v>0</v>
      </c>
      <c r="AT55" s="13"/>
      <c r="AU55" s="367"/>
    </row>
    <row r="56" spans="1:47" ht="15">
      <c r="A56" s="862"/>
      <c r="B56" s="370"/>
      <c r="C56" s="370">
        <v>161</v>
      </c>
      <c r="D56" s="370" t="s">
        <v>50</v>
      </c>
      <c r="E56" s="401">
        <f ca="1">ЦА!E56+'СВОД терр'!E57</f>
        <v>33712</v>
      </c>
      <c r="F56" s="401">
        <f ca="1">ЦА!F56+'СВОД терр'!F57</f>
        <v>362</v>
      </c>
      <c r="G56" s="401">
        <f ca="1">ЦА!G56+'СВОД терр'!G57</f>
        <v>362</v>
      </c>
      <c r="H56" s="401">
        <f ca="1">ЦА!H56+'СВОД терр'!H57</f>
        <v>0</v>
      </c>
      <c r="I56" s="401">
        <f t="shared" ca="1" si="11"/>
        <v>100</v>
      </c>
      <c r="J56" s="401"/>
      <c r="K56" s="401">
        <f ca="1">ЦА!K56+'СВОД терр'!K57</f>
        <v>362</v>
      </c>
      <c r="L56" s="401">
        <f ca="1">ЦА!L56+'СВОД терр'!L57</f>
        <v>362</v>
      </c>
      <c r="M56" s="401">
        <f ca="1">ЦА!M56+'СВОД терр'!M57</f>
        <v>0</v>
      </c>
      <c r="N56" s="401">
        <f t="shared" ca="1" si="12"/>
        <v>100</v>
      </c>
      <c r="O56" s="434"/>
      <c r="P56" s="403">
        <f t="shared" ca="1" si="13"/>
        <v>33350</v>
      </c>
      <c r="Q56" s="55">
        <f>ЦА!E56-ЦА!G56</f>
        <v>33350</v>
      </c>
      <c r="R56" s="55">
        <f t="shared" ca="1" si="14"/>
        <v>0</v>
      </c>
      <c r="S56" s="55">
        <v>28360</v>
      </c>
      <c r="T56" s="471"/>
      <c r="U56" s="405">
        <f t="shared" ca="1" si="16"/>
        <v>33350</v>
      </c>
      <c r="V56" s="406">
        <f>ЦА!E56-ЦА!L56</f>
        <v>33350</v>
      </c>
      <c r="W56" s="406">
        <f t="shared" ca="1" si="17"/>
        <v>0</v>
      </c>
      <c r="X56" s="407"/>
      <c r="Y56" s="368">
        <f ca="1">IFERROR(__xludf.DUMMYFUNCTION("""COMPUTED_VALUE"""),0)</f>
        <v>0</v>
      </c>
      <c r="Z56" s="368">
        <f ca="1">IFERROR(__xludf.DUMMYFUNCTION("""COMPUTED_VALUE"""),0)</f>
        <v>0</v>
      </c>
      <c r="AA56" s="368">
        <f ca="1">IFERROR(__xludf.DUMMYFUNCTION("""COMPUTED_VALUE"""),0)</f>
        <v>0</v>
      </c>
      <c r="AB56" s="368">
        <f ca="1">IFERROR(__xludf.DUMMYFUNCTION("""COMPUTED_VALUE"""),0)</f>
        <v>0</v>
      </c>
      <c r="AC56" s="368">
        <f ca="1">IFERROR(__xludf.DUMMYFUNCTION("""COMPUTED_VALUE"""),0)</f>
        <v>0</v>
      </c>
      <c r="AD56" s="368">
        <f ca="1">IFERROR(__xludf.DUMMYFUNCTION("""COMPUTED_VALUE"""),0)</f>
        <v>0</v>
      </c>
      <c r="AE56" s="368">
        <f ca="1">IFERROR(__xludf.DUMMYFUNCTION("""COMPUTED_VALUE"""),0)</f>
        <v>0</v>
      </c>
      <c r="AF56" s="368">
        <f ca="1">IFERROR(__xludf.DUMMYFUNCTION("""COMPUTED_VALUE"""),0)</f>
        <v>0</v>
      </c>
      <c r="AG56" s="368">
        <f ca="1">IFERROR(__xludf.DUMMYFUNCTION("""COMPUTED_VALUE"""),0)</f>
        <v>0</v>
      </c>
      <c r="AH56" s="368">
        <f ca="1">IFERROR(__xludf.DUMMYFUNCTION("""COMPUTED_VALUE"""),0)</f>
        <v>0</v>
      </c>
      <c r="AI56" s="368">
        <f ca="1">IFERROR(__xludf.DUMMYFUNCTION("""COMPUTED_VALUE"""),0)</f>
        <v>0</v>
      </c>
      <c r="AJ56" s="368">
        <f ca="1">IFERROR(__xludf.DUMMYFUNCTION("""COMPUTED_VALUE"""),0)</f>
        <v>0</v>
      </c>
      <c r="AK56" s="368">
        <f ca="1">IFERROR(__xludf.DUMMYFUNCTION("""COMPUTED_VALUE"""),0)</f>
        <v>0</v>
      </c>
      <c r="AL56" s="368">
        <f ca="1">IFERROR(__xludf.DUMMYFUNCTION("""COMPUTED_VALUE"""),0)</f>
        <v>0</v>
      </c>
      <c r="AM56" s="432">
        <f ca="1">IFERROR(__xludf.DUMMYFUNCTION("""COMPUTED_VALUE"""),0)</f>
        <v>0</v>
      </c>
      <c r="AN56" s="368">
        <f ca="1">IFERROR(__xludf.DUMMYFUNCTION("""COMPUTED_VALUE"""),0)</f>
        <v>0</v>
      </c>
      <c r="AO56" s="432">
        <f ca="1">IFERROR(__xludf.DUMMYFUNCTION("""COMPUTED_VALUE"""),0)</f>
        <v>0</v>
      </c>
      <c r="AP56" s="432">
        <f ca="1">IFERROR(__xludf.DUMMYFUNCTION("""COMPUTED_VALUE"""),0)</f>
        <v>0</v>
      </c>
      <c r="AQ56" s="432">
        <f ca="1">IFERROR(__xludf.DUMMYFUNCTION("""COMPUTED_VALUE"""),0)</f>
        <v>0</v>
      </c>
      <c r="AR56" s="432">
        <f ca="1">IFERROR(__xludf.DUMMYFUNCTION("""COMPUTED_VALUE"""),0)</f>
        <v>0</v>
      </c>
      <c r="AS56" s="368">
        <f ca="1">IFERROR(__xludf.DUMMYFUNCTION("""COMPUTED_VALUE"""),0)</f>
        <v>0</v>
      </c>
      <c r="AT56" s="13"/>
      <c r="AU56" s="367"/>
    </row>
    <row r="57" spans="1:47" ht="73.5" customHeight="1">
      <c r="A57" s="491"/>
      <c r="B57" s="492">
        <v>112</v>
      </c>
      <c r="C57" s="491"/>
      <c r="D57" s="493" t="s">
        <v>53</v>
      </c>
      <c r="E57" s="494">
        <f ca="1">ЦА!E57+'СВОД терр'!E58</f>
        <v>1153823</v>
      </c>
      <c r="F57" s="494">
        <f ca="1">ЦА!F57+'СВОД терр'!F58</f>
        <v>0</v>
      </c>
      <c r="G57" s="494">
        <f ca="1">ЦА!G57+'СВОД терр'!G58</f>
        <v>0</v>
      </c>
      <c r="H57" s="494">
        <f ca="1">ЦА!H57+'СВОД терр'!H58</f>
        <v>0</v>
      </c>
      <c r="I57" s="401" t="e">
        <f t="shared" ca="1" si="11"/>
        <v>#DIV/0!</v>
      </c>
      <c r="J57" s="494"/>
      <c r="K57" s="494">
        <f ca="1">ЦА!K57+'СВОД терр'!K58</f>
        <v>0</v>
      </c>
      <c r="L57" s="494">
        <f ca="1">ЦА!L57+'СВОД терр'!L58</f>
        <v>0</v>
      </c>
      <c r="M57" s="494">
        <f ca="1">ЦА!P59+'СВОД терр'!M58</f>
        <v>0</v>
      </c>
      <c r="N57" s="401" t="e">
        <f t="shared" ca="1" si="12"/>
        <v>#DIV/0!</v>
      </c>
      <c r="O57" s="495"/>
      <c r="P57" s="403">
        <f t="shared" ca="1" si="13"/>
        <v>1153823</v>
      </c>
      <c r="Q57" s="403">
        <f>ЦА!E57-ЦА!G57</f>
        <v>1153823</v>
      </c>
      <c r="R57" s="403">
        <f t="shared" ca="1" si="14"/>
        <v>0</v>
      </c>
      <c r="S57" s="506"/>
      <c r="T57" s="507"/>
      <c r="U57" s="405">
        <f t="shared" ca="1" si="16"/>
        <v>1153823</v>
      </c>
      <c r="V57" s="406">
        <f>ЦА!E57-ЦА!L57</f>
        <v>1153823</v>
      </c>
      <c r="W57" s="406">
        <f t="shared" ca="1" si="17"/>
        <v>0</v>
      </c>
      <c r="X57" s="324"/>
      <c r="Y57" s="368">
        <f ca="1">IFERROR(__xludf.DUMMYFUNCTION("""COMPUTED_VALUE"""),0)</f>
        <v>0</v>
      </c>
      <c r="Z57" s="368">
        <f ca="1">IFERROR(__xludf.DUMMYFUNCTION("""COMPUTED_VALUE"""),0)</f>
        <v>0</v>
      </c>
      <c r="AA57" s="368">
        <f ca="1">IFERROR(__xludf.DUMMYFUNCTION("""COMPUTED_VALUE"""),0)</f>
        <v>0</v>
      </c>
      <c r="AB57" s="368">
        <f ca="1">IFERROR(__xludf.DUMMYFUNCTION("""COMPUTED_VALUE"""),0)</f>
        <v>0</v>
      </c>
      <c r="AC57" s="368">
        <f ca="1">IFERROR(__xludf.DUMMYFUNCTION("""COMPUTED_VALUE"""),0)</f>
        <v>0</v>
      </c>
      <c r="AD57" s="368">
        <f ca="1">IFERROR(__xludf.DUMMYFUNCTION("""COMPUTED_VALUE"""),0)</f>
        <v>0</v>
      </c>
      <c r="AE57" s="368">
        <f ca="1">IFERROR(__xludf.DUMMYFUNCTION("""COMPUTED_VALUE"""),0)</f>
        <v>0</v>
      </c>
      <c r="AF57" s="368">
        <f ca="1">IFERROR(__xludf.DUMMYFUNCTION("""COMPUTED_VALUE"""),0)</f>
        <v>0</v>
      </c>
      <c r="AG57" s="368">
        <f ca="1">IFERROR(__xludf.DUMMYFUNCTION("""COMPUTED_VALUE"""),0)</f>
        <v>0</v>
      </c>
      <c r="AH57" s="368">
        <f ca="1">IFERROR(__xludf.DUMMYFUNCTION("""COMPUTED_VALUE"""),0)</f>
        <v>0</v>
      </c>
      <c r="AI57" s="368">
        <f ca="1">IFERROR(__xludf.DUMMYFUNCTION("""COMPUTED_VALUE"""),0)</f>
        <v>0</v>
      </c>
      <c r="AJ57" s="368">
        <f ca="1">IFERROR(__xludf.DUMMYFUNCTION("""COMPUTED_VALUE"""),0)</f>
        <v>0</v>
      </c>
      <c r="AK57" s="368">
        <f ca="1">IFERROR(__xludf.DUMMYFUNCTION("""COMPUTED_VALUE"""),0)</f>
        <v>0</v>
      </c>
      <c r="AL57" s="368">
        <f ca="1">IFERROR(__xludf.DUMMYFUNCTION("""COMPUTED_VALUE"""),0)</f>
        <v>0</v>
      </c>
      <c r="AM57" s="368">
        <f ca="1">IFERROR(__xludf.DUMMYFUNCTION("""COMPUTED_VALUE"""),0)</f>
        <v>0</v>
      </c>
      <c r="AN57" s="368">
        <f ca="1">IFERROR(__xludf.DUMMYFUNCTION("""COMPUTED_VALUE"""),0)</f>
        <v>0</v>
      </c>
      <c r="AO57" s="368">
        <f ca="1">IFERROR(__xludf.DUMMYFUNCTION("""COMPUTED_VALUE"""),0)</f>
        <v>0</v>
      </c>
      <c r="AP57" s="368">
        <f ca="1">IFERROR(__xludf.DUMMYFUNCTION("""COMPUTED_VALUE"""),0)</f>
        <v>0</v>
      </c>
      <c r="AQ57" s="368">
        <f ca="1">IFERROR(__xludf.DUMMYFUNCTION("""COMPUTED_VALUE"""),0)</f>
        <v>0</v>
      </c>
      <c r="AR57" s="368">
        <f ca="1">IFERROR(__xludf.DUMMYFUNCTION("""COMPUTED_VALUE"""),0)</f>
        <v>0</v>
      </c>
      <c r="AS57" s="368">
        <f ca="1">IFERROR(__xludf.DUMMYFUNCTION("""COMPUTED_VALUE"""),0)</f>
        <v>0</v>
      </c>
      <c r="AT57" s="466">
        <v>287456.69999999995</v>
      </c>
      <c r="AU57" s="367"/>
    </row>
    <row r="58" spans="1:47" ht="269.25" customHeight="1">
      <c r="A58" s="402"/>
      <c r="B58" s="402"/>
      <c r="C58" s="402">
        <v>418</v>
      </c>
      <c r="D58" s="455" t="s">
        <v>54</v>
      </c>
      <c r="E58" s="401">
        <f ca="1">ЦА!E58+'СВОД терр'!E59</f>
        <v>1045068.7999999999</v>
      </c>
      <c r="F58" s="401">
        <f ca="1">ЦА!F58+'СВОД терр'!F59</f>
        <v>59133.2</v>
      </c>
      <c r="G58" s="401">
        <f ca="1">ЦА!G58+'СВОД терр'!G59</f>
        <v>55421.279999999897</v>
      </c>
      <c r="H58" s="401">
        <f ca="1">ЦА!H58+'СВОД терр'!H59</f>
        <v>3711.9200000000101</v>
      </c>
      <c r="I58" s="401">
        <f t="shared" ca="1" si="11"/>
        <v>93.722781787557409</v>
      </c>
      <c r="J58" s="401"/>
      <c r="K58" s="401">
        <f ca="1">ЦА!K58+'СВОД терр'!K59</f>
        <v>30857.3999999999</v>
      </c>
      <c r="L58" s="401">
        <f ca="1">ЦА!L58+'СВОД терр'!L59</f>
        <v>30856.240000000002</v>
      </c>
      <c r="M58" s="401">
        <f ca="1">ЦА!M58+'СВОД терр'!M59</f>
        <v>1.1599999999962101</v>
      </c>
      <c r="N58" s="401">
        <f t="shared" ca="1" si="12"/>
        <v>99.996240772067964</v>
      </c>
      <c r="O58" s="508"/>
      <c r="P58" s="403">
        <f t="shared" ca="1" si="13"/>
        <v>989647.52</v>
      </c>
      <c r="Q58" s="403">
        <f>ЦА!E58-ЦА!G58</f>
        <v>967869</v>
      </c>
      <c r="R58" s="403">
        <f t="shared" ca="1" si="14"/>
        <v>21778.520000000019</v>
      </c>
      <c r="S58" s="506"/>
      <c r="T58" s="506"/>
      <c r="U58" s="403">
        <f t="shared" ca="1" si="16"/>
        <v>1014212.5599999999</v>
      </c>
      <c r="V58" s="55">
        <f>ЦА!E58-ЦА!L58</f>
        <v>967869</v>
      </c>
      <c r="W58" s="55">
        <f t="shared" ca="1" si="17"/>
        <v>46343.559999999939</v>
      </c>
      <c r="X58" s="509" t="s">
        <v>244</v>
      </c>
      <c r="Y58" s="368">
        <f ca="1">IFERROR(__xludf.DUMMYFUNCTION("""COMPUTED_VALUE"""),0)</f>
        <v>0</v>
      </c>
      <c r="Z58" s="368">
        <f ca="1">IFERROR(__xludf.DUMMYFUNCTION("""COMPUTED_VALUE"""),0)</f>
        <v>0</v>
      </c>
      <c r="AA58" s="368">
        <f ca="1">IFERROR(__xludf.DUMMYFUNCTION("""COMPUTED_VALUE"""),0)</f>
        <v>0</v>
      </c>
      <c r="AB58" s="368">
        <f ca="1">IFERROR(__xludf.DUMMYFUNCTION("""COMPUTED_VALUE"""),0)</f>
        <v>0</v>
      </c>
      <c r="AC58" s="368">
        <f ca="1">IFERROR(__xludf.DUMMYFUNCTION("""COMPUTED_VALUE"""),0)</f>
        <v>0</v>
      </c>
      <c r="AD58" s="368">
        <f ca="1">IFERROR(__xludf.DUMMYFUNCTION("""COMPUTED_VALUE"""),0)</f>
        <v>0</v>
      </c>
      <c r="AE58" s="368">
        <f ca="1">IFERROR(__xludf.DUMMYFUNCTION("""COMPUTED_VALUE"""),0)</f>
        <v>0</v>
      </c>
      <c r="AF58" s="368">
        <f ca="1">IFERROR(__xludf.DUMMYFUNCTION("""COMPUTED_VALUE"""),0)</f>
        <v>0</v>
      </c>
      <c r="AG58" s="368">
        <f ca="1">IFERROR(__xludf.DUMMYFUNCTION("""COMPUTED_VALUE"""),0)</f>
        <v>0</v>
      </c>
      <c r="AH58" s="368">
        <f ca="1">IFERROR(__xludf.DUMMYFUNCTION("""COMPUTED_VALUE"""),0)</f>
        <v>0</v>
      </c>
      <c r="AI58" s="368">
        <f ca="1">IFERROR(__xludf.DUMMYFUNCTION("""COMPUTED_VALUE"""),0)</f>
        <v>0</v>
      </c>
      <c r="AJ58" s="368">
        <f ca="1">IFERROR(__xludf.DUMMYFUNCTION("""COMPUTED_VALUE"""),0)</f>
        <v>0</v>
      </c>
      <c r="AK58" s="368">
        <f ca="1">IFERROR(__xludf.DUMMYFUNCTION("""COMPUTED_VALUE"""),0)</f>
        <v>0</v>
      </c>
      <c r="AL58" s="368">
        <f ca="1">IFERROR(__xludf.DUMMYFUNCTION("""COMPUTED_VALUE"""),0)</f>
        <v>0</v>
      </c>
      <c r="AM58" s="368">
        <f ca="1">IFERROR(__xludf.DUMMYFUNCTION("""COMPUTED_VALUE"""),0)</f>
        <v>0</v>
      </c>
      <c r="AN58" s="368">
        <f ca="1">IFERROR(__xludf.DUMMYFUNCTION("""COMPUTED_VALUE"""),0)</f>
        <v>0</v>
      </c>
      <c r="AO58" s="368">
        <f ca="1">IFERROR(__xludf.DUMMYFUNCTION("""COMPUTED_VALUE"""),0)</f>
        <v>0</v>
      </c>
      <c r="AP58" s="368">
        <f ca="1">IFERROR(__xludf.DUMMYFUNCTION("""COMPUTED_VALUE"""),0)</f>
        <v>0</v>
      </c>
      <c r="AQ58" s="368">
        <f ca="1">IFERROR(__xludf.DUMMYFUNCTION("""COMPUTED_VALUE"""),0)</f>
        <v>0</v>
      </c>
      <c r="AR58" s="368">
        <f ca="1">IFERROR(__xludf.DUMMYFUNCTION("""COMPUTED_VALUE"""),0)</f>
        <v>0</v>
      </c>
      <c r="AS58" s="368">
        <f ca="1">IFERROR(__xludf.DUMMYFUNCTION("""COMPUTED_VALUE"""),0)</f>
        <v>0</v>
      </c>
      <c r="AT58" s="13"/>
      <c r="AU58" s="367"/>
    </row>
    <row r="59" spans="1:47" ht="72">
      <c r="A59" s="510">
        <v>138</v>
      </c>
      <c r="B59" s="510">
        <v>0</v>
      </c>
      <c r="C59" s="511"/>
      <c r="D59" s="512" t="s">
        <v>55</v>
      </c>
      <c r="E59" s="513">
        <f ca="1">ЦА!E60+'СВОД терр'!E60</f>
        <v>78436.399999999907</v>
      </c>
      <c r="F59" s="513">
        <f ca="1">ЦА!F60+'СВОД терр'!F60</f>
        <v>60369.799999999996</v>
      </c>
      <c r="G59" s="513">
        <f ca="1">ЦА!G60+'СВОД терр'!G60</f>
        <v>56657.879999999896</v>
      </c>
      <c r="H59" s="513">
        <f ca="1">ЦА!H60+'СВОД терр'!H60</f>
        <v>3711.9200000000101</v>
      </c>
      <c r="I59" s="513">
        <f t="shared" ca="1" si="11"/>
        <v>93.851362767476289</v>
      </c>
      <c r="J59" s="513"/>
      <c r="K59" s="513">
        <f ca="1">ЦА!K60+'СВОД терр'!K60</f>
        <v>31104.799999999901</v>
      </c>
      <c r="L59" s="513">
        <f ca="1">ЦА!L60+'СВОД терр'!L60</f>
        <v>31103.640000000003</v>
      </c>
      <c r="M59" s="513">
        <f ca="1">ЦА!M60+'СВОД терр'!M60</f>
        <v>1.1599999999962101</v>
      </c>
      <c r="N59" s="513">
        <f t="shared" ca="1" si="12"/>
        <v>99.99627067205094</v>
      </c>
      <c r="O59" s="514"/>
      <c r="P59" s="515">
        <f t="shared" ca="1" si="13"/>
        <v>21778.520000000011</v>
      </c>
      <c r="Q59" s="516">
        <f>ЦА!E60-ЦА!G60</f>
        <v>0</v>
      </c>
      <c r="R59" s="516">
        <f t="shared" ca="1" si="14"/>
        <v>21778.520000000011</v>
      </c>
      <c r="S59" s="517"/>
      <c r="T59" s="518"/>
      <c r="U59" s="519">
        <f t="shared" ca="1" si="16"/>
        <v>47332.759999999907</v>
      </c>
      <c r="V59" s="520">
        <f>ЦА!E60-ЦА!L60</f>
        <v>989.19999999999993</v>
      </c>
      <c r="W59" s="520">
        <f t="shared" ca="1" si="17"/>
        <v>46343.55999999991</v>
      </c>
      <c r="X59" s="521"/>
      <c r="Y59" s="522"/>
      <c r="Z59" s="522"/>
      <c r="AA59" s="522"/>
      <c r="AB59" s="522"/>
      <c r="AC59" s="522"/>
      <c r="AD59" s="522"/>
      <c r="AE59" s="522"/>
      <c r="AF59" s="522"/>
      <c r="AG59" s="522"/>
      <c r="AH59" s="522"/>
      <c r="AI59" s="522"/>
      <c r="AJ59" s="522"/>
      <c r="AK59" s="522"/>
      <c r="AL59" s="522"/>
      <c r="AM59" s="522"/>
      <c r="AN59" s="522"/>
      <c r="AO59" s="522"/>
      <c r="AP59" s="522"/>
      <c r="AQ59" s="522"/>
      <c r="AR59" s="522"/>
      <c r="AS59" s="522"/>
      <c r="AT59" s="523">
        <v>5114.3559999999916</v>
      </c>
      <c r="AU59" s="522"/>
    </row>
    <row r="60" spans="1:47" ht="15">
      <c r="A60" s="370"/>
      <c r="B60" s="370"/>
      <c r="C60" s="370">
        <v>159</v>
      </c>
      <c r="D60" s="370" t="s">
        <v>29</v>
      </c>
      <c r="E60" s="401">
        <f>ЦА!E61+'СВОД терр'!E61</f>
        <v>1236.5999999999999</v>
      </c>
      <c r="F60" s="401">
        <f>ЦА!F61+'СВОД терр'!F61</f>
        <v>1236.5999999999999</v>
      </c>
      <c r="G60" s="401">
        <f>ЦА!G61+'СВОД терр'!G61</f>
        <v>1236.5999999999999</v>
      </c>
      <c r="H60" s="401">
        <f>ЦА!H61+'СВОД терр'!H61</f>
        <v>0</v>
      </c>
      <c r="I60" s="401">
        <f t="shared" si="11"/>
        <v>100</v>
      </c>
      <c r="J60" s="401"/>
      <c r="K60" s="401">
        <f>ЦА!K61+'СВОД терр'!K61</f>
        <v>247.4</v>
      </c>
      <c r="L60" s="401">
        <f>ЦА!L61+'СВОД терр'!L61</f>
        <v>247.4</v>
      </c>
      <c r="M60" s="401">
        <f>ЦА!M61+'СВОД терр'!M61</f>
        <v>0</v>
      </c>
      <c r="N60" s="401">
        <f t="shared" si="12"/>
        <v>100</v>
      </c>
      <c r="O60" s="434"/>
      <c r="P60" s="403">
        <f t="shared" si="13"/>
        <v>0</v>
      </c>
      <c r="Q60" s="55">
        <f>ЦА!E61-ЦА!G61</f>
        <v>0</v>
      </c>
      <c r="R60" s="55">
        <f t="shared" si="14"/>
        <v>0</v>
      </c>
      <c r="S60" s="404"/>
      <c r="T60" s="471"/>
      <c r="U60" s="405">
        <f t="shared" si="16"/>
        <v>989.19999999999993</v>
      </c>
      <c r="V60" s="406">
        <f>ЦА!E61-ЦА!L61</f>
        <v>989.19999999999993</v>
      </c>
      <c r="W60" s="406">
        <f t="shared" si="17"/>
        <v>0</v>
      </c>
      <c r="X60" s="407"/>
      <c r="Y60" s="367"/>
      <c r="Z60" s="367"/>
      <c r="AA60" s="367"/>
      <c r="AB60" s="367"/>
      <c r="AC60" s="367"/>
      <c r="AD60" s="367"/>
      <c r="AE60" s="367"/>
      <c r="AF60" s="367"/>
      <c r="AG60" s="367"/>
      <c r="AH60" s="367"/>
      <c r="AI60" s="367"/>
      <c r="AJ60" s="367"/>
      <c r="AK60" s="367"/>
      <c r="AL60" s="367"/>
      <c r="AM60" s="367"/>
      <c r="AN60" s="367"/>
      <c r="AO60" s="367"/>
      <c r="AP60" s="367"/>
      <c r="AQ60" s="367"/>
      <c r="AR60" s="367"/>
      <c r="AS60" s="367"/>
      <c r="AT60" s="368"/>
      <c r="AU60" s="367"/>
    </row>
    <row r="61" spans="1:47" ht="42.75">
      <c r="A61" s="524"/>
      <c r="B61" s="524"/>
      <c r="C61" s="524"/>
      <c r="D61" s="524"/>
      <c r="E61" s="524"/>
      <c r="F61" s="524"/>
      <c r="G61" s="524"/>
      <c r="H61" s="524"/>
      <c r="I61" s="524"/>
      <c r="J61" s="524"/>
      <c r="K61" s="524"/>
      <c r="L61" s="524"/>
      <c r="M61" s="524"/>
      <c r="N61" s="524"/>
      <c r="O61" s="524"/>
      <c r="P61" s="525"/>
      <c r="Q61" s="526"/>
      <c r="R61" s="526"/>
      <c r="S61" s="526"/>
      <c r="T61" s="526"/>
      <c r="U61" s="527"/>
      <c r="V61" s="524"/>
      <c r="W61" s="524"/>
      <c r="X61" s="524"/>
      <c r="Y61" s="524"/>
      <c r="Z61" s="524"/>
      <c r="AA61" s="528" t="s">
        <v>206</v>
      </c>
      <c r="AB61" s="391" t="s">
        <v>207</v>
      </c>
      <c r="AC61" s="391" t="s">
        <v>208</v>
      </c>
      <c r="AD61" s="391" t="s">
        <v>209</v>
      </c>
      <c r="AE61" s="391" t="s">
        <v>210</v>
      </c>
      <c r="AF61" s="391" t="s">
        <v>211</v>
      </c>
      <c r="AG61" s="391" t="s">
        <v>212</v>
      </c>
      <c r="AH61" s="391" t="s">
        <v>213</v>
      </c>
      <c r="AI61" s="391" t="s">
        <v>214</v>
      </c>
      <c r="AJ61" s="391" t="s">
        <v>215</v>
      </c>
      <c r="AK61" s="391" t="s">
        <v>216</v>
      </c>
      <c r="AL61" s="391" t="s">
        <v>217</v>
      </c>
      <c r="AM61" s="391" t="s">
        <v>218</v>
      </c>
      <c r="AN61" s="391" t="s">
        <v>219</v>
      </c>
      <c r="AO61" s="391" t="s">
        <v>220</v>
      </c>
      <c r="AP61" s="391" t="s">
        <v>221</v>
      </c>
      <c r="AQ61" s="391" t="s">
        <v>222</v>
      </c>
      <c r="AR61" s="391" t="s">
        <v>223</v>
      </c>
      <c r="AS61" s="392" t="s">
        <v>107</v>
      </c>
      <c r="AT61" s="529" t="s">
        <v>108</v>
      </c>
      <c r="AU61" s="394" t="s">
        <v>109</v>
      </c>
    </row>
    <row r="62" spans="1:47" ht="29.25" customHeight="1">
      <c r="A62" s="367"/>
      <c r="B62" s="367"/>
      <c r="C62" s="367"/>
      <c r="D62" s="367"/>
      <c r="E62" s="367"/>
      <c r="F62" s="367"/>
      <c r="G62" s="367"/>
      <c r="H62" s="367"/>
      <c r="I62" s="367"/>
      <c r="J62" s="367"/>
      <c r="K62" s="367"/>
      <c r="L62" s="367"/>
      <c r="M62" s="367"/>
      <c r="N62" s="367"/>
      <c r="O62" s="367"/>
      <c r="P62" s="364"/>
      <c r="Q62" s="365"/>
      <c r="R62" s="912" t="s">
        <v>245</v>
      </c>
      <c r="S62" s="867"/>
      <c r="T62" s="867"/>
      <c r="U62" s="530"/>
      <c r="V62" s="530"/>
      <c r="W62" s="530"/>
      <c r="X62" s="530" t="e">
        <f t="shared" ref="X62:X77" ca="1" si="18">SUM(AA62:AU62)</f>
        <v>#VALUE!</v>
      </c>
      <c r="Y62" s="530"/>
      <c r="Z62" s="531"/>
      <c r="AA62" s="532">
        <f t="shared" ref="AA62:AU62" ca="1" si="19">SUM(AA63:AA80)</f>
        <v>523805.5199999999</v>
      </c>
      <c r="AB62" s="532">
        <f t="shared" ca="1" si="19"/>
        <v>447524.40499999985</v>
      </c>
      <c r="AC62" s="532">
        <f t="shared" ca="1" si="19"/>
        <v>498869.42378999904</v>
      </c>
      <c r="AD62" s="532">
        <f t="shared" ca="1" si="19"/>
        <v>427573.64400000009</v>
      </c>
      <c r="AE62" s="532">
        <f t="shared" ca="1" si="19"/>
        <v>521904.35617999994</v>
      </c>
      <c r="AF62" s="532" t="e">
        <f t="shared" ca="1" si="19"/>
        <v>#VALUE!</v>
      </c>
      <c r="AG62" s="532">
        <f t="shared" ca="1" si="19"/>
        <v>520377.38707999996</v>
      </c>
      <c r="AH62" s="532">
        <f t="shared" ca="1" si="19"/>
        <v>684354.90800000017</v>
      </c>
      <c r="AI62" s="532">
        <f t="shared" ca="1" si="19"/>
        <v>560716.63002999965</v>
      </c>
      <c r="AJ62" s="532">
        <f t="shared" ca="1" si="19"/>
        <v>586697.8759999997</v>
      </c>
      <c r="AK62" s="532">
        <f t="shared" ca="1" si="19"/>
        <v>296026.95017000008</v>
      </c>
      <c r="AL62" s="532">
        <f t="shared" ca="1" si="19"/>
        <v>538338.44699999993</v>
      </c>
      <c r="AM62" s="532">
        <f t="shared" ca="1" si="19"/>
        <v>473623.31300000008</v>
      </c>
      <c r="AN62" s="532">
        <f t="shared" ca="1" si="19"/>
        <v>859410.68400000012</v>
      </c>
      <c r="AO62" s="532">
        <f t="shared" ca="1" si="19"/>
        <v>418477.05299999972</v>
      </c>
      <c r="AP62" s="532">
        <f t="shared" ca="1" si="19"/>
        <v>727369.74100000004</v>
      </c>
      <c r="AQ62" s="532">
        <f t="shared" ca="1" si="19"/>
        <v>407443.78499999992</v>
      </c>
      <c r="AR62" s="532">
        <f t="shared" ca="1" si="19"/>
        <v>752343.88400000008</v>
      </c>
      <c r="AS62" s="532">
        <f t="shared" ca="1" si="19"/>
        <v>181679.48599999998</v>
      </c>
      <c r="AT62" s="532">
        <f t="shared" ca="1" si="19"/>
        <v>454442.42099999997</v>
      </c>
      <c r="AU62" s="532">
        <f t="shared" ca="1" si="19"/>
        <v>437176.71899999975</v>
      </c>
    </row>
    <row r="63" spans="1:47" ht="29.25" customHeight="1">
      <c r="A63" s="367"/>
      <c r="B63" s="367"/>
      <c r="C63" s="367"/>
      <c r="D63" s="367"/>
      <c r="E63" s="367"/>
      <c r="F63" s="367"/>
      <c r="G63" s="367"/>
      <c r="H63" s="367"/>
      <c r="I63" s="367"/>
      <c r="J63" s="367"/>
      <c r="K63" s="367"/>
      <c r="L63" s="367"/>
      <c r="M63" s="367"/>
      <c r="N63" s="367"/>
      <c r="O63" s="367"/>
      <c r="P63" s="364"/>
      <c r="Q63" s="365"/>
      <c r="R63" s="533" t="s">
        <v>58</v>
      </c>
      <c r="S63" s="534"/>
      <c r="T63" s="534"/>
      <c r="U63" s="530"/>
      <c r="V63" s="530"/>
      <c r="W63" s="530"/>
      <c r="X63" s="535">
        <f t="shared" ca="1" si="18"/>
        <v>9556983.1193899978</v>
      </c>
      <c r="Y63" s="536"/>
      <c r="Z63" s="537"/>
      <c r="AA63" s="538">
        <f t="shared" ref="AA63:AU63" ca="1" si="20">Y11+Y12+Y17+Y31+Y32+Y33+Y35+Y36+Y38+Y51</f>
        <v>488730.70799999998</v>
      </c>
      <c r="AB63" s="538">
        <f t="shared" ca="1" si="20"/>
        <v>400838.99999999988</v>
      </c>
      <c r="AC63" s="538">
        <f t="shared" ca="1" si="20"/>
        <v>475008.19999999891</v>
      </c>
      <c r="AD63" s="538">
        <f t="shared" ca="1" si="20"/>
        <v>300229.55000000005</v>
      </c>
      <c r="AE63" s="538">
        <f t="shared" ca="1" si="20"/>
        <v>410566.00096999999</v>
      </c>
      <c r="AF63" s="538">
        <f t="shared" ca="1" si="20"/>
        <v>660124.80000000005</v>
      </c>
      <c r="AG63" s="538">
        <f t="shared" ca="1" si="20"/>
        <v>419876</v>
      </c>
      <c r="AH63" s="538">
        <f t="shared" ca="1" si="20"/>
        <v>618146.05000000016</v>
      </c>
      <c r="AI63" s="538">
        <f t="shared" ca="1" si="20"/>
        <v>516019.92699999985</v>
      </c>
      <c r="AJ63" s="538">
        <f t="shared" ca="1" si="20"/>
        <v>536879.19599999976</v>
      </c>
      <c r="AK63" s="538">
        <f t="shared" ca="1" si="20"/>
        <v>255659.52042000002</v>
      </c>
      <c r="AL63" s="538">
        <f t="shared" ca="1" si="20"/>
        <v>470338</v>
      </c>
      <c r="AM63" s="538">
        <f t="shared" ca="1" si="20"/>
        <v>386399.3</v>
      </c>
      <c r="AN63" s="538">
        <f t="shared" ca="1" si="20"/>
        <v>735644</v>
      </c>
      <c r="AO63" s="538">
        <f t="shared" ca="1" si="20"/>
        <v>308563.02999999985</v>
      </c>
      <c r="AP63" s="538">
        <f t="shared" ca="1" si="20"/>
        <v>598862</v>
      </c>
      <c r="AQ63" s="538">
        <f t="shared" ca="1" si="20"/>
        <v>356537.48</v>
      </c>
      <c r="AR63" s="538">
        <f t="shared" ca="1" si="20"/>
        <v>668058.11899999995</v>
      </c>
      <c r="AS63" s="538">
        <f t="shared" ca="1" si="20"/>
        <v>154001.44999999998</v>
      </c>
      <c r="AT63" s="538">
        <f t="shared" ca="1" si="20"/>
        <v>415374</v>
      </c>
      <c r="AU63" s="538">
        <f t="shared" ca="1" si="20"/>
        <v>381126.78799999983</v>
      </c>
    </row>
    <row r="64" spans="1:47" ht="29.25" customHeight="1">
      <c r="A64" s="367"/>
      <c r="B64" s="367"/>
      <c r="C64" s="367"/>
      <c r="D64" s="367"/>
      <c r="E64" s="367"/>
      <c r="F64" s="367"/>
      <c r="G64" s="367"/>
      <c r="H64" s="367"/>
      <c r="I64" s="367"/>
      <c r="J64" s="367"/>
      <c r="K64" s="367"/>
      <c r="L64" s="367"/>
      <c r="M64" s="367"/>
      <c r="N64" s="367"/>
      <c r="O64" s="367"/>
      <c r="P64" s="364"/>
      <c r="Q64" s="365"/>
      <c r="R64" s="533" t="s">
        <v>59</v>
      </c>
      <c r="S64" s="534"/>
      <c r="T64" s="534"/>
      <c r="U64" s="530"/>
      <c r="V64" s="530"/>
      <c r="W64" s="530"/>
      <c r="X64" s="535">
        <f t="shared" ca="1" si="18"/>
        <v>211829.04399999999</v>
      </c>
      <c r="Y64" s="536"/>
      <c r="Z64" s="537"/>
      <c r="AA64" s="538">
        <f t="shared" ref="AA64:AU64" ca="1" si="21">Y13+Y48+Y56</f>
        <v>7525</v>
      </c>
      <c r="AB64" s="538">
        <f t="shared" ca="1" si="21"/>
        <v>7164.8379999999997</v>
      </c>
      <c r="AC64" s="538">
        <f t="shared" ca="1" si="21"/>
        <v>4684</v>
      </c>
      <c r="AD64" s="538">
        <f t="shared" ca="1" si="21"/>
        <v>13214</v>
      </c>
      <c r="AE64" s="538">
        <f t="shared" ca="1" si="21"/>
        <v>17502.039000000001</v>
      </c>
      <c r="AF64" s="538">
        <f t="shared" ca="1" si="21"/>
        <v>5235</v>
      </c>
      <c r="AG64" s="538">
        <f t="shared" ca="1" si="21"/>
        <v>31952.25</v>
      </c>
      <c r="AH64" s="538">
        <f t="shared" ca="1" si="21"/>
        <v>10558.2</v>
      </c>
      <c r="AI64" s="538">
        <f t="shared" ca="1" si="21"/>
        <v>145.4</v>
      </c>
      <c r="AJ64" s="538">
        <f t="shared" ca="1" si="21"/>
        <v>10534</v>
      </c>
      <c r="AK64" s="538">
        <f t="shared" ca="1" si="21"/>
        <v>0</v>
      </c>
      <c r="AL64" s="538">
        <f t="shared" ca="1" si="21"/>
        <v>8400</v>
      </c>
      <c r="AM64" s="538">
        <f t="shared" ca="1" si="21"/>
        <v>38217.53</v>
      </c>
      <c r="AN64" s="538">
        <f t="shared" ca="1" si="21"/>
        <v>5125.45</v>
      </c>
      <c r="AO64" s="538">
        <f t="shared" ca="1" si="21"/>
        <v>610</v>
      </c>
      <c r="AP64" s="538">
        <f t="shared" ca="1" si="21"/>
        <v>827</v>
      </c>
      <c r="AQ64" s="538">
        <f t="shared" ca="1" si="21"/>
        <v>1202.3609999999901</v>
      </c>
      <c r="AR64" s="538">
        <f t="shared" ca="1" si="21"/>
        <v>23726</v>
      </c>
      <c r="AS64" s="538">
        <f t="shared" ca="1" si="21"/>
        <v>857.01</v>
      </c>
      <c r="AT64" s="538">
        <f t="shared" ca="1" si="21"/>
        <v>2732.1660000000002</v>
      </c>
      <c r="AU64" s="538">
        <f t="shared" ca="1" si="21"/>
        <v>21616.799999999999</v>
      </c>
    </row>
    <row r="65" spans="1:47" ht="42.75" customHeight="1">
      <c r="A65" s="367"/>
      <c r="B65" s="367"/>
      <c r="C65" s="367"/>
      <c r="D65" s="367"/>
      <c r="E65" s="367"/>
      <c r="F65" s="367"/>
      <c r="G65" s="367"/>
      <c r="H65" s="367"/>
      <c r="I65" s="367"/>
      <c r="J65" s="367"/>
      <c r="K65" s="367"/>
      <c r="L65" s="367"/>
      <c r="M65" s="367"/>
      <c r="N65" s="367"/>
      <c r="O65" s="367"/>
      <c r="P65" s="364"/>
      <c r="Q65" s="365"/>
      <c r="R65" s="533" t="s">
        <v>60</v>
      </c>
      <c r="S65" s="534"/>
      <c r="T65" s="534"/>
      <c r="U65" s="530"/>
      <c r="V65" s="530"/>
      <c r="W65" s="530"/>
      <c r="X65" s="535">
        <f t="shared" ca="1" si="18"/>
        <v>137103.80042000001</v>
      </c>
      <c r="Y65" s="536"/>
      <c r="Z65" s="537"/>
      <c r="AA65" s="538">
        <f t="shared" ref="AA65:AU65" ca="1" si="22">Y43</f>
        <v>7730</v>
      </c>
      <c r="AB65" s="538">
        <f t="shared" ca="1" si="22"/>
        <v>1690</v>
      </c>
      <c r="AC65" s="538">
        <f t="shared" ca="1" si="22"/>
        <v>4831</v>
      </c>
      <c r="AD65" s="538">
        <f t="shared" ca="1" si="22"/>
        <v>3034.3</v>
      </c>
      <c r="AE65" s="538">
        <f t="shared" ca="1" si="22"/>
        <v>3845</v>
      </c>
      <c r="AF65" s="538">
        <f t="shared" ca="1" si="22"/>
        <v>18050</v>
      </c>
      <c r="AG65" s="538">
        <f t="shared" ca="1" si="22"/>
        <v>6250.0004200000003</v>
      </c>
      <c r="AH65" s="538">
        <f t="shared" ca="1" si="22"/>
        <v>4269.01</v>
      </c>
      <c r="AI65" s="538">
        <f t="shared" ca="1" si="22"/>
        <v>11952</v>
      </c>
      <c r="AJ65" s="538">
        <f t="shared" ca="1" si="22"/>
        <v>4520</v>
      </c>
      <c r="AK65" s="538">
        <f t="shared" ca="1" si="22"/>
        <v>593.099999999999</v>
      </c>
      <c r="AL65" s="538">
        <f t="shared" ca="1" si="22"/>
        <v>14391</v>
      </c>
      <c r="AM65" s="538">
        <f t="shared" ca="1" si="22"/>
        <v>10922</v>
      </c>
      <c r="AN65" s="538">
        <f t="shared" ca="1" si="22"/>
        <v>4631</v>
      </c>
      <c r="AO65" s="538">
        <f t="shared" ca="1" si="22"/>
        <v>14043.41</v>
      </c>
      <c r="AP65" s="538">
        <f t="shared" ca="1" si="22"/>
        <v>5301.4</v>
      </c>
      <c r="AQ65" s="538">
        <f t="shared" ca="1" si="22"/>
        <v>5855</v>
      </c>
      <c r="AR65" s="538">
        <f t="shared" ca="1" si="22"/>
        <v>7143.0010000000002</v>
      </c>
      <c r="AS65" s="538">
        <f t="shared" ca="1" si="22"/>
        <v>446</v>
      </c>
      <c r="AT65" s="538">
        <f t="shared" ca="1" si="22"/>
        <v>5665</v>
      </c>
      <c r="AU65" s="538">
        <f t="shared" ca="1" si="22"/>
        <v>1941.5789999999899</v>
      </c>
    </row>
    <row r="66" spans="1:47" ht="60.75" customHeight="1">
      <c r="A66" s="367"/>
      <c r="B66" s="367"/>
      <c r="C66" s="367"/>
      <c r="D66" s="367"/>
      <c r="E66" s="367"/>
      <c r="F66" s="367"/>
      <c r="G66" s="367"/>
      <c r="H66" s="367"/>
      <c r="I66" s="367"/>
      <c r="J66" s="367"/>
      <c r="K66" s="367"/>
      <c r="L66" s="367"/>
      <c r="M66" s="367"/>
      <c r="N66" s="367"/>
      <c r="O66" s="367"/>
      <c r="P66" s="364"/>
      <c r="Q66" s="365"/>
      <c r="R66" s="533" t="s">
        <v>61</v>
      </c>
      <c r="S66" s="534"/>
      <c r="T66" s="534"/>
      <c r="U66" s="530"/>
      <c r="V66" s="530"/>
      <c r="W66" s="530"/>
      <c r="X66" s="535">
        <f t="shared" ca="1" si="18"/>
        <v>0</v>
      </c>
      <c r="Y66" s="536"/>
      <c r="Z66" s="537"/>
      <c r="AA66" s="538">
        <f t="shared" ref="AA66:AU66" ca="1" si="23">Y25</f>
        <v>0</v>
      </c>
      <c r="AB66" s="538">
        <f t="shared" ca="1" si="23"/>
        <v>0</v>
      </c>
      <c r="AC66" s="538">
        <f t="shared" ca="1" si="23"/>
        <v>0</v>
      </c>
      <c r="AD66" s="538">
        <f t="shared" ca="1" si="23"/>
        <v>0</v>
      </c>
      <c r="AE66" s="538">
        <f t="shared" ca="1" si="23"/>
        <v>0</v>
      </c>
      <c r="AF66" s="538">
        <f t="shared" ca="1" si="23"/>
        <v>0</v>
      </c>
      <c r="AG66" s="538">
        <f t="shared" ca="1" si="23"/>
        <v>0</v>
      </c>
      <c r="AH66" s="538">
        <f t="shared" ca="1" si="23"/>
        <v>0</v>
      </c>
      <c r="AI66" s="538">
        <f t="shared" ca="1" si="23"/>
        <v>0</v>
      </c>
      <c r="AJ66" s="538">
        <f t="shared" ca="1" si="23"/>
        <v>0</v>
      </c>
      <c r="AK66" s="538">
        <f t="shared" ca="1" si="23"/>
        <v>0</v>
      </c>
      <c r="AL66" s="538">
        <f t="shared" ca="1" si="23"/>
        <v>0</v>
      </c>
      <c r="AM66" s="538">
        <f t="shared" ca="1" si="23"/>
        <v>0</v>
      </c>
      <c r="AN66" s="538">
        <f t="shared" ca="1" si="23"/>
        <v>0</v>
      </c>
      <c r="AO66" s="538">
        <f t="shared" ca="1" si="23"/>
        <v>0</v>
      </c>
      <c r="AP66" s="538">
        <f t="shared" ca="1" si="23"/>
        <v>0</v>
      </c>
      <c r="AQ66" s="538">
        <f t="shared" ca="1" si="23"/>
        <v>0</v>
      </c>
      <c r="AR66" s="538">
        <f t="shared" ca="1" si="23"/>
        <v>0</v>
      </c>
      <c r="AS66" s="538">
        <f t="shared" ca="1" si="23"/>
        <v>0</v>
      </c>
      <c r="AT66" s="538">
        <f t="shared" ca="1" si="23"/>
        <v>0</v>
      </c>
      <c r="AU66" s="538">
        <f t="shared" ca="1" si="23"/>
        <v>0</v>
      </c>
    </row>
    <row r="67" spans="1:47" ht="34.5" customHeight="1">
      <c r="A67" s="367"/>
      <c r="B67" s="367"/>
      <c r="C67" s="367"/>
      <c r="D67" s="367"/>
      <c r="E67" s="367"/>
      <c r="F67" s="367"/>
      <c r="G67" s="367"/>
      <c r="H67" s="367"/>
      <c r="I67" s="367"/>
      <c r="J67" s="367"/>
      <c r="K67" s="367"/>
      <c r="L67" s="367"/>
      <c r="M67" s="367"/>
      <c r="N67" s="367"/>
      <c r="O67" s="367"/>
      <c r="P67" s="364"/>
      <c r="Q67" s="365"/>
      <c r="R67" s="533" t="s">
        <v>62</v>
      </c>
      <c r="S67" s="539"/>
      <c r="T67" s="539"/>
      <c r="U67" s="530"/>
      <c r="V67" s="530"/>
      <c r="W67" s="530"/>
      <c r="X67" s="535">
        <f t="shared" ca="1" si="18"/>
        <v>97483.800600000002</v>
      </c>
      <c r="Y67" s="540"/>
      <c r="Z67" s="541"/>
      <c r="AA67" s="538">
        <f t="shared" ref="AA67:AU67" ca="1" si="24">Y26</f>
        <v>112.548</v>
      </c>
      <c r="AB67" s="538">
        <f t="shared" ca="1" si="24"/>
        <v>99.682999999999893</v>
      </c>
      <c r="AC67" s="538">
        <f t="shared" ca="1" si="24"/>
        <v>942.14</v>
      </c>
      <c r="AD67" s="538">
        <f t="shared" ca="1" si="24"/>
        <v>5.56</v>
      </c>
      <c r="AE67" s="538">
        <f t="shared" ca="1" si="24"/>
        <v>0</v>
      </c>
      <c r="AF67" s="538">
        <f t="shared" ca="1" si="24"/>
        <v>0</v>
      </c>
      <c r="AG67" s="538">
        <f t="shared" ca="1" si="24"/>
        <v>17.4876</v>
      </c>
      <c r="AH67" s="538">
        <f t="shared" ca="1" si="24"/>
        <v>196.95</v>
      </c>
      <c r="AI67" s="538">
        <f t="shared" ca="1" si="24"/>
        <v>0</v>
      </c>
      <c r="AJ67" s="538">
        <f t="shared" ca="1" si="24"/>
        <v>971.41199999999901</v>
      </c>
      <c r="AK67" s="538">
        <f t="shared" ca="1" si="24"/>
        <v>0</v>
      </c>
      <c r="AL67" s="538">
        <f t="shared" ca="1" si="24"/>
        <v>46.447000000000003</v>
      </c>
      <c r="AM67" s="538">
        <f t="shared" ca="1" si="24"/>
        <v>1.3429999999998401</v>
      </c>
      <c r="AN67" s="538">
        <f t="shared" ca="1" si="24"/>
        <v>197.16</v>
      </c>
      <c r="AO67" s="538">
        <f t="shared" ca="1" si="24"/>
        <v>3076</v>
      </c>
      <c r="AP67" s="538">
        <f t="shared" ca="1" si="24"/>
        <v>0</v>
      </c>
      <c r="AQ67" s="538">
        <f t="shared" ca="1" si="24"/>
        <v>24785</v>
      </c>
      <c r="AR67" s="538">
        <f t="shared" ca="1" si="24"/>
        <v>5.9999999999995099E-2</v>
      </c>
      <c r="AS67" s="538">
        <f t="shared" ca="1" si="24"/>
        <v>24784</v>
      </c>
      <c r="AT67" s="538">
        <f t="shared" ca="1" si="24"/>
        <v>17464.009999999998</v>
      </c>
      <c r="AU67" s="538">
        <f t="shared" ca="1" si="24"/>
        <v>24784</v>
      </c>
    </row>
    <row r="68" spans="1:47" ht="39" customHeight="1">
      <c r="A68" s="367"/>
      <c r="B68" s="367"/>
      <c r="C68" s="367"/>
      <c r="D68" s="367"/>
      <c r="E68" s="367"/>
      <c r="F68" s="367"/>
      <c r="G68" s="367"/>
      <c r="H68" s="367"/>
      <c r="I68" s="367"/>
      <c r="J68" s="367"/>
      <c r="K68" s="367"/>
      <c r="L68" s="367"/>
      <c r="M68" s="367"/>
      <c r="N68" s="367"/>
      <c r="O68" s="367"/>
      <c r="P68" s="364"/>
      <c r="Q68" s="365"/>
      <c r="R68" s="533" t="s">
        <v>63</v>
      </c>
      <c r="S68" s="539"/>
      <c r="T68" s="539"/>
      <c r="U68" s="530"/>
      <c r="V68" s="530"/>
      <c r="W68" s="530"/>
      <c r="X68" s="535">
        <f t="shared" ca="1" si="18"/>
        <v>5290.2380999999987</v>
      </c>
      <c r="Y68" s="540"/>
      <c r="Z68" s="541"/>
      <c r="AA68" s="538">
        <f t="shared" ref="AA68:AU68" ca="1" si="25">Y29</f>
        <v>2481.4</v>
      </c>
      <c r="AB68" s="538">
        <f t="shared" ca="1" si="25"/>
        <v>0</v>
      </c>
      <c r="AC68" s="538">
        <f t="shared" ca="1" si="25"/>
        <v>0</v>
      </c>
      <c r="AD68" s="538">
        <f t="shared" ca="1" si="25"/>
        <v>0</v>
      </c>
      <c r="AE68" s="538">
        <f t="shared" ca="1" si="25"/>
        <v>776.76909999999998</v>
      </c>
      <c r="AF68" s="538">
        <f t="shared" ca="1" si="25"/>
        <v>0</v>
      </c>
      <c r="AG68" s="538">
        <f t="shared" ca="1" si="25"/>
        <v>0</v>
      </c>
      <c r="AH68" s="538">
        <f t="shared" ca="1" si="25"/>
        <v>0</v>
      </c>
      <c r="AI68" s="538">
        <f t="shared" ca="1" si="25"/>
        <v>0</v>
      </c>
      <c r="AJ68" s="538">
        <f t="shared" ca="1" si="25"/>
        <v>0</v>
      </c>
      <c r="AK68" s="538">
        <f t="shared" ca="1" si="25"/>
        <v>0</v>
      </c>
      <c r="AL68" s="538">
        <f t="shared" ca="1" si="25"/>
        <v>111.168999999999</v>
      </c>
      <c r="AM68" s="538">
        <f t="shared" ca="1" si="25"/>
        <v>0</v>
      </c>
      <c r="AN68" s="538">
        <f t="shared" ca="1" si="25"/>
        <v>0</v>
      </c>
      <c r="AO68" s="538">
        <f t="shared" ca="1" si="25"/>
        <v>1920.9</v>
      </c>
      <c r="AP68" s="538">
        <f t="shared" ca="1" si="25"/>
        <v>0</v>
      </c>
      <c r="AQ68" s="538">
        <f t="shared" ca="1" si="25"/>
        <v>0</v>
      </c>
      <c r="AR68" s="538">
        <f t="shared" ca="1" si="25"/>
        <v>0</v>
      </c>
      <c r="AS68" s="538">
        <f t="shared" ca="1" si="25"/>
        <v>0</v>
      </c>
      <c r="AT68" s="538">
        <f t="shared" ca="1" si="25"/>
        <v>0</v>
      </c>
      <c r="AU68" s="538">
        <f t="shared" ca="1" si="25"/>
        <v>0</v>
      </c>
    </row>
    <row r="69" spans="1:47" ht="29.25" customHeight="1">
      <c r="A69" s="367"/>
      <c r="B69" s="367"/>
      <c r="C69" s="367"/>
      <c r="D69" s="367"/>
      <c r="E69" s="367"/>
      <c r="F69" s="367"/>
      <c r="G69" s="367"/>
      <c r="H69" s="367"/>
      <c r="I69" s="367"/>
      <c r="J69" s="367"/>
      <c r="K69" s="367"/>
      <c r="L69" s="367"/>
      <c r="M69" s="367"/>
      <c r="N69" s="367"/>
      <c r="O69" s="367"/>
      <c r="P69" s="364"/>
      <c r="Q69" s="365"/>
      <c r="R69" s="533" t="s">
        <v>64</v>
      </c>
      <c r="S69" s="539"/>
      <c r="T69" s="539"/>
      <c r="U69" s="530"/>
      <c r="V69" s="530"/>
      <c r="W69" s="530"/>
      <c r="X69" s="535">
        <f t="shared" ca="1" si="18"/>
        <v>73068.181099999871</v>
      </c>
      <c r="Y69" s="540"/>
      <c r="Z69" s="541"/>
      <c r="AA69" s="538">
        <f t="shared" ref="AA69:AU69" ca="1" si="26">Y41</f>
        <v>5917.3179999999902</v>
      </c>
      <c r="AB69" s="538">
        <f t="shared" ca="1" si="26"/>
        <v>178.13900000000001</v>
      </c>
      <c r="AC69" s="538">
        <f t="shared" ca="1" si="26"/>
        <v>4791.1706799999902</v>
      </c>
      <c r="AD69" s="538">
        <f t="shared" ca="1" si="26"/>
        <v>22.702000000000201</v>
      </c>
      <c r="AE69" s="538">
        <f t="shared" ca="1" si="26"/>
        <v>1957.80773</v>
      </c>
      <c r="AF69" s="538">
        <f t="shared" ca="1" si="26"/>
        <v>3192.3330000000001</v>
      </c>
      <c r="AG69" s="538">
        <f t="shared" ca="1" si="26"/>
        <v>112.649</v>
      </c>
      <c r="AH69" s="538">
        <f t="shared" ca="1" si="26"/>
        <v>5009.6499999999996</v>
      </c>
      <c r="AI69" s="538">
        <f t="shared" ca="1" si="26"/>
        <v>14737.3699599999</v>
      </c>
      <c r="AJ69" s="538">
        <f t="shared" ca="1" si="26"/>
        <v>2218.1319999999901</v>
      </c>
      <c r="AK69" s="538">
        <f t="shared" ca="1" si="26"/>
        <v>120.489729999999</v>
      </c>
      <c r="AL69" s="538">
        <f t="shared" ca="1" si="26"/>
        <v>13880</v>
      </c>
      <c r="AM69" s="538">
        <f t="shared" ca="1" si="26"/>
        <v>6459.77</v>
      </c>
      <c r="AN69" s="538">
        <f t="shared" ca="1" si="26"/>
        <v>1619.2839999999901</v>
      </c>
      <c r="AO69" s="538">
        <f t="shared" ca="1" si="26"/>
        <v>39.94</v>
      </c>
      <c r="AP69" s="538">
        <f t="shared" ca="1" si="26"/>
        <v>0</v>
      </c>
      <c r="AQ69" s="538">
        <f t="shared" ca="1" si="26"/>
        <v>599.05700000000002</v>
      </c>
      <c r="AR69" s="538">
        <f t="shared" ca="1" si="26"/>
        <v>3594.3939999999998</v>
      </c>
      <c r="AS69" s="538">
        <f t="shared" ca="1" si="26"/>
        <v>75.340000000000103</v>
      </c>
      <c r="AT69" s="538">
        <f t="shared" ca="1" si="26"/>
        <v>5673.7719999999999</v>
      </c>
      <c r="AU69" s="538">
        <f t="shared" ca="1" si="26"/>
        <v>2868.8629999999998</v>
      </c>
    </row>
    <row r="70" spans="1:47" ht="29.25" customHeight="1">
      <c r="A70" s="367"/>
      <c r="B70" s="367"/>
      <c r="C70" s="367"/>
      <c r="D70" s="367"/>
      <c r="E70" s="367"/>
      <c r="F70" s="367"/>
      <c r="G70" s="367"/>
      <c r="H70" s="367"/>
      <c r="I70" s="367"/>
      <c r="J70" s="367"/>
      <c r="K70" s="367"/>
      <c r="L70" s="367"/>
      <c r="M70" s="367"/>
      <c r="N70" s="367"/>
      <c r="O70" s="367"/>
      <c r="P70" s="364"/>
      <c r="Q70" s="365"/>
      <c r="R70" s="533" t="s">
        <v>65</v>
      </c>
      <c r="S70" s="539"/>
      <c r="T70" s="539"/>
      <c r="U70" s="530"/>
      <c r="V70" s="530"/>
      <c r="W70" s="530"/>
      <c r="X70" s="535">
        <f t="shared" ca="1" si="18"/>
        <v>125752.29758999996</v>
      </c>
      <c r="Y70" s="540"/>
      <c r="Z70" s="541"/>
      <c r="AA70" s="538">
        <f t="shared" ref="AA70:AU70" ca="1" si="27">Y20+Y42</f>
        <v>5955.598</v>
      </c>
      <c r="AB70" s="538">
        <f t="shared" ca="1" si="27"/>
        <v>10980.163</v>
      </c>
      <c r="AC70" s="538">
        <f t="shared" ca="1" si="27"/>
        <v>3649.33824</v>
      </c>
      <c r="AD70" s="538">
        <f t="shared" ca="1" si="27"/>
        <v>6246.41</v>
      </c>
      <c r="AE70" s="538">
        <f t="shared" ca="1" si="27"/>
        <v>3050.4320299999999</v>
      </c>
      <c r="AF70" s="538">
        <f t="shared" ca="1" si="27"/>
        <v>8534.5040000000008</v>
      </c>
      <c r="AG70" s="538">
        <f t="shared" ca="1" si="27"/>
        <v>6237.5504600000004</v>
      </c>
      <c r="AH70" s="538">
        <f t="shared" ca="1" si="27"/>
        <v>7000.01</v>
      </c>
      <c r="AI70" s="538">
        <f t="shared" ca="1" si="27"/>
        <v>5665.0471199999902</v>
      </c>
      <c r="AJ70" s="538">
        <f t="shared" ca="1" si="27"/>
        <v>5955</v>
      </c>
      <c r="AK70" s="538">
        <f t="shared" ca="1" si="27"/>
        <v>9935.0247400000007</v>
      </c>
      <c r="AL70" s="538">
        <f t="shared" ca="1" si="27"/>
        <v>5789.3779999999997</v>
      </c>
      <c r="AM70" s="538">
        <f t="shared" ca="1" si="27"/>
        <v>11436.2</v>
      </c>
      <c r="AN70" s="538">
        <f t="shared" ca="1" si="27"/>
        <v>7644.0550000000003</v>
      </c>
      <c r="AO70" s="538">
        <f t="shared" ca="1" si="27"/>
        <v>5569.5339999999997</v>
      </c>
      <c r="AP70" s="538">
        <f t="shared" ca="1" si="27"/>
        <v>10651.755999999999</v>
      </c>
      <c r="AQ70" s="538">
        <f t="shared" ca="1" si="27"/>
        <v>5563.1329999999998</v>
      </c>
      <c r="AR70" s="538">
        <f t="shared" ca="1" si="27"/>
        <v>1000</v>
      </c>
      <c r="AS70" s="538">
        <f t="shared" ca="1" si="27"/>
        <v>3.9999999999963599E-2</v>
      </c>
      <c r="AT70" s="538">
        <f t="shared" ca="1" si="27"/>
        <v>2170.12299999999</v>
      </c>
      <c r="AU70" s="538">
        <f t="shared" ca="1" si="27"/>
        <v>2719.0010000000002</v>
      </c>
    </row>
    <row r="71" spans="1:47" ht="29.25" customHeight="1">
      <c r="A71" s="367"/>
      <c r="B71" s="367"/>
      <c r="C71" s="367"/>
      <c r="D71" s="367"/>
      <c r="E71" s="367"/>
      <c r="F71" s="367"/>
      <c r="G71" s="367"/>
      <c r="H71" s="367"/>
      <c r="I71" s="367"/>
      <c r="J71" s="367"/>
      <c r="K71" s="367"/>
      <c r="L71" s="367"/>
      <c r="M71" s="367"/>
      <c r="N71" s="367"/>
      <c r="O71" s="367"/>
      <c r="P71" s="364"/>
      <c r="Q71" s="365"/>
      <c r="R71" s="533" t="s">
        <v>235</v>
      </c>
      <c r="S71" s="539"/>
      <c r="T71" s="539"/>
      <c r="U71" s="530"/>
      <c r="V71" s="530"/>
      <c r="W71" s="530"/>
      <c r="X71" s="535">
        <f t="shared" ca="1" si="18"/>
        <v>655407.76</v>
      </c>
      <c r="Y71" s="540"/>
      <c r="Z71" s="541"/>
      <c r="AA71" s="538">
        <f t="shared" ref="AA71:AU71" ca="1" si="28">Y39</f>
        <v>1831.4</v>
      </c>
      <c r="AB71" s="538">
        <f t="shared" ca="1" si="28"/>
        <v>11775.4</v>
      </c>
      <c r="AC71" s="538">
        <f t="shared" ca="1" si="28"/>
        <v>2580</v>
      </c>
      <c r="AD71" s="538">
        <f t="shared" ca="1" si="28"/>
        <v>73145.3</v>
      </c>
      <c r="AE71" s="538">
        <f t="shared" ca="1" si="28"/>
        <v>81723.600000000006</v>
      </c>
      <c r="AF71" s="538">
        <f t="shared" ca="1" si="28"/>
        <v>7626.7</v>
      </c>
      <c r="AG71" s="538">
        <f t="shared" ca="1" si="28"/>
        <v>42304.9</v>
      </c>
      <c r="AH71" s="538">
        <f t="shared" ca="1" si="28"/>
        <v>35904</v>
      </c>
      <c r="AI71" s="538">
        <f t="shared" ca="1" si="28"/>
        <v>1267.46</v>
      </c>
      <c r="AJ71" s="538">
        <f t="shared" ca="1" si="28"/>
        <v>22776</v>
      </c>
      <c r="AK71" s="538">
        <f t="shared" ca="1" si="28"/>
        <v>10898</v>
      </c>
      <c r="AL71" s="538">
        <f t="shared" ca="1" si="28"/>
        <v>23002</v>
      </c>
      <c r="AM71" s="538">
        <f t="shared" ca="1" si="28"/>
        <v>18600</v>
      </c>
      <c r="AN71" s="538">
        <f t="shared" ca="1" si="28"/>
        <v>102976.3</v>
      </c>
      <c r="AO71" s="538">
        <f t="shared" ca="1" si="28"/>
        <v>83411.899999999994</v>
      </c>
      <c r="AP71" s="538">
        <f t="shared" ca="1" si="28"/>
        <v>105705</v>
      </c>
      <c r="AQ71" s="538">
        <f t="shared" ca="1" si="28"/>
        <v>2318.8000000000002</v>
      </c>
      <c r="AR71" s="538">
        <f t="shared" ca="1" si="28"/>
        <v>24519</v>
      </c>
      <c r="AS71" s="538">
        <f t="shared" ca="1" si="28"/>
        <v>500</v>
      </c>
      <c r="AT71" s="538">
        <f t="shared" ca="1" si="28"/>
        <v>2542</v>
      </c>
      <c r="AU71" s="538">
        <f t="shared" ca="1" si="28"/>
        <v>0</v>
      </c>
    </row>
    <row r="72" spans="1:47" ht="29.25" customHeight="1">
      <c r="A72" s="367"/>
      <c r="B72" s="367"/>
      <c r="C72" s="367"/>
      <c r="D72" s="367"/>
      <c r="E72" s="367"/>
      <c r="F72" s="367"/>
      <c r="G72" s="367"/>
      <c r="H72" s="367"/>
      <c r="I72" s="367"/>
      <c r="J72" s="367"/>
      <c r="K72" s="367"/>
      <c r="L72" s="367"/>
      <c r="M72" s="367"/>
      <c r="N72" s="367"/>
      <c r="O72" s="367"/>
      <c r="P72" s="364"/>
      <c r="Q72" s="365"/>
      <c r="R72" s="533" t="s">
        <v>66</v>
      </c>
      <c r="S72" s="539"/>
      <c r="T72" s="539"/>
      <c r="U72" s="530"/>
      <c r="V72" s="530"/>
      <c r="W72" s="530"/>
      <c r="X72" s="535">
        <f t="shared" ca="1" si="18"/>
        <v>41834.740999999995</v>
      </c>
      <c r="Y72" s="540"/>
      <c r="Z72" s="541"/>
      <c r="AA72" s="538">
        <f t="shared" ref="AA72:AU72" ca="1" si="29">Y45</f>
        <v>0</v>
      </c>
      <c r="AB72" s="538">
        <f t="shared" ca="1" si="29"/>
        <v>1262.2829999999899</v>
      </c>
      <c r="AC72" s="538">
        <f t="shared" ca="1" si="29"/>
        <v>0</v>
      </c>
      <c r="AD72" s="538">
        <f t="shared" ca="1" si="29"/>
        <v>5742</v>
      </c>
      <c r="AE72" s="538">
        <f t="shared" ca="1" si="29"/>
        <v>3.6000000000058201E-2</v>
      </c>
      <c r="AF72" s="538">
        <f t="shared" ca="1" si="29"/>
        <v>0</v>
      </c>
      <c r="AG72" s="538">
        <f t="shared" ca="1" si="29"/>
        <v>12265.8</v>
      </c>
      <c r="AH72" s="538">
        <f t="shared" ca="1" si="29"/>
        <v>0</v>
      </c>
      <c r="AI72" s="538">
        <f t="shared" ca="1" si="29"/>
        <v>1554.6</v>
      </c>
      <c r="AJ72" s="538">
        <f t="shared" ca="1" si="29"/>
        <v>0</v>
      </c>
      <c r="AK72" s="538">
        <f t="shared" ca="1" si="29"/>
        <v>14019.7</v>
      </c>
      <c r="AL72" s="538">
        <f t="shared" ca="1" si="29"/>
        <v>0</v>
      </c>
      <c r="AM72" s="538">
        <f t="shared" ca="1" si="29"/>
        <v>0</v>
      </c>
      <c r="AN72" s="538">
        <f t="shared" ca="1" si="29"/>
        <v>918</v>
      </c>
      <c r="AO72" s="538">
        <f t="shared" ca="1" si="29"/>
        <v>321.02999999999901</v>
      </c>
      <c r="AP72" s="538">
        <f t="shared" ca="1" si="29"/>
        <v>2711.1120000000001</v>
      </c>
      <c r="AQ72" s="538">
        <f t="shared" ca="1" si="29"/>
        <v>2560.4</v>
      </c>
      <c r="AR72" s="538">
        <f t="shared" ca="1" si="29"/>
        <v>479.334</v>
      </c>
      <c r="AS72" s="538">
        <f t="shared" ca="1" si="29"/>
        <v>0</v>
      </c>
      <c r="AT72" s="538">
        <f t="shared" ca="1" si="29"/>
        <v>0</v>
      </c>
      <c r="AU72" s="538">
        <f t="shared" ca="1" si="29"/>
        <v>0.44599999999991202</v>
      </c>
    </row>
    <row r="73" spans="1:47" ht="29.25" customHeight="1">
      <c r="A73" s="367"/>
      <c r="B73" s="367"/>
      <c r="C73" s="367"/>
      <c r="D73" s="367"/>
      <c r="E73" s="367"/>
      <c r="F73" s="367"/>
      <c r="G73" s="367"/>
      <c r="H73" s="367"/>
      <c r="I73" s="367"/>
      <c r="J73" s="367"/>
      <c r="K73" s="367"/>
      <c r="L73" s="367"/>
      <c r="M73" s="367"/>
      <c r="N73" s="367"/>
      <c r="O73" s="367"/>
      <c r="P73" s="364"/>
      <c r="Q73" s="365"/>
      <c r="R73" s="533" t="s">
        <v>67</v>
      </c>
      <c r="S73" s="539"/>
      <c r="T73" s="539"/>
      <c r="U73" s="530"/>
      <c r="V73" s="530"/>
      <c r="W73" s="530"/>
      <c r="X73" s="530" t="e">
        <f t="shared" ca="1" si="18"/>
        <v>#VALUE!</v>
      </c>
      <c r="Y73" s="540"/>
      <c r="Z73" s="541"/>
      <c r="AA73" s="538">
        <f t="shared" ref="AA73:AU73" ca="1" si="30">Y15+Y22+Y47</f>
        <v>2908.1319999999901</v>
      </c>
      <c r="AB73" s="538">
        <f t="shared" ca="1" si="30"/>
        <v>12522.279999999901</v>
      </c>
      <c r="AC73" s="538">
        <f t="shared" ca="1" si="30"/>
        <v>1098.9477899999899</v>
      </c>
      <c r="AD73" s="538">
        <f t="shared" ca="1" si="30"/>
        <v>24747.33</v>
      </c>
      <c r="AE73" s="538">
        <f t="shared" ca="1" si="30"/>
        <v>2111.61438</v>
      </c>
      <c r="AF73" s="538" t="e">
        <f t="shared" ca="1" si="30"/>
        <v>#VALUE!</v>
      </c>
      <c r="AG73" s="538">
        <f t="shared" ca="1" si="30"/>
        <v>1277.55</v>
      </c>
      <c r="AH73" s="538">
        <f t="shared" ca="1" si="30"/>
        <v>1168.83</v>
      </c>
      <c r="AI73" s="538">
        <f t="shared" ca="1" si="30"/>
        <v>8939.7423299999991</v>
      </c>
      <c r="AJ73" s="538">
        <f t="shared" ca="1" si="30"/>
        <v>2378.6</v>
      </c>
      <c r="AK73" s="538">
        <f t="shared" ca="1" si="30"/>
        <v>4801.0479999999998</v>
      </c>
      <c r="AL73" s="538">
        <f t="shared" ca="1" si="30"/>
        <v>862.81299999999999</v>
      </c>
      <c r="AM73" s="538">
        <f t="shared" ca="1" si="30"/>
        <v>1538.4159999999999</v>
      </c>
      <c r="AN73" s="538">
        <f t="shared" ca="1" si="30"/>
        <v>351.20999999999822</v>
      </c>
      <c r="AO73" s="538">
        <f t="shared" ca="1" si="30"/>
        <v>771.26199999999983</v>
      </c>
      <c r="AP73" s="538">
        <f t="shared" ca="1" si="30"/>
        <v>1515.53899999999</v>
      </c>
      <c r="AQ73" s="538">
        <f t="shared" ca="1" si="30"/>
        <v>837.44799999998895</v>
      </c>
      <c r="AR73" s="538">
        <f t="shared" ca="1" si="30"/>
        <v>22949.861000000001</v>
      </c>
      <c r="AS73" s="538">
        <f t="shared" ca="1" si="30"/>
        <v>164.11999999999901</v>
      </c>
      <c r="AT73" s="538">
        <f t="shared" ca="1" si="30"/>
        <v>2282.33699999999</v>
      </c>
      <c r="AU73" s="538">
        <f t="shared" ca="1" si="30"/>
        <v>79.092000000004106</v>
      </c>
    </row>
    <row r="74" spans="1:47" ht="29.25" customHeight="1">
      <c r="A74" s="367"/>
      <c r="B74" s="367"/>
      <c r="C74" s="367"/>
      <c r="D74" s="367"/>
      <c r="E74" s="367"/>
      <c r="F74" s="367"/>
      <c r="G74" s="367"/>
      <c r="H74" s="367"/>
      <c r="I74" s="367"/>
      <c r="J74" s="367"/>
      <c r="K74" s="367"/>
      <c r="L74" s="367"/>
      <c r="M74" s="367"/>
      <c r="N74" s="367"/>
      <c r="O74" s="367"/>
      <c r="P74" s="364"/>
      <c r="Q74" s="365"/>
      <c r="R74" s="533" t="s">
        <v>68</v>
      </c>
      <c r="S74" s="539"/>
      <c r="T74" s="539"/>
      <c r="U74" s="530"/>
      <c r="V74" s="530"/>
      <c r="W74" s="530"/>
      <c r="X74" s="535">
        <f t="shared" ca="1" si="18"/>
        <v>5149.2981199999986</v>
      </c>
      <c r="Y74" s="540"/>
      <c r="Z74" s="541"/>
      <c r="AA74" s="538">
        <f t="shared" ref="AA74:AU74" ca="1" si="31">Y21+Y44</f>
        <v>1.9999999999527002E-3</v>
      </c>
      <c r="AB74" s="538">
        <f t="shared" ca="1" si="31"/>
        <v>725.65599999999995</v>
      </c>
      <c r="AC74" s="538">
        <f t="shared" ca="1" si="31"/>
        <v>744.60022000000004</v>
      </c>
      <c r="AD74" s="538">
        <f t="shared" ca="1" si="31"/>
        <v>639.36199999999894</v>
      </c>
      <c r="AE74" s="538">
        <f t="shared" ca="1" si="31"/>
        <v>0</v>
      </c>
      <c r="AF74" s="538">
        <f t="shared" ca="1" si="31"/>
        <v>84.579999999999899</v>
      </c>
      <c r="AG74" s="538">
        <f t="shared" ca="1" si="31"/>
        <v>19.545119999999901</v>
      </c>
      <c r="AH74" s="538">
        <f t="shared" ca="1" si="31"/>
        <v>0.15999999999985401</v>
      </c>
      <c r="AI74" s="538">
        <f t="shared" ca="1" si="31"/>
        <v>350.06074999999998</v>
      </c>
      <c r="AJ74" s="538">
        <f t="shared" ca="1" si="31"/>
        <v>32.153999999999897</v>
      </c>
      <c r="AK74" s="538">
        <f t="shared" ca="1" si="31"/>
        <v>4.03000000005704E-3</v>
      </c>
      <c r="AL74" s="538">
        <f t="shared" ca="1" si="31"/>
        <v>500</v>
      </c>
      <c r="AM74" s="538">
        <f t="shared" ca="1" si="31"/>
        <v>26</v>
      </c>
      <c r="AN74" s="538">
        <f t="shared" ca="1" si="31"/>
        <v>0.79999999999995397</v>
      </c>
      <c r="AO74" s="538">
        <f t="shared" ca="1" si="31"/>
        <v>0</v>
      </c>
      <c r="AP74" s="538">
        <f t="shared" ca="1" si="31"/>
        <v>941.89300000000003</v>
      </c>
      <c r="AQ74" s="538">
        <f t="shared" ca="1" si="31"/>
        <v>184.601</v>
      </c>
      <c r="AR74" s="538">
        <f t="shared" ca="1" si="31"/>
        <v>0.37200000000029798</v>
      </c>
      <c r="AS74" s="538">
        <f t="shared" ca="1" si="31"/>
        <v>846.4</v>
      </c>
      <c r="AT74" s="538">
        <f t="shared" ca="1" si="31"/>
        <v>53.012999999999899</v>
      </c>
      <c r="AU74" s="538">
        <f t="shared" ca="1" si="31"/>
        <v>9.5000000000027202E-2</v>
      </c>
    </row>
    <row r="75" spans="1:47" ht="29.25" customHeight="1">
      <c r="A75" s="367"/>
      <c r="B75" s="367"/>
      <c r="C75" s="367"/>
      <c r="D75" s="367"/>
      <c r="E75" s="367"/>
      <c r="F75" s="367"/>
      <c r="G75" s="367"/>
      <c r="H75" s="367"/>
      <c r="I75" s="367"/>
      <c r="J75" s="367"/>
      <c r="K75" s="367"/>
      <c r="L75" s="367"/>
      <c r="M75" s="367"/>
      <c r="N75" s="367"/>
      <c r="O75" s="367"/>
      <c r="P75" s="364"/>
      <c r="Q75" s="365"/>
      <c r="R75" s="533" t="s">
        <v>69</v>
      </c>
      <c r="S75" s="539"/>
      <c r="T75" s="539"/>
      <c r="U75" s="530"/>
      <c r="V75" s="530"/>
      <c r="W75" s="530"/>
      <c r="X75" s="535">
        <f t="shared" ca="1" si="18"/>
        <v>1.5517399999080224</v>
      </c>
      <c r="Y75" s="540"/>
      <c r="Z75" s="541"/>
      <c r="AA75" s="538">
        <f t="shared" ref="AA75:AU75" ca="1" si="32">Y55</f>
        <v>0.122999999905005</v>
      </c>
      <c r="AB75" s="538">
        <f t="shared" ca="1" si="32"/>
        <v>0.96299999998882402</v>
      </c>
      <c r="AC75" s="538">
        <f t="shared" ca="1" si="32"/>
        <v>2.6860000099986701E-2</v>
      </c>
      <c r="AD75" s="538">
        <f t="shared" ca="1" si="32"/>
        <v>6.0000000055879299E-2</v>
      </c>
      <c r="AE75" s="538">
        <f t="shared" ca="1" si="32"/>
        <v>0</v>
      </c>
      <c r="AF75" s="538">
        <f t="shared" ca="1" si="32"/>
        <v>8.5999999893829199E-2</v>
      </c>
      <c r="AG75" s="538">
        <f t="shared" ca="1" si="32"/>
        <v>6.5889999968930996E-2</v>
      </c>
      <c r="AH75" s="538">
        <f t="shared" ca="1" si="32"/>
        <v>2.0000000018626399E-2</v>
      </c>
      <c r="AI75" s="538">
        <f t="shared" ca="1" si="32"/>
        <v>1.23700000112876E-2</v>
      </c>
      <c r="AJ75" s="538">
        <f t="shared" ca="1" si="32"/>
        <v>3.7999999942258E-2</v>
      </c>
      <c r="AK75" s="538">
        <f t="shared" ca="1" si="32"/>
        <v>1.6620000009424901E-2</v>
      </c>
      <c r="AL75" s="538">
        <f t="shared" ca="1" si="32"/>
        <v>0</v>
      </c>
      <c r="AM75" s="538">
        <f t="shared" ca="1" si="32"/>
        <v>5.0000000046566101E-2</v>
      </c>
      <c r="AN75" s="538">
        <f t="shared" ca="1" si="32"/>
        <v>4.30000000633299E-2</v>
      </c>
      <c r="AO75" s="538">
        <f t="shared" ca="1" si="32"/>
        <v>4.6999999904073698E-2</v>
      </c>
      <c r="AP75" s="538">
        <f t="shared" ca="1" si="32"/>
        <v>0</v>
      </c>
      <c r="AQ75" s="538">
        <f t="shared" ca="1" si="32"/>
        <v>0</v>
      </c>
      <c r="AR75" s="538">
        <f t="shared" ca="1" si="32"/>
        <v>0</v>
      </c>
      <c r="AS75" s="538">
        <f t="shared" ca="1" si="32"/>
        <v>0</v>
      </c>
      <c r="AT75" s="538">
        <f t="shared" ca="1" si="32"/>
        <v>0</v>
      </c>
      <c r="AU75" s="538">
        <f t="shared" ca="1" si="32"/>
        <v>0</v>
      </c>
    </row>
    <row r="76" spans="1:47" ht="29.25" customHeight="1">
      <c r="A76" s="367"/>
      <c r="B76" s="367"/>
      <c r="C76" s="367"/>
      <c r="D76" s="367"/>
      <c r="E76" s="367"/>
      <c r="F76" s="367"/>
      <c r="G76" s="367"/>
      <c r="H76" s="367"/>
      <c r="I76" s="367"/>
      <c r="J76" s="367"/>
      <c r="K76" s="367"/>
      <c r="L76" s="367"/>
      <c r="M76" s="367"/>
      <c r="N76" s="367"/>
      <c r="O76" s="367"/>
      <c r="P76" s="364"/>
      <c r="Q76" s="365"/>
      <c r="R76" s="533" t="s">
        <v>70</v>
      </c>
      <c r="S76" s="539"/>
      <c r="T76" s="539"/>
      <c r="U76" s="530"/>
      <c r="V76" s="530"/>
      <c r="W76" s="530"/>
      <c r="X76" s="535">
        <f t="shared" ca="1" si="18"/>
        <v>17860.431689999998</v>
      </c>
      <c r="Y76" s="540"/>
      <c r="Z76" s="541"/>
      <c r="AA76" s="538">
        <f t="shared" ref="AA76:AU76" ca="1" si="33">Y16+Y37+Y49+Y50</f>
        <v>613.29100000000005</v>
      </c>
      <c r="AB76" s="538">
        <f t="shared" ca="1" si="33"/>
        <v>286</v>
      </c>
      <c r="AC76" s="538">
        <f t="shared" ca="1" si="33"/>
        <v>540</v>
      </c>
      <c r="AD76" s="538">
        <f t="shared" ca="1" si="33"/>
        <v>547.06999999999994</v>
      </c>
      <c r="AE76" s="538">
        <f t="shared" ca="1" si="33"/>
        <v>371.05696999999901</v>
      </c>
      <c r="AF76" s="538">
        <f t="shared" ca="1" si="33"/>
        <v>65.8</v>
      </c>
      <c r="AG76" s="538">
        <f t="shared" ca="1" si="33"/>
        <v>63.588589999999996</v>
      </c>
      <c r="AH76" s="538">
        <f t="shared" ca="1" si="33"/>
        <v>2102.0280000000002</v>
      </c>
      <c r="AI76" s="538">
        <f t="shared" ca="1" si="33"/>
        <v>85.010499999999894</v>
      </c>
      <c r="AJ76" s="538">
        <f t="shared" ca="1" si="33"/>
        <v>433.34399999999999</v>
      </c>
      <c r="AK76" s="538">
        <f t="shared" ca="1" si="33"/>
        <v>4.6629999999993198E-2</v>
      </c>
      <c r="AL76" s="538">
        <f t="shared" ca="1" si="33"/>
        <v>1017.6399999999999</v>
      </c>
      <c r="AM76" s="538">
        <f t="shared" ca="1" si="33"/>
        <v>22.704000000000001</v>
      </c>
      <c r="AN76" s="538">
        <f t="shared" ca="1" si="33"/>
        <v>303.38200000000001</v>
      </c>
      <c r="AO76" s="538">
        <f t="shared" ca="1" si="33"/>
        <v>150</v>
      </c>
      <c r="AP76" s="538">
        <f t="shared" ca="1" si="33"/>
        <v>854.04099999999903</v>
      </c>
      <c r="AQ76" s="538">
        <f t="shared" ca="1" si="33"/>
        <v>7000.5050000000001</v>
      </c>
      <c r="AR76" s="538">
        <f t="shared" ca="1" si="33"/>
        <v>873.74299999999994</v>
      </c>
      <c r="AS76" s="538">
        <f t="shared" ca="1" si="33"/>
        <v>5.1259999999999986</v>
      </c>
      <c r="AT76" s="538">
        <f t="shared" ca="1" si="33"/>
        <v>486</v>
      </c>
      <c r="AU76" s="538">
        <f t="shared" ca="1" si="33"/>
        <v>2040.0550000000001</v>
      </c>
    </row>
    <row r="77" spans="1:47" ht="29.25" customHeight="1">
      <c r="A77" s="367"/>
      <c r="B77" s="367"/>
      <c r="C77" s="367"/>
      <c r="D77" s="367"/>
      <c r="E77" s="367"/>
      <c r="F77" s="367"/>
      <c r="G77" s="367"/>
      <c r="H77" s="367"/>
      <c r="I77" s="367"/>
      <c r="J77" s="367"/>
      <c r="K77" s="367"/>
      <c r="L77" s="367"/>
      <c r="M77" s="367"/>
      <c r="N77" s="367"/>
      <c r="O77" s="367"/>
      <c r="P77" s="364"/>
      <c r="Q77" s="365"/>
      <c r="R77" s="533" t="s">
        <v>71</v>
      </c>
      <c r="S77" s="539"/>
      <c r="T77" s="539"/>
      <c r="U77" s="530"/>
      <c r="V77" s="530"/>
      <c r="W77" s="530"/>
      <c r="X77" s="535">
        <f t="shared" si="18"/>
        <v>0</v>
      </c>
      <c r="Y77" s="540"/>
      <c r="Z77" s="541"/>
      <c r="AA77" s="538">
        <f t="shared" ref="AA77:AU77" si="34">Y60</f>
        <v>0</v>
      </c>
      <c r="AB77" s="538">
        <f t="shared" si="34"/>
        <v>0</v>
      </c>
      <c r="AC77" s="538">
        <f t="shared" si="34"/>
        <v>0</v>
      </c>
      <c r="AD77" s="538">
        <f t="shared" si="34"/>
        <v>0</v>
      </c>
      <c r="AE77" s="538">
        <f t="shared" si="34"/>
        <v>0</v>
      </c>
      <c r="AF77" s="538">
        <f t="shared" si="34"/>
        <v>0</v>
      </c>
      <c r="AG77" s="538">
        <f t="shared" si="34"/>
        <v>0</v>
      </c>
      <c r="AH77" s="538">
        <f t="shared" si="34"/>
        <v>0</v>
      </c>
      <c r="AI77" s="538">
        <f t="shared" si="34"/>
        <v>0</v>
      </c>
      <c r="AJ77" s="538">
        <f t="shared" si="34"/>
        <v>0</v>
      </c>
      <c r="AK77" s="538">
        <f t="shared" si="34"/>
        <v>0</v>
      </c>
      <c r="AL77" s="538">
        <f t="shared" si="34"/>
        <v>0</v>
      </c>
      <c r="AM77" s="538">
        <f t="shared" si="34"/>
        <v>0</v>
      </c>
      <c r="AN77" s="538">
        <f t="shared" si="34"/>
        <v>0</v>
      </c>
      <c r="AO77" s="538">
        <f t="shared" si="34"/>
        <v>0</v>
      </c>
      <c r="AP77" s="538">
        <f t="shared" si="34"/>
        <v>0</v>
      </c>
      <c r="AQ77" s="538">
        <f t="shared" si="34"/>
        <v>0</v>
      </c>
      <c r="AR77" s="538">
        <f t="shared" si="34"/>
        <v>0</v>
      </c>
      <c r="AS77" s="538">
        <f t="shared" si="34"/>
        <v>0</v>
      </c>
      <c r="AT77" s="538">
        <f t="shared" si="34"/>
        <v>0</v>
      </c>
      <c r="AU77" s="538">
        <f t="shared" si="34"/>
        <v>0</v>
      </c>
    </row>
    <row r="78" spans="1:47" ht="12.75">
      <c r="A78" s="367"/>
      <c r="B78" s="367"/>
      <c r="C78" s="367"/>
      <c r="D78" s="367"/>
      <c r="E78" s="367"/>
      <c r="F78" s="367"/>
      <c r="G78" s="367"/>
      <c r="H78" s="367"/>
      <c r="I78" s="367"/>
      <c r="J78" s="367"/>
      <c r="K78" s="367"/>
      <c r="L78" s="367"/>
      <c r="M78" s="367"/>
      <c r="N78" s="367"/>
      <c r="O78" s="367"/>
      <c r="P78" s="364"/>
      <c r="Q78" s="365"/>
      <c r="R78" s="913"/>
      <c r="S78" s="867"/>
      <c r="T78" s="867"/>
      <c r="U78" s="867"/>
      <c r="V78" s="867"/>
      <c r="W78" s="867"/>
      <c r="X78" s="867"/>
      <c r="Y78" s="867"/>
      <c r="Z78" s="868"/>
      <c r="AA78" s="406"/>
      <c r="AB78" s="406"/>
      <c r="AC78" s="406"/>
      <c r="AD78" s="406"/>
      <c r="AE78" s="406"/>
      <c r="AF78" s="406"/>
      <c r="AG78" s="406"/>
      <c r="AH78" s="406"/>
      <c r="AI78" s="406"/>
      <c r="AJ78" s="406"/>
      <c r="AK78" s="406"/>
      <c r="AL78" s="406"/>
      <c r="AM78" s="406"/>
      <c r="AN78" s="406"/>
      <c r="AO78" s="406"/>
      <c r="AP78" s="406"/>
      <c r="AQ78" s="406"/>
      <c r="AR78" s="406"/>
      <c r="AS78" s="406"/>
      <c r="AT78" s="368"/>
      <c r="AU78" s="367"/>
    </row>
    <row r="79" spans="1:47" ht="12.75">
      <c r="A79" s="367"/>
      <c r="B79" s="367"/>
      <c r="C79" s="367"/>
      <c r="D79" s="367"/>
      <c r="E79" s="367"/>
      <c r="F79" s="367"/>
      <c r="G79" s="367"/>
      <c r="H79" s="367"/>
      <c r="I79" s="367"/>
      <c r="J79" s="367"/>
      <c r="K79" s="367"/>
      <c r="L79" s="367"/>
      <c r="M79" s="367"/>
      <c r="N79" s="367"/>
      <c r="O79" s="367"/>
      <c r="P79" s="364"/>
      <c r="Q79" s="365"/>
      <c r="R79" s="914"/>
      <c r="S79" s="867"/>
      <c r="T79" s="867"/>
      <c r="U79" s="867"/>
      <c r="V79" s="867"/>
      <c r="W79" s="867"/>
      <c r="X79" s="867"/>
      <c r="Y79" s="867"/>
      <c r="Z79" s="868"/>
      <c r="AA79" s="407"/>
      <c r="AB79" s="407"/>
      <c r="AC79" s="407"/>
      <c r="AD79" s="407"/>
      <c r="AE79" s="407"/>
      <c r="AF79" s="407"/>
      <c r="AG79" s="407"/>
      <c r="AH79" s="407"/>
      <c r="AI79" s="407"/>
      <c r="AJ79" s="407"/>
      <c r="AK79" s="407"/>
      <c r="AL79" s="407"/>
      <c r="AM79" s="407"/>
      <c r="AN79" s="407"/>
      <c r="AO79" s="407"/>
      <c r="AP79" s="407"/>
      <c r="AQ79" s="407"/>
      <c r="AR79" s="407"/>
      <c r="AS79" s="407"/>
      <c r="AT79" s="368"/>
      <c r="AU79" s="367"/>
    </row>
    <row r="80" spans="1:47" ht="12.75">
      <c r="A80" s="367"/>
      <c r="B80" s="367"/>
      <c r="C80" s="367"/>
      <c r="D80" s="367"/>
      <c r="E80" s="367"/>
      <c r="F80" s="367"/>
      <c r="G80" s="367"/>
      <c r="H80" s="367"/>
      <c r="I80" s="367"/>
      <c r="J80" s="367"/>
      <c r="K80" s="367"/>
      <c r="L80" s="367"/>
      <c r="M80" s="367"/>
      <c r="N80" s="367"/>
      <c r="O80" s="367"/>
      <c r="P80" s="364"/>
      <c r="Q80" s="365"/>
      <c r="R80" s="542">
        <f t="shared" ref="R80:R81" si="35">SUM(R81:R98)</f>
        <v>0</v>
      </c>
      <c r="S80" s="542"/>
      <c r="T80" s="542"/>
      <c r="U80" s="472"/>
      <c r="V80" s="472"/>
      <c r="W80" s="472"/>
      <c r="X80" s="472"/>
      <c r="Y80" s="472">
        <f t="shared" ref="Y80:AS80" si="36">SUM(Y81:Y98)</f>
        <v>0</v>
      </c>
      <c r="Z80" s="472">
        <f t="shared" si="36"/>
        <v>0</v>
      </c>
      <c r="AA80" s="472">
        <f t="shared" si="36"/>
        <v>0</v>
      </c>
      <c r="AB80" s="472">
        <f t="shared" si="36"/>
        <v>0</v>
      </c>
      <c r="AC80" s="472">
        <f t="shared" si="36"/>
        <v>0</v>
      </c>
      <c r="AD80" s="472">
        <f t="shared" si="36"/>
        <v>0</v>
      </c>
      <c r="AE80" s="472">
        <f t="shared" si="36"/>
        <v>0</v>
      </c>
      <c r="AF80" s="472">
        <f t="shared" si="36"/>
        <v>0</v>
      </c>
      <c r="AG80" s="472">
        <f t="shared" si="36"/>
        <v>0</v>
      </c>
      <c r="AH80" s="472">
        <f t="shared" si="36"/>
        <v>0</v>
      </c>
      <c r="AI80" s="472">
        <f t="shared" si="36"/>
        <v>0</v>
      </c>
      <c r="AJ80" s="472">
        <f t="shared" si="36"/>
        <v>0</v>
      </c>
      <c r="AK80" s="472">
        <f t="shared" si="36"/>
        <v>0</v>
      </c>
      <c r="AL80" s="472">
        <f t="shared" si="36"/>
        <v>0</v>
      </c>
      <c r="AM80" s="472">
        <f t="shared" si="36"/>
        <v>0</v>
      </c>
      <c r="AN80" s="472">
        <f t="shared" si="36"/>
        <v>0</v>
      </c>
      <c r="AO80" s="472">
        <f t="shared" si="36"/>
        <v>0</v>
      </c>
      <c r="AP80" s="472">
        <f t="shared" si="36"/>
        <v>0</v>
      </c>
      <c r="AQ80" s="472">
        <f t="shared" si="36"/>
        <v>0</v>
      </c>
      <c r="AR80" s="472">
        <f t="shared" si="36"/>
        <v>0</v>
      </c>
      <c r="AS80" s="472">
        <f t="shared" si="36"/>
        <v>0</v>
      </c>
      <c r="AT80" s="543"/>
      <c r="AU80" s="366"/>
    </row>
    <row r="81" spans="1:47" ht="12.75">
      <c r="A81" s="367"/>
      <c r="B81" s="367"/>
      <c r="C81" s="367"/>
      <c r="D81" s="367"/>
      <c r="E81" s="367"/>
      <c r="F81" s="367"/>
      <c r="G81" s="367"/>
      <c r="H81" s="367"/>
      <c r="I81" s="367"/>
      <c r="J81" s="367"/>
      <c r="K81" s="367"/>
      <c r="L81" s="367"/>
      <c r="M81" s="367"/>
      <c r="N81" s="367"/>
      <c r="O81" s="367"/>
      <c r="P81" s="364"/>
      <c r="Q81" s="365"/>
      <c r="R81" s="542">
        <f t="shared" si="35"/>
        <v>0</v>
      </c>
      <c r="S81" s="542"/>
      <c r="T81" s="542"/>
      <c r="U81" s="472"/>
      <c r="V81" s="472"/>
      <c r="W81" s="472"/>
      <c r="X81" s="472"/>
      <c r="Y81" s="472">
        <f t="shared" ref="Y81:AS81" si="37">SUM(Y82:Y99)</f>
        <v>0</v>
      </c>
      <c r="Z81" s="472">
        <f t="shared" si="37"/>
        <v>0</v>
      </c>
      <c r="AA81" s="472">
        <f t="shared" si="37"/>
        <v>0</v>
      </c>
      <c r="AB81" s="472">
        <f t="shared" si="37"/>
        <v>0</v>
      </c>
      <c r="AC81" s="472">
        <f t="shared" si="37"/>
        <v>0</v>
      </c>
      <c r="AD81" s="472">
        <f t="shared" si="37"/>
        <v>0</v>
      </c>
      <c r="AE81" s="472">
        <f t="shared" si="37"/>
        <v>0</v>
      </c>
      <c r="AF81" s="472">
        <f t="shared" si="37"/>
        <v>0</v>
      </c>
      <c r="AG81" s="472">
        <f t="shared" si="37"/>
        <v>0</v>
      </c>
      <c r="AH81" s="472">
        <f t="shared" si="37"/>
        <v>0</v>
      </c>
      <c r="AI81" s="472">
        <f t="shared" si="37"/>
        <v>0</v>
      </c>
      <c r="AJ81" s="472">
        <f t="shared" si="37"/>
        <v>0</v>
      </c>
      <c r="AK81" s="472">
        <f t="shared" si="37"/>
        <v>0</v>
      </c>
      <c r="AL81" s="472">
        <f t="shared" si="37"/>
        <v>0</v>
      </c>
      <c r="AM81" s="472">
        <f t="shared" si="37"/>
        <v>0</v>
      </c>
      <c r="AN81" s="472">
        <f t="shared" si="37"/>
        <v>0</v>
      </c>
      <c r="AO81" s="472">
        <f t="shared" si="37"/>
        <v>0</v>
      </c>
      <c r="AP81" s="472">
        <f t="shared" si="37"/>
        <v>0</v>
      </c>
      <c r="AQ81" s="472">
        <f t="shared" si="37"/>
        <v>0</v>
      </c>
      <c r="AR81" s="472">
        <f t="shared" si="37"/>
        <v>0</v>
      </c>
      <c r="AS81" s="472">
        <f t="shared" si="37"/>
        <v>0</v>
      </c>
      <c r="AT81" s="543"/>
      <c r="AU81" s="366"/>
    </row>
    <row r="82" spans="1:47" ht="12.75">
      <c r="A82" s="367"/>
      <c r="B82" s="367"/>
      <c r="C82" s="367"/>
      <c r="D82" s="367"/>
      <c r="E82" s="367"/>
      <c r="F82" s="367"/>
      <c r="G82" s="367"/>
      <c r="H82" s="367"/>
      <c r="I82" s="367"/>
      <c r="J82" s="367"/>
      <c r="K82" s="367"/>
      <c r="L82" s="367"/>
      <c r="M82" s="367"/>
      <c r="N82" s="367"/>
      <c r="O82" s="367"/>
      <c r="P82" s="364"/>
      <c r="Q82" s="365"/>
      <c r="R82" s="365"/>
      <c r="S82" s="365"/>
      <c r="T82" s="365"/>
      <c r="U82" s="366"/>
      <c r="V82" s="367"/>
      <c r="W82" s="367"/>
      <c r="X82" s="367"/>
      <c r="Y82" s="367"/>
      <c r="Z82" s="367"/>
      <c r="AA82" s="367"/>
      <c r="AB82" s="367"/>
      <c r="AC82" s="367"/>
      <c r="AD82" s="367"/>
      <c r="AE82" s="367"/>
      <c r="AF82" s="367"/>
      <c r="AG82" s="367"/>
      <c r="AH82" s="367"/>
      <c r="AI82" s="367"/>
      <c r="AJ82" s="367"/>
      <c r="AK82" s="367"/>
      <c r="AL82" s="367"/>
      <c r="AM82" s="367"/>
      <c r="AN82" s="367"/>
      <c r="AO82" s="367"/>
      <c r="AP82" s="367"/>
      <c r="AQ82" s="367"/>
      <c r="AR82" s="367"/>
      <c r="AS82" s="367"/>
      <c r="AT82" s="368"/>
      <c r="AU82" s="367"/>
    </row>
    <row r="83" spans="1:47" ht="12.75">
      <c r="A83" s="367"/>
      <c r="B83" s="367"/>
      <c r="C83" s="367"/>
      <c r="D83" s="367"/>
      <c r="E83" s="367"/>
      <c r="F83" s="367"/>
      <c r="G83" s="367"/>
      <c r="H83" s="367"/>
      <c r="I83" s="367"/>
      <c r="J83" s="367"/>
      <c r="K83" s="367"/>
      <c r="L83" s="367"/>
      <c r="M83" s="367"/>
      <c r="N83" s="367"/>
      <c r="O83" s="367"/>
      <c r="P83" s="364"/>
      <c r="Q83" s="365"/>
      <c r="R83" s="365"/>
      <c r="S83" s="365"/>
      <c r="T83" s="365"/>
      <c r="U83" s="366"/>
      <c r="V83" s="367"/>
      <c r="W83" s="367"/>
      <c r="X83" s="367"/>
      <c r="Y83" s="367"/>
      <c r="Z83" s="367"/>
      <c r="AA83" s="367"/>
      <c r="AB83" s="367"/>
      <c r="AC83" s="367"/>
      <c r="AD83" s="367"/>
      <c r="AE83" s="367"/>
      <c r="AF83" s="367"/>
      <c r="AG83" s="367"/>
      <c r="AH83" s="367"/>
      <c r="AI83" s="367"/>
      <c r="AJ83" s="367"/>
      <c r="AK83" s="367"/>
      <c r="AL83" s="367"/>
      <c r="AM83" s="367"/>
      <c r="AN83" s="367"/>
      <c r="AO83" s="367"/>
      <c r="AP83" s="367"/>
      <c r="AQ83" s="367"/>
      <c r="AR83" s="367"/>
      <c r="AS83" s="367"/>
      <c r="AT83" s="368"/>
      <c r="AU83" s="367"/>
    </row>
    <row r="84" spans="1:47" ht="12.75">
      <c r="A84" s="367"/>
      <c r="B84" s="367"/>
      <c r="C84" s="367"/>
      <c r="D84" s="367"/>
      <c r="E84" s="367"/>
      <c r="F84" s="367"/>
      <c r="G84" s="367"/>
      <c r="H84" s="367"/>
      <c r="I84" s="367"/>
      <c r="J84" s="367"/>
      <c r="K84" s="367"/>
      <c r="L84" s="367"/>
      <c r="M84" s="367"/>
      <c r="N84" s="367"/>
      <c r="O84" s="367"/>
      <c r="P84" s="364"/>
      <c r="Q84" s="365"/>
      <c r="R84" s="365"/>
      <c r="S84" s="365"/>
      <c r="T84" s="365"/>
      <c r="U84" s="366"/>
      <c r="V84" s="367"/>
      <c r="W84" s="367"/>
      <c r="X84" s="367"/>
      <c r="Y84" s="367"/>
      <c r="Z84" s="367"/>
      <c r="AA84" s="367"/>
      <c r="AB84" s="367"/>
      <c r="AC84" s="367"/>
      <c r="AD84" s="367"/>
      <c r="AE84" s="367"/>
      <c r="AF84" s="367"/>
      <c r="AG84" s="367"/>
      <c r="AH84" s="367"/>
      <c r="AI84" s="367"/>
      <c r="AJ84" s="367"/>
      <c r="AK84" s="367"/>
      <c r="AL84" s="367"/>
      <c r="AM84" s="367"/>
      <c r="AN84" s="367"/>
      <c r="AO84" s="367"/>
      <c r="AP84" s="367"/>
      <c r="AQ84" s="367"/>
      <c r="AR84" s="367"/>
      <c r="AS84" s="367"/>
      <c r="AT84" s="368"/>
      <c r="AU84" s="367"/>
    </row>
    <row r="85" spans="1:47" ht="12.75">
      <c r="A85" s="367"/>
      <c r="B85" s="367"/>
      <c r="C85" s="367"/>
      <c r="D85" s="367"/>
      <c r="E85" s="367"/>
      <c r="F85" s="367"/>
      <c r="G85" s="367"/>
      <c r="H85" s="367"/>
      <c r="I85" s="367"/>
      <c r="J85" s="367"/>
      <c r="K85" s="367"/>
      <c r="L85" s="367"/>
      <c r="M85" s="367"/>
      <c r="N85" s="367"/>
      <c r="O85" s="367"/>
      <c r="P85" s="364"/>
      <c r="Q85" s="365"/>
      <c r="R85" s="365"/>
      <c r="S85" s="365"/>
      <c r="T85" s="365"/>
      <c r="U85" s="366"/>
      <c r="V85" s="367"/>
      <c r="W85" s="367"/>
      <c r="X85" s="367"/>
      <c r="Y85" s="367"/>
      <c r="Z85" s="367"/>
      <c r="AA85" s="367"/>
      <c r="AB85" s="367"/>
      <c r="AC85" s="367"/>
      <c r="AD85" s="367"/>
      <c r="AE85" s="367"/>
      <c r="AF85" s="367"/>
      <c r="AG85" s="367"/>
      <c r="AH85" s="367"/>
      <c r="AI85" s="367"/>
      <c r="AJ85" s="367"/>
      <c r="AK85" s="367"/>
      <c r="AL85" s="367"/>
      <c r="AM85" s="367"/>
      <c r="AN85" s="367"/>
      <c r="AO85" s="367"/>
      <c r="AP85" s="367"/>
      <c r="AQ85" s="367"/>
      <c r="AR85" s="367"/>
      <c r="AS85" s="367"/>
      <c r="AT85" s="368"/>
      <c r="AU85" s="367"/>
    </row>
    <row r="86" spans="1:47" ht="12.75">
      <c r="A86" s="367"/>
      <c r="B86" s="367"/>
      <c r="C86" s="367"/>
      <c r="D86" s="367"/>
      <c r="E86" s="367"/>
      <c r="F86" s="367"/>
      <c r="G86" s="367"/>
      <c r="H86" s="367"/>
      <c r="I86" s="367"/>
      <c r="J86" s="367"/>
      <c r="K86" s="367"/>
      <c r="L86" s="367"/>
      <c r="M86" s="367"/>
      <c r="N86" s="367"/>
      <c r="O86" s="367"/>
      <c r="P86" s="364"/>
      <c r="Q86" s="365"/>
      <c r="R86" s="365"/>
      <c r="S86" s="365"/>
      <c r="T86" s="365"/>
      <c r="U86" s="366"/>
      <c r="V86" s="367"/>
      <c r="W86" s="367"/>
      <c r="X86" s="367"/>
      <c r="Y86" s="367"/>
      <c r="Z86" s="367"/>
      <c r="AA86" s="367"/>
      <c r="AB86" s="367"/>
      <c r="AC86" s="367"/>
      <c r="AD86" s="367"/>
      <c r="AE86" s="367"/>
      <c r="AF86" s="367"/>
      <c r="AG86" s="367"/>
      <c r="AH86" s="367"/>
      <c r="AI86" s="367"/>
      <c r="AJ86" s="367"/>
      <c r="AK86" s="367"/>
      <c r="AL86" s="367"/>
      <c r="AM86" s="367"/>
      <c r="AN86" s="367"/>
      <c r="AO86" s="367"/>
      <c r="AP86" s="367"/>
      <c r="AQ86" s="367"/>
      <c r="AR86" s="367"/>
      <c r="AS86" s="367"/>
      <c r="AT86" s="368"/>
      <c r="AU86" s="367"/>
    </row>
    <row r="87" spans="1:47" ht="12.75">
      <c r="A87" s="367"/>
      <c r="B87" s="367"/>
      <c r="C87" s="367"/>
      <c r="D87" s="367"/>
      <c r="E87" s="367"/>
      <c r="F87" s="367"/>
      <c r="G87" s="367"/>
      <c r="H87" s="367"/>
      <c r="I87" s="367"/>
      <c r="J87" s="367"/>
      <c r="K87" s="367"/>
      <c r="L87" s="367"/>
      <c r="M87" s="367"/>
      <c r="N87" s="367"/>
      <c r="O87" s="367"/>
      <c r="P87" s="364"/>
      <c r="Q87" s="365"/>
      <c r="R87" s="365"/>
      <c r="S87" s="365"/>
      <c r="T87" s="365"/>
      <c r="U87" s="366"/>
      <c r="V87" s="367"/>
      <c r="W87" s="367"/>
      <c r="X87" s="367"/>
      <c r="Y87" s="367"/>
      <c r="Z87" s="367"/>
      <c r="AA87" s="367"/>
      <c r="AB87" s="367"/>
      <c r="AC87" s="367"/>
      <c r="AD87" s="367"/>
      <c r="AE87" s="367"/>
      <c r="AF87" s="367"/>
      <c r="AG87" s="367"/>
      <c r="AH87" s="367"/>
      <c r="AI87" s="367"/>
      <c r="AJ87" s="367"/>
      <c r="AK87" s="367"/>
      <c r="AL87" s="367"/>
      <c r="AM87" s="367"/>
      <c r="AN87" s="367"/>
      <c r="AO87" s="367"/>
      <c r="AP87" s="367"/>
      <c r="AQ87" s="367"/>
      <c r="AR87" s="367"/>
      <c r="AS87" s="367"/>
      <c r="AT87" s="368"/>
      <c r="AU87" s="367"/>
    </row>
    <row r="88" spans="1:47" ht="12.75">
      <c r="A88" s="367"/>
      <c r="B88" s="367"/>
      <c r="C88" s="367"/>
      <c r="D88" s="367"/>
      <c r="E88" s="367"/>
      <c r="F88" s="367"/>
      <c r="G88" s="367"/>
      <c r="H88" s="367"/>
      <c r="I88" s="367"/>
      <c r="J88" s="367"/>
      <c r="K88" s="367"/>
      <c r="L88" s="367"/>
      <c r="M88" s="367"/>
      <c r="N88" s="367"/>
      <c r="O88" s="367"/>
      <c r="P88" s="364"/>
      <c r="Q88" s="365"/>
      <c r="R88" s="365"/>
      <c r="S88" s="365"/>
      <c r="T88" s="365"/>
      <c r="U88" s="366"/>
      <c r="V88" s="367"/>
      <c r="W88" s="367"/>
      <c r="X88" s="367" t="e">
        <f ca="1">X62-X63-X64-X65-X75-X68-X71</f>
        <v>#VALUE!</v>
      </c>
      <c r="Y88" s="367"/>
      <c r="Z88" s="367"/>
      <c r="AA88" s="367"/>
      <c r="AB88" s="367"/>
      <c r="AC88" s="367"/>
      <c r="AD88" s="367"/>
      <c r="AE88" s="367"/>
      <c r="AF88" s="367"/>
      <c r="AG88" s="367"/>
      <c r="AH88" s="367"/>
      <c r="AI88" s="367"/>
      <c r="AJ88" s="367"/>
      <c r="AK88" s="367"/>
      <c r="AL88" s="367"/>
      <c r="AM88" s="367"/>
      <c r="AN88" s="367"/>
      <c r="AO88" s="367"/>
      <c r="AP88" s="367"/>
      <c r="AQ88" s="367"/>
      <c r="AR88" s="367"/>
      <c r="AS88" s="367"/>
      <c r="AT88" s="368"/>
      <c r="AU88" s="367"/>
    </row>
    <row r="89" spans="1:47" ht="12.75">
      <c r="A89" s="367"/>
      <c r="B89" s="367"/>
      <c r="C89" s="367"/>
      <c r="D89" s="367"/>
      <c r="E89" s="367"/>
      <c r="F89" s="367"/>
      <c r="G89" s="367"/>
      <c r="H89" s="367"/>
      <c r="I89" s="367"/>
      <c r="J89" s="367"/>
      <c r="K89" s="367"/>
      <c r="L89" s="367"/>
      <c r="M89" s="367"/>
      <c r="N89" s="367"/>
      <c r="O89" s="367"/>
      <c r="P89" s="364"/>
      <c r="Q89" s="365"/>
      <c r="R89" s="365"/>
      <c r="S89" s="365"/>
      <c r="T89" s="365"/>
      <c r="U89" s="366"/>
      <c r="V89" s="367"/>
      <c r="W89" s="367"/>
      <c r="X89" s="367"/>
      <c r="Y89" s="367"/>
      <c r="Z89" s="367"/>
      <c r="AA89" s="367"/>
      <c r="AB89" s="367"/>
      <c r="AC89" s="367"/>
      <c r="AD89" s="367"/>
      <c r="AE89" s="367"/>
      <c r="AF89" s="367"/>
      <c r="AG89" s="367"/>
      <c r="AH89" s="367"/>
      <c r="AI89" s="367"/>
      <c r="AJ89" s="367"/>
      <c r="AK89" s="367"/>
      <c r="AL89" s="367"/>
      <c r="AM89" s="367"/>
      <c r="AN89" s="367"/>
      <c r="AO89" s="367"/>
      <c r="AP89" s="367"/>
      <c r="AQ89" s="367"/>
      <c r="AR89" s="367"/>
      <c r="AS89" s="367"/>
      <c r="AT89" s="368"/>
      <c r="AU89" s="367"/>
    </row>
    <row r="90" spans="1:47" ht="12.75">
      <c r="A90" s="367"/>
      <c r="B90" s="367"/>
      <c r="C90" s="367"/>
      <c r="D90" s="367"/>
      <c r="E90" s="367"/>
      <c r="F90" s="367"/>
      <c r="G90" s="367"/>
      <c r="H90" s="367"/>
      <c r="I90" s="367"/>
      <c r="J90" s="367"/>
      <c r="K90" s="367"/>
      <c r="L90" s="367"/>
      <c r="M90" s="367"/>
      <c r="N90" s="367"/>
      <c r="O90" s="367"/>
      <c r="P90" s="364"/>
      <c r="Q90" s="365"/>
      <c r="R90" s="365"/>
      <c r="S90" s="365"/>
      <c r="T90" s="365"/>
      <c r="U90" s="366"/>
      <c r="V90" s="367"/>
      <c r="W90" s="367"/>
      <c r="X90" s="367"/>
      <c r="Y90" s="367"/>
      <c r="Z90" s="367"/>
      <c r="AA90" s="367"/>
      <c r="AB90" s="367"/>
      <c r="AC90" s="367"/>
      <c r="AD90" s="367"/>
      <c r="AE90" s="367"/>
      <c r="AF90" s="367"/>
      <c r="AG90" s="367"/>
      <c r="AH90" s="367"/>
      <c r="AI90" s="367"/>
      <c r="AJ90" s="367"/>
      <c r="AK90" s="367"/>
      <c r="AL90" s="367"/>
      <c r="AM90" s="367"/>
      <c r="AN90" s="367"/>
      <c r="AO90" s="367"/>
      <c r="AP90" s="367"/>
      <c r="AQ90" s="367"/>
      <c r="AR90" s="367"/>
      <c r="AS90" s="367"/>
      <c r="AT90" s="368"/>
      <c r="AU90" s="367"/>
    </row>
    <row r="91" spans="1:47" ht="12.75">
      <c r="A91" s="367"/>
      <c r="B91" s="367"/>
      <c r="C91" s="367"/>
      <c r="D91" s="367"/>
      <c r="E91" s="367"/>
      <c r="F91" s="367"/>
      <c r="G91" s="367"/>
      <c r="H91" s="367"/>
      <c r="I91" s="367"/>
      <c r="J91" s="367"/>
      <c r="K91" s="367"/>
      <c r="L91" s="367"/>
      <c r="M91" s="367"/>
      <c r="N91" s="367"/>
      <c r="O91" s="367"/>
      <c r="P91" s="364"/>
      <c r="Q91" s="365"/>
      <c r="R91" s="365"/>
      <c r="S91" s="365"/>
      <c r="T91" s="365"/>
      <c r="U91" s="366"/>
      <c r="V91" s="367"/>
      <c r="W91" s="367"/>
      <c r="X91" s="367"/>
      <c r="Y91" s="367"/>
      <c r="Z91" s="367"/>
      <c r="AA91" s="367"/>
      <c r="AB91" s="367"/>
      <c r="AC91" s="367"/>
      <c r="AD91" s="367"/>
      <c r="AE91" s="367"/>
      <c r="AF91" s="367"/>
      <c r="AG91" s="367"/>
      <c r="AH91" s="367"/>
      <c r="AI91" s="367"/>
      <c r="AJ91" s="367"/>
      <c r="AK91" s="367"/>
      <c r="AL91" s="367"/>
      <c r="AM91" s="367"/>
      <c r="AN91" s="367"/>
      <c r="AO91" s="367"/>
      <c r="AP91" s="367"/>
      <c r="AQ91" s="367"/>
      <c r="AR91" s="367"/>
      <c r="AS91" s="367"/>
      <c r="AT91" s="368"/>
      <c r="AU91" s="367"/>
    </row>
    <row r="92" spans="1:47" ht="12.75">
      <c r="A92" s="367"/>
      <c r="B92" s="367"/>
      <c r="C92" s="367"/>
      <c r="D92" s="367"/>
      <c r="E92" s="367"/>
      <c r="F92" s="367"/>
      <c r="G92" s="367"/>
      <c r="H92" s="367"/>
      <c r="I92" s="367"/>
      <c r="J92" s="367"/>
      <c r="K92" s="367"/>
      <c r="L92" s="367"/>
      <c r="M92" s="367"/>
      <c r="N92" s="367"/>
      <c r="O92" s="367"/>
      <c r="P92" s="364"/>
      <c r="Q92" s="365"/>
      <c r="R92" s="365"/>
      <c r="S92" s="365"/>
      <c r="T92" s="365"/>
      <c r="U92" s="366"/>
      <c r="V92" s="367"/>
      <c r="W92" s="367"/>
      <c r="X92" s="367"/>
      <c r="Y92" s="367"/>
      <c r="Z92" s="367"/>
      <c r="AA92" s="367"/>
      <c r="AB92" s="367"/>
      <c r="AC92" s="367"/>
      <c r="AD92" s="367"/>
      <c r="AE92" s="367"/>
      <c r="AF92" s="367"/>
      <c r="AG92" s="367"/>
      <c r="AH92" s="367"/>
      <c r="AI92" s="367"/>
      <c r="AJ92" s="367"/>
      <c r="AK92" s="367"/>
      <c r="AL92" s="367"/>
      <c r="AM92" s="367"/>
      <c r="AN92" s="367"/>
      <c r="AO92" s="367"/>
      <c r="AP92" s="367"/>
      <c r="AQ92" s="367"/>
      <c r="AR92" s="367"/>
      <c r="AS92" s="367"/>
      <c r="AT92" s="368"/>
      <c r="AU92" s="367"/>
    </row>
    <row r="93" spans="1:47" ht="12.75">
      <c r="A93" s="367"/>
      <c r="B93" s="367"/>
      <c r="C93" s="367"/>
      <c r="D93" s="367"/>
      <c r="E93" s="367"/>
      <c r="F93" s="367"/>
      <c r="G93" s="367"/>
      <c r="H93" s="367"/>
      <c r="I93" s="367"/>
      <c r="J93" s="367"/>
      <c r="K93" s="367"/>
      <c r="L93" s="367"/>
      <c r="M93" s="367"/>
      <c r="N93" s="367"/>
      <c r="O93" s="367"/>
      <c r="P93" s="364"/>
      <c r="Q93" s="365"/>
      <c r="R93" s="365"/>
      <c r="S93" s="365"/>
      <c r="T93" s="365"/>
      <c r="U93" s="366"/>
      <c r="V93" s="367"/>
      <c r="W93" s="367"/>
      <c r="X93" s="367"/>
      <c r="Y93" s="367"/>
      <c r="Z93" s="367"/>
      <c r="AA93" s="367"/>
      <c r="AB93" s="367"/>
      <c r="AC93" s="367"/>
      <c r="AD93" s="367"/>
      <c r="AE93" s="367"/>
      <c r="AF93" s="367"/>
      <c r="AG93" s="367"/>
      <c r="AH93" s="367"/>
      <c r="AI93" s="367"/>
      <c r="AJ93" s="367"/>
      <c r="AK93" s="367"/>
      <c r="AL93" s="367"/>
      <c r="AM93" s="367"/>
      <c r="AN93" s="367"/>
      <c r="AO93" s="367"/>
      <c r="AP93" s="367"/>
      <c r="AQ93" s="367"/>
      <c r="AR93" s="367"/>
      <c r="AS93" s="367"/>
      <c r="AT93" s="368"/>
      <c r="AU93" s="367"/>
    </row>
    <row r="94" spans="1:47" ht="12.75">
      <c r="A94" s="367"/>
      <c r="B94" s="367"/>
      <c r="C94" s="367"/>
      <c r="D94" s="367"/>
      <c r="E94" s="367"/>
      <c r="F94" s="367"/>
      <c r="G94" s="367"/>
      <c r="H94" s="367"/>
      <c r="I94" s="367"/>
      <c r="J94" s="367"/>
      <c r="K94" s="367"/>
      <c r="L94" s="367"/>
      <c r="M94" s="367"/>
      <c r="N94" s="367"/>
      <c r="O94" s="367"/>
      <c r="P94" s="364"/>
      <c r="Q94" s="365"/>
      <c r="R94" s="365"/>
      <c r="S94" s="365"/>
      <c r="T94" s="365"/>
      <c r="U94" s="366"/>
      <c r="V94" s="367"/>
      <c r="W94" s="367"/>
      <c r="X94" s="367"/>
      <c r="Y94" s="367"/>
      <c r="Z94" s="367"/>
      <c r="AA94" s="367"/>
      <c r="AB94" s="367"/>
      <c r="AC94" s="367"/>
      <c r="AD94" s="367"/>
      <c r="AE94" s="367"/>
      <c r="AF94" s="367"/>
      <c r="AG94" s="367"/>
      <c r="AH94" s="367"/>
      <c r="AI94" s="367"/>
      <c r="AJ94" s="367"/>
      <c r="AK94" s="367"/>
      <c r="AL94" s="367"/>
      <c r="AM94" s="367"/>
      <c r="AN94" s="367"/>
      <c r="AO94" s="367"/>
      <c r="AP94" s="367"/>
      <c r="AQ94" s="367"/>
      <c r="AR94" s="367"/>
      <c r="AS94" s="367"/>
      <c r="AT94" s="368"/>
      <c r="AU94" s="367"/>
    </row>
    <row r="95" spans="1:47" ht="12.75">
      <c r="A95" s="367"/>
      <c r="B95" s="367"/>
      <c r="C95" s="367"/>
      <c r="D95" s="367"/>
      <c r="E95" s="367"/>
      <c r="F95" s="367"/>
      <c r="G95" s="367"/>
      <c r="H95" s="367"/>
      <c r="I95" s="367"/>
      <c r="J95" s="367"/>
      <c r="K95" s="367"/>
      <c r="L95" s="367"/>
      <c r="M95" s="367"/>
      <c r="N95" s="367"/>
      <c r="O95" s="367"/>
      <c r="P95" s="364"/>
      <c r="Q95" s="365"/>
      <c r="R95" s="365"/>
      <c r="S95" s="365"/>
      <c r="T95" s="365"/>
      <c r="U95" s="366"/>
      <c r="V95" s="367"/>
      <c r="W95" s="367"/>
      <c r="X95" s="367"/>
      <c r="Y95" s="367"/>
      <c r="Z95" s="367"/>
      <c r="AA95" s="367"/>
      <c r="AB95" s="367"/>
      <c r="AC95" s="367"/>
      <c r="AD95" s="367"/>
      <c r="AE95" s="367"/>
      <c r="AF95" s="367"/>
      <c r="AG95" s="367"/>
      <c r="AH95" s="367"/>
      <c r="AI95" s="367"/>
      <c r="AJ95" s="367"/>
      <c r="AK95" s="367"/>
      <c r="AL95" s="367"/>
      <c r="AM95" s="367"/>
      <c r="AN95" s="367"/>
      <c r="AO95" s="367"/>
      <c r="AP95" s="367"/>
      <c r="AQ95" s="367"/>
      <c r="AR95" s="367"/>
      <c r="AS95" s="367"/>
      <c r="AT95" s="368"/>
      <c r="AU95" s="367"/>
    </row>
    <row r="96" spans="1:47" ht="12.75">
      <c r="A96" s="367"/>
      <c r="B96" s="367"/>
      <c r="C96" s="367"/>
      <c r="D96" s="367"/>
      <c r="E96" s="367"/>
      <c r="F96" s="367"/>
      <c r="G96" s="367"/>
      <c r="H96" s="367"/>
      <c r="I96" s="367"/>
      <c r="J96" s="367"/>
      <c r="K96" s="367"/>
      <c r="L96" s="367"/>
      <c r="M96" s="367"/>
      <c r="N96" s="367"/>
      <c r="O96" s="367"/>
      <c r="P96" s="364"/>
      <c r="Q96" s="365"/>
      <c r="R96" s="365"/>
      <c r="S96" s="365"/>
      <c r="T96" s="365"/>
      <c r="U96" s="366"/>
      <c r="V96" s="367"/>
      <c r="W96" s="367"/>
      <c r="X96" s="367"/>
      <c r="Y96" s="367"/>
      <c r="Z96" s="367"/>
      <c r="AA96" s="367"/>
      <c r="AB96" s="367"/>
      <c r="AC96" s="367"/>
      <c r="AD96" s="367"/>
      <c r="AE96" s="367"/>
      <c r="AF96" s="367"/>
      <c r="AG96" s="367"/>
      <c r="AH96" s="367"/>
      <c r="AI96" s="367"/>
      <c r="AJ96" s="367"/>
      <c r="AK96" s="367"/>
      <c r="AL96" s="367"/>
      <c r="AM96" s="367"/>
      <c r="AN96" s="367"/>
      <c r="AO96" s="367"/>
      <c r="AP96" s="367"/>
      <c r="AQ96" s="367"/>
      <c r="AR96" s="367"/>
      <c r="AS96" s="367"/>
      <c r="AT96" s="368"/>
      <c r="AU96" s="367"/>
    </row>
    <row r="97" spans="1:47" ht="12.75">
      <c r="A97" s="367"/>
      <c r="B97" s="367"/>
      <c r="C97" s="367"/>
      <c r="D97" s="367"/>
      <c r="E97" s="367"/>
      <c r="F97" s="367"/>
      <c r="G97" s="367"/>
      <c r="H97" s="367"/>
      <c r="I97" s="367"/>
      <c r="J97" s="367"/>
      <c r="K97" s="367"/>
      <c r="L97" s="367"/>
      <c r="M97" s="367"/>
      <c r="N97" s="367"/>
      <c r="O97" s="367"/>
      <c r="P97" s="364"/>
      <c r="Q97" s="365"/>
      <c r="R97" s="365"/>
      <c r="S97" s="365"/>
      <c r="T97" s="365"/>
      <c r="U97" s="366"/>
      <c r="V97" s="367"/>
      <c r="W97" s="367"/>
      <c r="X97" s="367"/>
      <c r="Y97" s="367"/>
      <c r="Z97" s="367"/>
      <c r="AA97" s="367"/>
      <c r="AB97" s="367"/>
      <c r="AC97" s="367"/>
      <c r="AD97" s="367"/>
      <c r="AE97" s="367"/>
      <c r="AF97" s="367"/>
      <c r="AG97" s="367"/>
      <c r="AH97" s="367"/>
      <c r="AI97" s="367"/>
      <c r="AJ97" s="367"/>
      <c r="AK97" s="367"/>
      <c r="AL97" s="367"/>
      <c r="AM97" s="367"/>
      <c r="AN97" s="367"/>
      <c r="AO97" s="367"/>
      <c r="AP97" s="367"/>
      <c r="AQ97" s="367"/>
      <c r="AR97" s="367"/>
      <c r="AS97" s="367"/>
      <c r="AT97" s="368"/>
      <c r="AU97" s="367"/>
    </row>
    <row r="98" spans="1:47" ht="12.75">
      <c r="A98" s="367"/>
      <c r="B98" s="367"/>
      <c r="C98" s="367"/>
      <c r="D98" s="367"/>
      <c r="E98" s="367"/>
      <c r="F98" s="367"/>
      <c r="G98" s="367"/>
      <c r="H98" s="367"/>
      <c r="I98" s="367"/>
      <c r="J98" s="367"/>
      <c r="K98" s="367"/>
      <c r="L98" s="367"/>
      <c r="M98" s="367"/>
      <c r="N98" s="367"/>
      <c r="O98" s="367"/>
      <c r="P98" s="364"/>
      <c r="Q98" s="365"/>
      <c r="R98" s="365"/>
      <c r="S98" s="365"/>
      <c r="T98" s="365"/>
      <c r="U98" s="366"/>
      <c r="V98" s="367"/>
      <c r="W98" s="367"/>
      <c r="X98" s="367"/>
      <c r="Y98" s="367"/>
      <c r="Z98" s="367"/>
      <c r="AA98" s="367"/>
      <c r="AB98" s="367"/>
      <c r="AC98" s="367"/>
      <c r="AD98" s="367"/>
      <c r="AE98" s="367"/>
      <c r="AF98" s="367"/>
      <c r="AG98" s="367"/>
      <c r="AH98" s="367"/>
      <c r="AI98" s="367"/>
      <c r="AJ98" s="367"/>
      <c r="AK98" s="367"/>
      <c r="AL98" s="367"/>
      <c r="AM98" s="367"/>
      <c r="AN98" s="367"/>
      <c r="AO98" s="367"/>
      <c r="AP98" s="367"/>
      <c r="AQ98" s="367"/>
      <c r="AR98" s="367"/>
      <c r="AS98" s="367"/>
      <c r="AT98" s="368"/>
      <c r="AU98" s="367"/>
    </row>
    <row r="99" spans="1:47" ht="12.75">
      <c r="A99" s="367"/>
      <c r="B99" s="367"/>
      <c r="C99" s="367"/>
      <c r="D99" s="367"/>
      <c r="E99" s="367"/>
      <c r="F99" s="367"/>
      <c r="G99" s="367"/>
      <c r="H99" s="367"/>
      <c r="I99" s="367"/>
      <c r="J99" s="367"/>
      <c r="K99" s="367"/>
      <c r="L99" s="367"/>
      <c r="M99" s="367"/>
      <c r="N99" s="367"/>
      <c r="O99" s="367"/>
      <c r="P99" s="364"/>
      <c r="Q99" s="365"/>
      <c r="R99" s="365"/>
      <c r="S99" s="365"/>
      <c r="T99" s="365"/>
      <c r="U99" s="366"/>
      <c r="V99" s="367"/>
      <c r="W99" s="367"/>
      <c r="X99" s="367"/>
      <c r="Y99" s="367"/>
      <c r="Z99" s="367"/>
      <c r="AA99" s="367"/>
      <c r="AB99" s="367"/>
      <c r="AC99" s="367"/>
      <c r="AD99" s="367"/>
      <c r="AE99" s="367"/>
      <c r="AF99" s="367"/>
      <c r="AG99" s="367"/>
      <c r="AH99" s="367"/>
      <c r="AI99" s="367"/>
      <c r="AJ99" s="367"/>
      <c r="AK99" s="367"/>
      <c r="AL99" s="367"/>
      <c r="AM99" s="367"/>
      <c r="AN99" s="367"/>
      <c r="AO99" s="367"/>
      <c r="AP99" s="367"/>
      <c r="AQ99" s="367"/>
      <c r="AR99" s="367"/>
      <c r="AS99" s="367"/>
      <c r="AT99" s="368"/>
      <c r="AU99" s="367"/>
    </row>
    <row r="100" spans="1:47" ht="12.75">
      <c r="A100" s="367"/>
      <c r="B100" s="367"/>
      <c r="C100" s="367"/>
      <c r="D100" s="367"/>
      <c r="E100" s="367"/>
      <c r="F100" s="367"/>
      <c r="G100" s="367"/>
      <c r="H100" s="367"/>
      <c r="I100" s="367"/>
      <c r="J100" s="367"/>
      <c r="K100" s="367"/>
      <c r="L100" s="367"/>
      <c r="M100" s="367"/>
      <c r="N100" s="367"/>
      <c r="O100" s="367"/>
      <c r="P100" s="364"/>
      <c r="Q100" s="365"/>
      <c r="R100" s="365"/>
      <c r="S100" s="365"/>
      <c r="T100" s="365"/>
      <c r="U100" s="366"/>
      <c r="V100" s="367"/>
      <c r="W100" s="367"/>
      <c r="X100" s="367"/>
      <c r="Y100" s="367"/>
      <c r="Z100" s="367"/>
      <c r="AA100" s="367"/>
      <c r="AB100" s="367"/>
      <c r="AC100" s="367"/>
      <c r="AD100" s="367"/>
      <c r="AE100" s="367"/>
      <c r="AF100" s="367"/>
      <c r="AG100" s="367"/>
      <c r="AH100" s="367"/>
      <c r="AI100" s="367"/>
      <c r="AJ100" s="367"/>
      <c r="AK100" s="367"/>
      <c r="AL100" s="367"/>
      <c r="AM100" s="367"/>
      <c r="AN100" s="367"/>
      <c r="AO100" s="367"/>
      <c r="AP100" s="367"/>
      <c r="AQ100" s="367"/>
      <c r="AR100" s="367"/>
      <c r="AS100" s="367"/>
      <c r="AT100" s="368"/>
      <c r="AU100" s="367"/>
    </row>
    <row r="101" spans="1:47" ht="12.75">
      <c r="A101" s="367"/>
      <c r="B101" s="367"/>
      <c r="C101" s="367"/>
      <c r="D101" s="367"/>
      <c r="E101" s="367"/>
      <c r="F101" s="367"/>
      <c r="G101" s="367"/>
      <c r="H101" s="367"/>
      <c r="I101" s="367"/>
      <c r="J101" s="367"/>
      <c r="K101" s="367"/>
      <c r="L101" s="367"/>
      <c r="M101" s="367"/>
      <c r="N101" s="367"/>
      <c r="O101" s="367"/>
      <c r="P101" s="364"/>
      <c r="Q101" s="365"/>
      <c r="R101" s="365"/>
      <c r="S101" s="365"/>
      <c r="T101" s="365"/>
      <c r="U101" s="366"/>
      <c r="V101" s="367"/>
      <c r="W101" s="367"/>
      <c r="X101" s="367"/>
      <c r="Y101" s="367"/>
      <c r="Z101" s="367"/>
      <c r="AA101" s="367"/>
      <c r="AB101" s="367"/>
      <c r="AC101" s="367"/>
      <c r="AD101" s="367"/>
      <c r="AE101" s="367"/>
      <c r="AF101" s="367"/>
      <c r="AG101" s="367"/>
      <c r="AH101" s="367"/>
      <c r="AI101" s="367"/>
      <c r="AJ101" s="367"/>
      <c r="AK101" s="367"/>
      <c r="AL101" s="367"/>
      <c r="AM101" s="367"/>
      <c r="AN101" s="367"/>
      <c r="AO101" s="367"/>
      <c r="AP101" s="367"/>
      <c r="AQ101" s="367"/>
      <c r="AR101" s="367"/>
      <c r="AS101" s="367"/>
      <c r="AT101" s="368"/>
      <c r="AU101" s="367"/>
    </row>
    <row r="102" spans="1:47" ht="12.75">
      <c r="A102" s="367"/>
      <c r="B102" s="367"/>
      <c r="C102" s="367"/>
      <c r="D102" s="367"/>
      <c r="E102" s="367"/>
      <c r="F102" s="367"/>
      <c r="G102" s="367"/>
      <c r="H102" s="367"/>
      <c r="I102" s="367"/>
      <c r="J102" s="367"/>
      <c r="K102" s="367"/>
      <c r="L102" s="367"/>
      <c r="M102" s="367"/>
      <c r="N102" s="367"/>
      <c r="O102" s="367"/>
      <c r="P102" s="364"/>
      <c r="Q102" s="365"/>
      <c r="R102" s="365"/>
      <c r="S102" s="365"/>
      <c r="T102" s="365"/>
      <c r="U102" s="366"/>
      <c r="V102" s="367"/>
      <c r="W102" s="367"/>
      <c r="X102" s="367"/>
      <c r="Y102" s="367"/>
      <c r="Z102" s="367"/>
      <c r="AA102" s="367"/>
      <c r="AB102" s="367"/>
      <c r="AC102" s="367"/>
      <c r="AD102" s="367"/>
      <c r="AE102" s="367"/>
      <c r="AF102" s="367"/>
      <c r="AG102" s="367"/>
      <c r="AH102" s="367"/>
      <c r="AI102" s="367"/>
      <c r="AJ102" s="367"/>
      <c r="AK102" s="367"/>
      <c r="AL102" s="367"/>
      <c r="AM102" s="367"/>
      <c r="AN102" s="367"/>
      <c r="AO102" s="367"/>
      <c r="AP102" s="367"/>
      <c r="AQ102" s="367"/>
      <c r="AR102" s="367"/>
      <c r="AS102" s="367"/>
      <c r="AT102" s="368"/>
      <c r="AU102" s="367"/>
    </row>
    <row r="103" spans="1:47" ht="12.75">
      <c r="A103" s="367"/>
      <c r="B103" s="367"/>
      <c r="C103" s="367"/>
      <c r="D103" s="367"/>
      <c r="E103" s="367"/>
      <c r="F103" s="367"/>
      <c r="G103" s="367"/>
      <c r="H103" s="367"/>
      <c r="I103" s="367"/>
      <c r="J103" s="367"/>
      <c r="K103" s="367"/>
      <c r="L103" s="367"/>
      <c r="M103" s="367"/>
      <c r="N103" s="367"/>
      <c r="O103" s="367"/>
      <c r="P103" s="364"/>
      <c r="Q103" s="365"/>
      <c r="R103" s="365"/>
      <c r="S103" s="365"/>
      <c r="T103" s="365"/>
      <c r="U103" s="366"/>
      <c r="V103" s="367"/>
      <c r="W103" s="367"/>
      <c r="X103" s="367"/>
      <c r="Y103" s="367"/>
      <c r="Z103" s="367"/>
      <c r="AA103" s="367"/>
      <c r="AB103" s="367"/>
      <c r="AC103" s="367"/>
      <c r="AD103" s="367"/>
      <c r="AE103" s="367"/>
      <c r="AF103" s="367"/>
      <c r="AG103" s="367"/>
      <c r="AH103" s="367"/>
      <c r="AI103" s="367"/>
      <c r="AJ103" s="367"/>
      <c r="AK103" s="367"/>
      <c r="AL103" s="367"/>
      <c r="AM103" s="367"/>
      <c r="AN103" s="367"/>
      <c r="AO103" s="367"/>
      <c r="AP103" s="367"/>
      <c r="AQ103" s="367"/>
      <c r="AR103" s="367"/>
      <c r="AS103" s="367"/>
      <c r="AT103" s="368"/>
      <c r="AU103" s="367"/>
    </row>
    <row r="104" spans="1:47" ht="12.75">
      <c r="A104" s="367"/>
      <c r="B104" s="367"/>
      <c r="C104" s="367"/>
      <c r="D104" s="367"/>
      <c r="E104" s="367"/>
      <c r="F104" s="367"/>
      <c r="G104" s="367"/>
      <c r="H104" s="367"/>
      <c r="I104" s="367"/>
      <c r="J104" s="367"/>
      <c r="K104" s="367"/>
      <c r="L104" s="367"/>
      <c r="M104" s="367"/>
      <c r="N104" s="367"/>
      <c r="O104" s="367"/>
      <c r="P104" s="364"/>
      <c r="Q104" s="365"/>
      <c r="R104" s="365"/>
      <c r="S104" s="365"/>
      <c r="T104" s="365"/>
      <c r="U104" s="366"/>
      <c r="V104" s="367"/>
      <c r="W104" s="367"/>
      <c r="X104" s="367"/>
      <c r="Y104" s="367"/>
      <c r="Z104" s="367"/>
      <c r="AA104" s="367"/>
      <c r="AB104" s="367"/>
      <c r="AC104" s="367"/>
      <c r="AD104" s="367"/>
      <c r="AE104" s="367"/>
      <c r="AF104" s="367"/>
      <c r="AG104" s="367"/>
      <c r="AH104" s="367"/>
      <c r="AI104" s="367"/>
      <c r="AJ104" s="367"/>
      <c r="AK104" s="367"/>
      <c r="AL104" s="367"/>
      <c r="AM104" s="367"/>
      <c r="AN104" s="367"/>
      <c r="AO104" s="367"/>
      <c r="AP104" s="367"/>
      <c r="AQ104" s="367"/>
      <c r="AR104" s="367"/>
      <c r="AS104" s="367"/>
      <c r="AT104" s="368"/>
      <c r="AU104" s="367"/>
    </row>
    <row r="105" spans="1:47" ht="12.75">
      <c r="A105" s="367"/>
      <c r="B105" s="367"/>
      <c r="C105" s="367"/>
      <c r="D105" s="367"/>
      <c r="E105" s="367"/>
      <c r="F105" s="367"/>
      <c r="G105" s="367"/>
      <c r="H105" s="367"/>
      <c r="I105" s="367"/>
      <c r="J105" s="367"/>
      <c r="K105" s="367"/>
      <c r="L105" s="367"/>
      <c r="M105" s="367"/>
      <c r="N105" s="367"/>
      <c r="O105" s="367"/>
      <c r="P105" s="364"/>
      <c r="Q105" s="365"/>
      <c r="R105" s="365"/>
      <c r="S105" s="365"/>
      <c r="T105" s="365"/>
      <c r="U105" s="366"/>
      <c r="V105" s="367"/>
      <c r="W105" s="367"/>
      <c r="X105" s="367"/>
      <c r="Y105" s="367"/>
      <c r="Z105" s="367"/>
      <c r="AA105" s="367"/>
      <c r="AB105" s="367"/>
      <c r="AC105" s="367"/>
      <c r="AD105" s="367"/>
      <c r="AE105" s="367"/>
      <c r="AF105" s="367"/>
      <c r="AG105" s="367"/>
      <c r="AH105" s="367"/>
      <c r="AI105" s="367"/>
      <c r="AJ105" s="367"/>
      <c r="AK105" s="367"/>
      <c r="AL105" s="367"/>
      <c r="AM105" s="367"/>
      <c r="AN105" s="367"/>
      <c r="AO105" s="367"/>
      <c r="AP105" s="367"/>
      <c r="AQ105" s="367"/>
      <c r="AR105" s="367"/>
      <c r="AS105" s="367"/>
      <c r="AT105" s="368"/>
      <c r="AU105" s="367"/>
    </row>
    <row r="106" spans="1:47" ht="12.75">
      <c r="A106" s="367"/>
      <c r="B106" s="367"/>
      <c r="C106" s="367"/>
      <c r="D106" s="367"/>
      <c r="E106" s="367"/>
      <c r="F106" s="367"/>
      <c r="G106" s="367"/>
      <c r="H106" s="367"/>
      <c r="I106" s="367"/>
      <c r="J106" s="367"/>
      <c r="K106" s="367"/>
      <c r="L106" s="367"/>
      <c r="M106" s="367"/>
      <c r="N106" s="367"/>
      <c r="O106" s="367"/>
      <c r="P106" s="364"/>
      <c r="Q106" s="365"/>
      <c r="R106" s="365"/>
      <c r="S106" s="365"/>
      <c r="T106" s="365"/>
      <c r="U106" s="366"/>
      <c r="V106" s="367"/>
      <c r="W106" s="367"/>
      <c r="X106" s="367"/>
      <c r="Y106" s="367"/>
      <c r="Z106" s="367"/>
      <c r="AA106" s="367"/>
      <c r="AB106" s="367"/>
      <c r="AC106" s="367"/>
      <c r="AD106" s="367"/>
      <c r="AE106" s="367"/>
      <c r="AF106" s="367"/>
      <c r="AG106" s="367"/>
      <c r="AH106" s="367"/>
      <c r="AI106" s="367"/>
      <c r="AJ106" s="367"/>
      <c r="AK106" s="367"/>
      <c r="AL106" s="367"/>
      <c r="AM106" s="367"/>
      <c r="AN106" s="367"/>
      <c r="AO106" s="367"/>
      <c r="AP106" s="367"/>
      <c r="AQ106" s="367"/>
      <c r="AR106" s="367"/>
      <c r="AS106" s="367"/>
      <c r="AT106" s="368"/>
      <c r="AU106" s="367"/>
    </row>
    <row r="107" spans="1:47" ht="12.75">
      <c r="A107" s="367"/>
      <c r="B107" s="367"/>
      <c r="C107" s="367"/>
      <c r="D107" s="367"/>
      <c r="E107" s="367"/>
      <c r="F107" s="367"/>
      <c r="G107" s="367"/>
      <c r="H107" s="367"/>
      <c r="I107" s="367"/>
      <c r="J107" s="367"/>
      <c r="K107" s="367"/>
      <c r="L107" s="367"/>
      <c r="M107" s="367"/>
      <c r="N107" s="367"/>
      <c r="O107" s="367"/>
      <c r="P107" s="364"/>
      <c r="Q107" s="365"/>
      <c r="R107" s="365"/>
      <c r="S107" s="365"/>
      <c r="T107" s="365"/>
      <c r="U107" s="366"/>
      <c r="V107" s="367"/>
      <c r="W107" s="367"/>
      <c r="X107" s="367"/>
      <c r="Y107" s="367"/>
      <c r="Z107" s="367"/>
      <c r="AA107" s="367"/>
      <c r="AB107" s="367"/>
      <c r="AC107" s="367"/>
      <c r="AD107" s="367"/>
      <c r="AE107" s="367"/>
      <c r="AF107" s="367"/>
      <c r="AG107" s="367"/>
      <c r="AH107" s="367"/>
      <c r="AI107" s="367"/>
      <c r="AJ107" s="367"/>
      <c r="AK107" s="367"/>
      <c r="AL107" s="367"/>
      <c r="AM107" s="367"/>
      <c r="AN107" s="367"/>
      <c r="AO107" s="367"/>
      <c r="AP107" s="367"/>
      <c r="AQ107" s="367"/>
      <c r="AR107" s="367"/>
      <c r="AS107" s="367"/>
      <c r="AT107" s="368"/>
      <c r="AU107" s="367"/>
    </row>
    <row r="108" spans="1:47" ht="12.75">
      <c r="A108" s="367"/>
      <c r="B108" s="367"/>
      <c r="C108" s="367"/>
      <c r="D108" s="367"/>
      <c r="E108" s="367"/>
      <c r="F108" s="367"/>
      <c r="G108" s="367"/>
      <c r="H108" s="367"/>
      <c r="I108" s="367"/>
      <c r="J108" s="367"/>
      <c r="K108" s="367"/>
      <c r="L108" s="367"/>
      <c r="M108" s="367"/>
      <c r="N108" s="367"/>
      <c r="O108" s="367"/>
      <c r="P108" s="364"/>
      <c r="Q108" s="365"/>
      <c r="R108" s="365"/>
      <c r="S108" s="365"/>
      <c r="T108" s="365"/>
      <c r="U108" s="366"/>
      <c r="V108" s="367"/>
      <c r="W108" s="367"/>
      <c r="X108" s="367"/>
      <c r="Y108" s="367"/>
      <c r="Z108" s="367"/>
      <c r="AA108" s="367"/>
      <c r="AB108" s="367"/>
      <c r="AC108" s="367"/>
      <c r="AD108" s="367"/>
      <c r="AE108" s="367"/>
      <c r="AF108" s="367"/>
      <c r="AG108" s="367"/>
      <c r="AH108" s="367"/>
      <c r="AI108" s="367"/>
      <c r="AJ108" s="367"/>
      <c r="AK108" s="367"/>
      <c r="AL108" s="367"/>
      <c r="AM108" s="367"/>
      <c r="AN108" s="367"/>
      <c r="AO108" s="367"/>
      <c r="AP108" s="367"/>
      <c r="AQ108" s="367"/>
      <c r="AR108" s="367"/>
      <c r="AS108" s="367"/>
      <c r="AT108" s="368"/>
      <c r="AU108" s="367"/>
    </row>
    <row r="109" spans="1:47" ht="12.75">
      <c r="A109" s="367"/>
      <c r="B109" s="367"/>
      <c r="C109" s="367"/>
      <c r="D109" s="367"/>
      <c r="E109" s="367"/>
      <c r="F109" s="367"/>
      <c r="G109" s="367"/>
      <c r="H109" s="367"/>
      <c r="I109" s="367"/>
      <c r="J109" s="367"/>
      <c r="K109" s="367"/>
      <c r="L109" s="367"/>
      <c r="M109" s="367"/>
      <c r="N109" s="367"/>
      <c r="O109" s="367"/>
      <c r="P109" s="364"/>
      <c r="Q109" s="365"/>
      <c r="R109" s="365"/>
      <c r="S109" s="365"/>
      <c r="T109" s="365"/>
      <c r="U109" s="366"/>
      <c r="V109" s="367"/>
      <c r="W109" s="367"/>
      <c r="X109" s="367"/>
      <c r="Y109" s="367"/>
      <c r="Z109" s="367"/>
      <c r="AA109" s="367"/>
      <c r="AB109" s="367"/>
      <c r="AC109" s="367"/>
      <c r="AD109" s="367"/>
      <c r="AE109" s="367"/>
      <c r="AF109" s="367"/>
      <c r="AG109" s="367"/>
      <c r="AH109" s="367"/>
      <c r="AI109" s="367"/>
      <c r="AJ109" s="367"/>
      <c r="AK109" s="367"/>
      <c r="AL109" s="367"/>
      <c r="AM109" s="367"/>
      <c r="AN109" s="367"/>
      <c r="AO109" s="367"/>
      <c r="AP109" s="367"/>
      <c r="AQ109" s="367"/>
      <c r="AR109" s="367"/>
      <c r="AS109" s="367"/>
      <c r="AT109" s="368"/>
      <c r="AU109" s="367"/>
    </row>
    <row r="110" spans="1:47" ht="12.75">
      <c r="A110" s="367"/>
      <c r="B110" s="367"/>
      <c r="C110" s="367"/>
      <c r="D110" s="367"/>
      <c r="E110" s="367"/>
      <c r="F110" s="367"/>
      <c r="G110" s="367"/>
      <c r="H110" s="367"/>
      <c r="I110" s="367"/>
      <c r="J110" s="367"/>
      <c r="K110" s="367"/>
      <c r="L110" s="367"/>
      <c r="M110" s="367"/>
      <c r="N110" s="367"/>
      <c r="O110" s="367"/>
      <c r="P110" s="364"/>
      <c r="Q110" s="365"/>
      <c r="R110" s="365"/>
      <c r="S110" s="365"/>
      <c r="T110" s="365"/>
      <c r="U110" s="366"/>
      <c r="V110" s="367"/>
      <c r="W110" s="367"/>
      <c r="X110" s="367"/>
      <c r="Y110" s="367"/>
      <c r="Z110" s="367"/>
      <c r="AA110" s="367"/>
      <c r="AB110" s="367"/>
      <c r="AC110" s="367"/>
      <c r="AD110" s="367"/>
      <c r="AE110" s="367"/>
      <c r="AF110" s="367"/>
      <c r="AG110" s="367"/>
      <c r="AH110" s="367"/>
      <c r="AI110" s="367"/>
      <c r="AJ110" s="367"/>
      <c r="AK110" s="367"/>
      <c r="AL110" s="367"/>
      <c r="AM110" s="367"/>
      <c r="AN110" s="367"/>
      <c r="AO110" s="367"/>
      <c r="AP110" s="367"/>
      <c r="AQ110" s="367"/>
      <c r="AR110" s="367"/>
      <c r="AS110" s="367"/>
      <c r="AT110" s="368"/>
      <c r="AU110" s="367"/>
    </row>
    <row r="111" spans="1:47" ht="12.75">
      <c r="A111" s="367"/>
      <c r="B111" s="367"/>
      <c r="C111" s="367"/>
      <c r="D111" s="367"/>
      <c r="E111" s="367"/>
      <c r="F111" s="367"/>
      <c r="G111" s="367"/>
      <c r="H111" s="367"/>
      <c r="I111" s="367"/>
      <c r="J111" s="367"/>
      <c r="K111" s="367"/>
      <c r="L111" s="367"/>
      <c r="M111" s="367"/>
      <c r="N111" s="367"/>
      <c r="O111" s="367"/>
      <c r="P111" s="364"/>
      <c r="Q111" s="365"/>
      <c r="R111" s="365"/>
      <c r="S111" s="365"/>
      <c r="T111" s="365"/>
      <c r="U111" s="366"/>
      <c r="V111" s="367"/>
      <c r="W111" s="367"/>
      <c r="X111" s="367"/>
      <c r="Y111" s="367"/>
      <c r="Z111" s="367"/>
      <c r="AA111" s="367"/>
      <c r="AB111" s="367"/>
      <c r="AC111" s="367"/>
      <c r="AD111" s="367"/>
      <c r="AE111" s="367"/>
      <c r="AF111" s="367"/>
      <c r="AG111" s="367"/>
      <c r="AH111" s="367"/>
      <c r="AI111" s="367"/>
      <c r="AJ111" s="367"/>
      <c r="AK111" s="367"/>
      <c r="AL111" s="367"/>
      <c r="AM111" s="367"/>
      <c r="AN111" s="367"/>
      <c r="AO111" s="367"/>
      <c r="AP111" s="367"/>
      <c r="AQ111" s="367"/>
      <c r="AR111" s="367"/>
      <c r="AS111" s="367"/>
      <c r="AT111" s="368"/>
      <c r="AU111" s="367"/>
    </row>
    <row r="112" spans="1:47" ht="12.75">
      <c r="A112" s="367"/>
      <c r="B112" s="367"/>
      <c r="C112" s="367"/>
      <c r="D112" s="367"/>
      <c r="E112" s="367"/>
      <c r="F112" s="367"/>
      <c r="G112" s="367"/>
      <c r="H112" s="367"/>
      <c r="I112" s="367"/>
      <c r="J112" s="367"/>
      <c r="K112" s="367"/>
      <c r="L112" s="367"/>
      <c r="M112" s="367"/>
      <c r="N112" s="367"/>
      <c r="O112" s="367"/>
      <c r="P112" s="364"/>
      <c r="Q112" s="365"/>
      <c r="R112" s="365"/>
      <c r="S112" s="365"/>
      <c r="T112" s="365"/>
      <c r="U112" s="366"/>
      <c r="V112" s="367"/>
      <c r="W112" s="367"/>
      <c r="X112" s="367"/>
      <c r="Y112" s="367"/>
      <c r="Z112" s="367"/>
      <c r="AA112" s="367"/>
      <c r="AB112" s="367"/>
      <c r="AC112" s="367"/>
      <c r="AD112" s="367"/>
      <c r="AE112" s="367"/>
      <c r="AF112" s="367"/>
      <c r="AG112" s="367"/>
      <c r="AH112" s="367"/>
      <c r="AI112" s="367"/>
      <c r="AJ112" s="367"/>
      <c r="AK112" s="367"/>
      <c r="AL112" s="367"/>
      <c r="AM112" s="367"/>
      <c r="AN112" s="367"/>
      <c r="AO112" s="367"/>
      <c r="AP112" s="367"/>
      <c r="AQ112" s="367"/>
      <c r="AR112" s="367"/>
      <c r="AS112" s="367"/>
      <c r="AT112" s="368"/>
      <c r="AU112" s="367"/>
    </row>
    <row r="113" spans="1:47" ht="12.75">
      <c r="A113" s="367"/>
      <c r="B113" s="367"/>
      <c r="C113" s="367"/>
      <c r="D113" s="367"/>
      <c r="E113" s="367"/>
      <c r="F113" s="367"/>
      <c r="G113" s="367"/>
      <c r="H113" s="367"/>
      <c r="I113" s="367"/>
      <c r="J113" s="367"/>
      <c r="K113" s="367"/>
      <c r="L113" s="367"/>
      <c r="M113" s="367"/>
      <c r="N113" s="367"/>
      <c r="O113" s="367"/>
      <c r="P113" s="364"/>
      <c r="Q113" s="365"/>
      <c r="R113" s="365"/>
      <c r="S113" s="365"/>
      <c r="T113" s="365"/>
      <c r="U113" s="366"/>
      <c r="V113" s="367"/>
      <c r="W113" s="367"/>
      <c r="X113" s="367"/>
      <c r="Y113" s="367"/>
      <c r="Z113" s="367"/>
      <c r="AA113" s="367"/>
      <c r="AB113" s="367"/>
      <c r="AC113" s="367"/>
      <c r="AD113" s="367"/>
      <c r="AE113" s="367"/>
      <c r="AF113" s="367"/>
      <c r="AG113" s="367"/>
      <c r="AH113" s="367"/>
      <c r="AI113" s="367"/>
      <c r="AJ113" s="367"/>
      <c r="AK113" s="367"/>
      <c r="AL113" s="367"/>
      <c r="AM113" s="367"/>
      <c r="AN113" s="367"/>
      <c r="AO113" s="367"/>
      <c r="AP113" s="367"/>
      <c r="AQ113" s="367"/>
      <c r="AR113" s="367"/>
      <c r="AS113" s="367"/>
      <c r="AT113" s="368"/>
      <c r="AU113" s="367"/>
    </row>
    <row r="114" spans="1:47" ht="12.75">
      <c r="A114" s="367"/>
      <c r="B114" s="367"/>
      <c r="C114" s="367"/>
      <c r="D114" s="367"/>
      <c r="E114" s="367"/>
      <c r="F114" s="367"/>
      <c r="G114" s="367"/>
      <c r="H114" s="367"/>
      <c r="I114" s="367"/>
      <c r="J114" s="367"/>
      <c r="K114" s="367"/>
      <c r="L114" s="367"/>
      <c r="M114" s="367"/>
      <c r="N114" s="367"/>
      <c r="O114" s="367"/>
      <c r="P114" s="364"/>
      <c r="Q114" s="365"/>
      <c r="R114" s="365"/>
      <c r="S114" s="365"/>
      <c r="T114" s="365"/>
      <c r="U114" s="366"/>
      <c r="V114" s="367"/>
      <c r="W114" s="367"/>
      <c r="X114" s="367"/>
      <c r="Y114" s="367"/>
      <c r="Z114" s="367"/>
      <c r="AA114" s="367"/>
      <c r="AB114" s="367"/>
      <c r="AC114" s="367"/>
      <c r="AD114" s="367"/>
      <c r="AE114" s="367"/>
      <c r="AF114" s="367"/>
      <c r="AG114" s="367"/>
      <c r="AH114" s="367"/>
      <c r="AI114" s="367"/>
      <c r="AJ114" s="367"/>
      <c r="AK114" s="367"/>
      <c r="AL114" s="367"/>
      <c r="AM114" s="367"/>
      <c r="AN114" s="367"/>
      <c r="AO114" s="367"/>
      <c r="AP114" s="367"/>
      <c r="AQ114" s="367"/>
      <c r="AR114" s="367"/>
      <c r="AS114" s="367"/>
      <c r="AT114" s="368"/>
      <c r="AU114" s="367"/>
    </row>
    <row r="115" spans="1:47" ht="12.75">
      <c r="A115" s="367"/>
      <c r="B115" s="367"/>
      <c r="C115" s="367"/>
      <c r="D115" s="367"/>
      <c r="E115" s="367"/>
      <c r="F115" s="367"/>
      <c r="G115" s="367"/>
      <c r="H115" s="367"/>
      <c r="I115" s="367"/>
      <c r="J115" s="367"/>
      <c r="K115" s="367"/>
      <c r="L115" s="367"/>
      <c r="M115" s="367"/>
      <c r="N115" s="367"/>
      <c r="O115" s="367"/>
      <c r="P115" s="364"/>
      <c r="Q115" s="365"/>
      <c r="R115" s="365"/>
      <c r="S115" s="365"/>
      <c r="T115" s="365"/>
      <c r="U115" s="366"/>
      <c r="V115" s="367"/>
      <c r="W115" s="367"/>
      <c r="X115" s="367"/>
      <c r="Y115" s="367"/>
      <c r="Z115" s="367"/>
      <c r="AA115" s="367"/>
      <c r="AB115" s="367"/>
      <c r="AC115" s="367"/>
      <c r="AD115" s="367"/>
      <c r="AE115" s="367"/>
      <c r="AF115" s="367"/>
      <c r="AG115" s="367"/>
      <c r="AH115" s="367"/>
      <c r="AI115" s="367"/>
      <c r="AJ115" s="367"/>
      <c r="AK115" s="367"/>
      <c r="AL115" s="367"/>
      <c r="AM115" s="367"/>
      <c r="AN115" s="367"/>
      <c r="AO115" s="367"/>
      <c r="AP115" s="367"/>
      <c r="AQ115" s="367"/>
      <c r="AR115" s="367"/>
      <c r="AS115" s="367"/>
      <c r="AT115" s="368"/>
      <c r="AU115" s="367"/>
    </row>
    <row r="116" spans="1:47" ht="12.75">
      <c r="A116" s="367"/>
      <c r="B116" s="367"/>
      <c r="C116" s="367"/>
      <c r="D116" s="367"/>
      <c r="E116" s="367"/>
      <c r="F116" s="367"/>
      <c r="G116" s="367"/>
      <c r="H116" s="367"/>
      <c r="I116" s="367"/>
      <c r="J116" s="367"/>
      <c r="K116" s="367"/>
      <c r="L116" s="367"/>
      <c r="M116" s="367"/>
      <c r="N116" s="367"/>
      <c r="O116" s="367"/>
      <c r="P116" s="364"/>
      <c r="Q116" s="365"/>
      <c r="R116" s="365"/>
      <c r="S116" s="365"/>
      <c r="T116" s="365"/>
      <c r="U116" s="366"/>
      <c r="V116" s="367"/>
      <c r="W116" s="367"/>
      <c r="X116" s="367"/>
      <c r="Y116" s="367"/>
      <c r="Z116" s="367"/>
      <c r="AA116" s="367"/>
      <c r="AB116" s="367"/>
      <c r="AC116" s="367"/>
      <c r="AD116" s="367"/>
      <c r="AE116" s="367"/>
      <c r="AF116" s="367"/>
      <c r="AG116" s="367"/>
      <c r="AH116" s="367"/>
      <c r="AI116" s="367"/>
      <c r="AJ116" s="367"/>
      <c r="AK116" s="367"/>
      <c r="AL116" s="367"/>
      <c r="AM116" s="367"/>
      <c r="AN116" s="367"/>
      <c r="AO116" s="367"/>
      <c r="AP116" s="367"/>
      <c r="AQ116" s="367"/>
      <c r="AR116" s="367"/>
      <c r="AS116" s="367"/>
      <c r="AT116" s="368"/>
      <c r="AU116" s="367"/>
    </row>
    <row r="117" spans="1:47" ht="12.75">
      <c r="A117" s="367"/>
      <c r="B117" s="367"/>
      <c r="C117" s="367"/>
      <c r="D117" s="367"/>
      <c r="E117" s="367"/>
      <c r="F117" s="367"/>
      <c r="G117" s="367"/>
      <c r="H117" s="367"/>
      <c r="I117" s="367"/>
      <c r="J117" s="367"/>
      <c r="K117" s="367"/>
      <c r="L117" s="367"/>
      <c r="M117" s="367"/>
      <c r="N117" s="367"/>
      <c r="O117" s="367"/>
      <c r="P117" s="364"/>
      <c r="Q117" s="365"/>
      <c r="R117" s="365"/>
      <c r="S117" s="365"/>
      <c r="T117" s="365"/>
      <c r="U117" s="366"/>
      <c r="V117" s="367"/>
      <c r="W117" s="367"/>
      <c r="X117" s="367"/>
      <c r="Y117" s="367"/>
      <c r="Z117" s="367"/>
      <c r="AA117" s="367"/>
      <c r="AB117" s="367"/>
      <c r="AC117" s="367"/>
      <c r="AD117" s="367"/>
      <c r="AE117" s="367"/>
      <c r="AF117" s="367"/>
      <c r="AG117" s="367"/>
      <c r="AH117" s="367"/>
      <c r="AI117" s="367"/>
      <c r="AJ117" s="367"/>
      <c r="AK117" s="367"/>
      <c r="AL117" s="367"/>
      <c r="AM117" s="367"/>
      <c r="AN117" s="367"/>
      <c r="AO117" s="367"/>
      <c r="AP117" s="367"/>
      <c r="AQ117" s="367"/>
      <c r="AR117" s="367"/>
      <c r="AS117" s="367"/>
      <c r="AT117" s="368"/>
      <c r="AU117" s="367"/>
    </row>
    <row r="118" spans="1:47" ht="12.75">
      <c r="A118" s="367"/>
      <c r="B118" s="367"/>
      <c r="C118" s="367"/>
      <c r="D118" s="367"/>
      <c r="E118" s="367"/>
      <c r="F118" s="367"/>
      <c r="G118" s="367"/>
      <c r="H118" s="367"/>
      <c r="I118" s="367"/>
      <c r="J118" s="367"/>
      <c r="K118" s="367"/>
      <c r="L118" s="367"/>
      <c r="M118" s="367"/>
      <c r="N118" s="367"/>
      <c r="O118" s="367"/>
      <c r="P118" s="364"/>
      <c r="Q118" s="365"/>
      <c r="R118" s="365"/>
      <c r="S118" s="365"/>
      <c r="T118" s="365"/>
      <c r="U118" s="366"/>
      <c r="V118" s="367"/>
      <c r="W118" s="367"/>
      <c r="X118" s="367"/>
      <c r="Y118" s="367"/>
      <c r="Z118" s="367"/>
      <c r="AA118" s="367"/>
      <c r="AB118" s="367"/>
      <c r="AC118" s="367"/>
      <c r="AD118" s="367"/>
      <c r="AE118" s="367"/>
      <c r="AF118" s="367"/>
      <c r="AG118" s="367"/>
      <c r="AH118" s="367"/>
      <c r="AI118" s="367"/>
      <c r="AJ118" s="367"/>
      <c r="AK118" s="367"/>
      <c r="AL118" s="367"/>
      <c r="AM118" s="367"/>
      <c r="AN118" s="367"/>
      <c r="AO118" s="367"/>
      <c r="AP118" s="367"/>
      <c r="AQ118" s="367"/>
      <c r="AR118" s="367"/>
      <c r="AS118" s="367"/>
      <c r="AT118" s="368"/>
      <c r="AU118" s="367"/>
    </row>
    <row r="119" spans="1:47" ht="12.75">
      <c r="A119" s="367"/>
      <c r="B119" s="367"/>
      <c r="C119" s="367"/>
      <c r="D119" s="367"/>
      <c r="E119" s="367"/>
      <c r="F119" s="367"/>
      <c r="G119" s="367"/>
      <c r="H119" s="367"/>
      <c r="I119" s="367"/>
      <c r="J119" s="367"/>
      <c r="K119" s="367"/>
      <c r="L119" s="367"/>
      <c r="M119" s="367"/>
      <c r="N119" s="367"/>
      <c r="O119" s="367"/>
      <c r="P119" s="364"/>
      <c r="Q119" s="365"/>
      <c r="R119" s="365"/>
      <c r="S119" s="365"/>
      <c r="T119" s="365"/>
      <c r="U119" s="366"/>
      <c r="V119" s="367"/>
      <c r="W119" s="367"/>
      <c r="X119" s="367"/>
      <c r="Y119" s="367"/>
      <c r="Z119" s="367"/>
      <c r="AA119" s="367"/>
      <c r="AB119" s="367"/>
      <c r="AC119" s="367"/>
      <c r="AD119" s="367"/>
      <c r="AE119" s="367"/>
      <c r="AF119" s="367"/>
      <c r="AG119" s="367"/>
      <c r="AH119" s="367"/>
      <c r="AI119" s="367"/>
      <c r="AJ119" s="367"/>
      <c r="AK119" s="367"/>
      <c r="AL119" s="367"/>
      <c r="AM119" s="367"/>
      <c r="AN119" s="367"/>
      <c r="AO119" s="367"/>
      <c r="AP119" s="367"/>
      <c r="AQ119" s="367"/>
      <c r="AR119" s="367"/>
      <c r="AS119" s="367"/>
      <c r="AT119" s="368"/>
      <c r="AU119" s="367"/>
    </row>
    <row r="120" spans="1:47" ht="12.75">
      <c r="A120" s="367"/>
      <c r="B120" s="367"/>
      <c r="C120" s="367"/>
      <c r="D120" s="367"/>
      <c r="E120" s="367"/>
      <c r="F120" s="367"/>
      <c r="G120" s="367"/>
      <c r="H120" s="367"/>
      <c r="I120" s="367"/>
      <c r="J120" s="367"/>
      <c r="K120" s="367"/>
      <c r="L120" s="367"/>
      <c r="M120" s="367"/>
      <c r="N120" s="367"/>
      <c r="O120" s="367"/>
      <c r="P120" s="364"/>
      <c r="Q120" s="365"/>
      <c r="R120" s="365"/>
      <c r="S120" s="365"/>
      <c r="T120" s="365"/>
      <c r="U120" s="366"/>
      <c r="V120" s="367"/>
      <c r="W120" s="367"/>
      <c r="X120" s="367"/>
      <c r="Y120" s="367"/>
      <c r="Z120" s="367"/>
      <c r="AA120" s="367"/>
      <c r="AB120" s="367"/>
      <c r="AC120" s="367"/>
      <c r="AD120" s="367"/>
      <c r="AE120" s="367"/>
      <c r="AF120" s="367"/>
      <c r="AG120" s="367"/>
      <c r="AH120" s="367"/>
      <c r="AI120" s="367"/>
      <c r="AJ120" s="367"/>
      <c r="AK120" s="367"/>
      <c r="AL120" s="367"/>
      <c r="AM120" s="367"/>
      <c r="AN120" s="367"/>
      <c r="AO120" s="367"/>
      <c r="AP120" s="367"/>
      <c r="AQ120" s="367"/>
      <c r="AR120" s="367"/>
      <c r="AS120" s="367"/>
      <c r="AT120" s="368"/>
      <c r="AU120" s="367"/>
    </row>
    <row r="121" spans="1:47" ht="12.75">
      <c r="A121" s="367"/>
      <c r="B121" s="367"/>
      <c r="C121" s="367"/>
      <c r="D121" s="367"/>
      <c r="E121" s="367"/>
      <c r="F121" s="367"/>
      <c r="G121" s="367"/>
      <c r="H121" s="367"/>
      <c r="I121" s="367"/>
      <c r="J121" s="367"/>
      <c r="K121" s="367"/>
      <c r="L121" s="367"/>
      <c r="M121" s="367"/>
      <c r="N121" s="367"/>
      <c r="O121" s="367"/>
      <c r="P121" s="364"/>
      <c r="Q121" s="365"/>
      <c r="R121" s="365"/>
      <c r="S121" s="365"/>
      <c r="T121" s="365"/>
      <c r="U121" s="366"/>
      <c r="V121" s="367"/>
      <c r="W121" s="367"/>
      <c r="X121" s="367"/>
      <c r="Y121" s="367"/>
      <c r="Z121" s="367"/>
      <c r="AA121" s="367"/>
      <c r="AB121" s="367"/>
      <c r="AC121" s="367"/>
      <c r="AD121" s="367"/>
      <c r="AE121" s="367"/>
      <c r="AF121" s="367"/>
      <c r="AG121" s="367"/>
      <c r="AH121" s="367"/>
      <c r="AI121" s="367"/>
      <c r="AJ121" s="367"/>
      <c r="AK121" s="367"/>
      <c r="AL121" s="367"/>
      <c r="AM121" s="367"/>
      <c r="AN121" s="367"/>
      <c r="AO121" s="367"/>
      <c r="AP121" s="367"/>
      <c r="AQ121" s="367"/>
      <c r="AR121" s="367"/>
      <c r="AS121" s="367"/>
      <c r="AT121" s="368"/>
      <c r="AU121" s="367"/>
    </row>
    <row r="122" spans="1:47" ht="12.75">
      <c r="A122" s="367"/>
      <c r="B122" s="367"/>
      <c r="C122" s="367"/>
      <c r="D122" s="367"/>
      <c r="E122" s="367"/>
      <c r="F122" s="367"/>
      <c r="G122" s="367"/>
      <c r="H122" s="367"/>
      <c r="I122" s="367"/>
      <c r="J122" s="367"/>
      <c r="K122" s="367"/>
      <c r="L122" s="367"/>
      <c r="M122" s="367"/>
      <c r="N122" s="367"/>
      <c r="O122" s="367"/>
      <c r="P122" s="364"/>
      <c r="Q122" s="365"/>
      <c r="R122" s="365"/>
      <c r="S122" s="365"/>
      <c r="T122" s="365"/>
      <c r="U122" s="366"/>
      <c r="V122" s="367"/>
      <c r="W122" s="367"/>
      <c r="X122" s="367"/>
      <c r="Y122" s="367"/>
      <c r="Z122" s="367"/>
      <c r="AA122" s="367"/>
      <c r="AB122" s="367"/>
      <c r="AC122" s="367"/>
      <c r="AD122" s="367"/>
      <c r="AE122" s="367"/>
      <c r="AF122" s="367"/>
      <c r="AG122" s="367"/>
      <c r="AH122" s="367"/>
      <c r="AI122" s="367"/>
      <c r="AJ122" s="367"/>
      <c r="AK122" s="367"/>
      <c r="AL122" s="367"/>
      <c r="AM122" s="367"/>
      <c r="AN122" s="367"/>
      <c r="AO122" s="367"/>
      <c r="AP122" s="367"/>
      <c r="AQ122" s="367"/>
      <c r="AR122" s="367"/>
      <c r="AS122" s="367"/>
      <c r="AT122" s="368"/>
      <c r="AU122" s="367"/>
    </row>
    <row r="123" spans="1:47" ht="12.75">
      <c r="A123" s="367"/>
      <c r="B123" s="367"/>
      <c r="C123" s="367"/>
      <c r="D123" s="367"/>
      <c r="E123" s="367"/>
      <c r="F123" s="367"/>
      <c r="G123" s="367"/>
      <c r="H123" s="367"/>
      <c r="I123" s="367"/>
      <c r="J123" s="367"/>
      <c r="K123" s="367"/>
      <c r="L123" s="367"/>
      <c r="M123" s="367"/>
      <c r="N123" s="367"/>
      <c r="O123" s="367"/>
      <c r="P123" s="364"/>
      <c r="Q123" s="365"/>
      <c r="R123" s="365"/>
      <c r="S123" s="365"/>
      <c r="T123" s="365"/>
      <c r="U123" s="366"/>
      <c r="V123" s="367"/>
      <c r="W123" s="367"/>
      <c r="X123" s="367"/>
      <c r="Y123" s="367"/>
      <c r="Z123" s="367"/>
      <c r="AA123" s="367"/>
      <c r="AB123" s="367"/>
      <c r="AC123" s="367"/>
      <c r="AD123" s="367"/>
      <c r="AE123" s="367"/>
      <c r="AF123" s="367"/>
      <c r="AG123" s="367"/>
      <c r="AH123" s="367"/>
      <c r="AI123" s="367"/>
      <c r="AJ123" s="367"/>
      <c r="AK123" s="367"/>
      <c r="AL123" s="367"/>
      <c r="AM123" s="367"/>
      <c r="AN123" s="367"/>
      <c r="AO123" s="367"/>
      <c r="AP123" s="367"/>
      <c r="AQ123" s="367"/>
      <c r="AR123" s="367"/>
      <c r="AS123" s="367"/>
      <c r="AT123" s="368"/>
      <c r="AU123" s="367"/>
    </row>
    <row r="124" spans="1:47" ht="12.75">
      <c r="A124" s="367"/>
      <c r="B124" s="367"/>
      <c r="C124" s="367"/>
      <c r="D124" s="367"/>
      <c r="E124" s="367"/>
      <c r="F124" s="367"/>
      <c r="G124" s="367"/>
      <c r="H124" s="367"/>
      <c r="I124" s="367"/>
      <c r="J124" s="367"/>
      <c r="K124" s="367"/>
      <c r="L124" s="367"/>
      <c r="M124" s="367"/>
      <c r="N124" s="367"/>
      <c r="O124" s="367"/>
      <c r="P124" s="364"/>
      <c r="Q124" s="365"/>
      <c r="R124" s="365"/>
      <c r="S124" s="365"/>
      <c r="T124" s="365"/>
      <c r="U124" s="366"/>
      <c r="V124" s="367"/>
      <c r="W124" s="367"/>
      <c r="X124" s="367"/>
      <c r="Y124" s="367"/>
      <c r="Z124" s="367"/>
      <c r="AA124" s="367"/>
      <c r="AB124" s="367"/>
      <c r="AC124" s="367"/>
      <c r="AD124" s="367"/>
      <c r="AE124" s="367"/>
      <c r="AF124" s="367"/>
      <c r="AG124" s="367"/>
      <c r="AH124" s="367"/>
      <c r="AI124" s="367"/>
      <c r="AJ124" s="367"/>
      <c r="AK124" s="367"/>
      <c r="AL124" s="367"/>
      <c r="AM124" s="367"/>
      <c r="AN124" s="367"/>
      <c r="AO124" s="367"/>
      <c r="AP124" s="367"/>
      <c r="AQ124" s="367"/>
      <c r="AR124" s="367"/>
      <c r="AS124" s="367"/>
      <c r="AT124" s="368"/>
      <c r="AU124" s="367"/>
    </row>
    <row r="125" spans="1:47" ht="12.75">
      <c r="A125" s="367"/>
      <c r="B125" s="367"/>
      <c r="C125" s="367"/>
      <c r="D125" s="367"/>
      <c r="E125" s="367"/>
      <c r="F125" s="367"/>
      <c r="G125" s="367"/>
      <c r="H125" s="367"/>
      <c r="I125" s="367"/>
      <c r="J125" s="367"/>
      <c r="K125" s="367"/>
      <c r="L125" s="367"/>
      <c r="M125" s="367"/>
      <c r="N125" s="367"/>
      <c r="O125" s="367"/>
      <c r="P125" s="364"/>
      <c r="Q125" s="365"/>
      <c r="R125" s="365"/>
      <c r="S125" s="365"/>
      <c r="T125" s="365"/>
      <c r="U125" s="366"/>
      <c r="V125" s="367"/>
      <c r="W125" s="367"/>
      <c r="X125" s="367"/>
      <c r="Y125" s="367"/>
      <c r="Z125" s="367"/>
      <c r="AA125" s="367"/>
      <c r="AB125" s="367"/>
      <c r="AC125" s="367"/>
      <c r="AD125" s="367"/>
      <c r="AE125" s="367"/>
      <c r="AF125" s="367"/>
      <c r="AG125" s="367"/>
      <c r="AH125" s="367"/>
      <c r="AI125" s="367"/>
      <c r="AJ125" s="367"/>
      <c r="AK125" s="367"/>
      <c r="AL125" s="367"/>
      <c r="AM125" s="367"/>
      <c r="AN125" s="367"/>
      <c r="AO125" s="367"/>
      <c r="AP125" s="367"/>
      <c r="AQ125" s="367"/>
      <c r="AR125" s="367"/>
      <c r="AS125" s="367"/>
      <c r="AT125" s="368"/>
      <c r="AU125" s="367"/>
    </row>
    <row r="126" spans="1:47" ht="12.75">
      <c r="A126" s="367"/>
      <c r="B126" s="367"/>
      <c r="C126" s="367"/>
      <c r="D126" s="367"/>
      <c r="E126" s="367"/>
      <c r="F126" s="367"/>
      <c r="G126" s="367"/>
      <c r="H126" s="367"/>
      <c r="I126" s="367"/>
      <c r="J126" s="367"/>
      <c r="K126" s="367"/>
      <c r="L126" s="367"/>
      <c r="M126" s="367"/>
      <c r="N126" s="367"/>
      <c r="O126" s="367"/>
      <c r="P126" s="364"/>
      <c r="Q126" s="365"/>
      <c r="R126" s="365"/>
      <c r="S126" s="365"/>
      <c r="T126" s="365"/>
      <c r="U126" s="366"/>
      <c r="V126" s="367"/>
      <c r="W126" s="367"/>
      <c r="X126" s="367"/>
      <c r="Y126" s="367"/>
      <c r="Z126" s="367"/>
      <c r="AA126" s="367"/>
      <c r="AB126" s="367"/>
      <c r="AC126" s="367"/>
      <c r="AD126" s="367"/>
      <c r="AE126" s="367"/>
      <c r="AF126" s="367"/>
      <c r="AG126" s="367"/>
      <c r="AH126" s="367"/>
      <c r="AI126" s="367"/>
      <c r="AJ126" s="367"/>
      <c r="AK126" s="367"/>
      <c r="AL126" s="367"/>
      <c r="AM126" s="367"/>
      <c r="AN126" s="367"/>
      <c r="AO126" s="367"/>
      <c r="AP126" s="367"/>
      <c r="AQ126" s="367"/>
      <c r="AR126" s="367"/>
      <c r="AS126" s="367"/>
      <c r="AT126" s="368"/>
      <c r="AU126" s="367"/>
    </row>
    <row r="127" spans="1:47" ht="12.75">
      <c r="A127" s="367"/>
      <c r="B127" s="367"/>
      <c r="C127" s="367"/>
      <c r="D127" s="367"/>
      <c r="E127" s="367"/>
      <c r="F127" s="367"/>
      <c r="G127" s="367"/>
      <c r="H127" s="367"/>
      <c r="I127" s="367"/>
      <c r="J127" s="367"/>
      <c r="K127" s="367"/>
      <c r="L127" s="367"/>
      <c r="M127" s="367"/>
      <c r="N127" s="367"/>
      <c r="O127" s="367"/>
      <c r="P127" s="364"/>
      <c r="Q127" s="365"/>
      <c r="R127" s="365"/>
      <c r="S127" s="365"/>
      <c r="T127" s="365"/>
      <c r="U127" s="366"/>
      <c r="V127" s="367"/>
      <c r="W127" s="367"/>
      <c r="X127" s="367"/>
      <c r="Y127" s="367"/>
      <c r="Z127" s="367"/>
      <c r="AA127" s="367"/>
      <c r="AB127" s="367"/>
      <c r="AC127" s="367"/>
      <c r="AD127" s="367"/>
      <c r="AE127" s="367"/>
      <c r="AF127" s="367"/>
      <c r="AG127" s="367"/>
      <c r="AH127" s="367"/>
      <c r="AI127" s="367"/>
      <c r="AJ127" s="367"/>
      <c r="AK127" s="367"/>
      <c r="AL127" s="367"/>
      <c r="AM127" s="367"/>
      <c r="AN127" s="367"/>
      <c r="AO127" s="367"/>
      <c r="AP127" s="367"/>
      <c r="AQ127" s="367"/>
      <c r="AR127" s="367"/>
      <c r="AS127" s="367"/>
      <c r="AT127" s="368"/>
      <c r="AU127" s="367"/>
    </row>
    <row r="128" spans="1:47" ht="12.75">
      <c r="A128" s="367"/>
      <c r="B128" s="367"/>
      <c r="C128" s="367"/>
      <c r="D128" s="367"/>
      <c r="E128" s="367"/>
      <c r="F128" s="367"/>
      <c r="G128" s="367"/>
      <c r="H128" s="367"/>
      <c r="I128" s="367"/>
      <c r="J128" s="367"/>
      <c r="K128" s="367"/>
      <c r="L128" s="367"/>
      <c r="M128" s="367"/>
      <c r="N128" s="367"/>
      <c r="O128" s="367"/>
      <c r="P128" s="364"/>
      <c r="Q128" s="365"/>
      <c r="R128" s="365"/>
      <c r="S128" s="365"/>
      <c r="T128" s="365"/>
      <c r="U128" s="366"/>
      <c r="V128" s="367"/>
      <c r="W128" s="367"/>
      <c r="X128" s="367"/>
      <c r="Y128" s="367"/>
      <c r="Z128" s="367"/>
      <c r="AA128" s="367"/>
      <c r="AB128" s="367"/>
      <c r="AC128" s="367"/>
      <c r="AD128" s="367"/>
      <c r="AE128" s="367"/>
      <c r="AF128" s="367"/>
      <c r="AG128" s="367"/>
      <c r="AH128" s="367"/>
      <c r="AI128" s="367"/>
      <c r="AJ128" s="367"/>
      <c r="AK128" s="367"/>
      <c r="AL128" s="367"/>
      <c r="AM128" s="367"/>
      <c r="AN128" s="367"/>
      <c r="AO128" s="367"/>
      <c r="AP128" s="367"/>
      <c r="AQ128" s="367"/>
      <c r="AR128" s="367"/>
      <c r="AS128" s="367"/>
      <c r="AT128" s="368"/>
      <c r="AU128" s="367"/>
    </row>
    <row r="129" spans="1:47" ht="12.75">
      <c r="A129" s="367"/>
      <c r="B129" s="367"/>
      <c r="C129" s="367"/>
      <c r="D129" s="367"/>
      <c r="E129" s="367"/>
      <c r="F129" s="367"/>
      <c r="G129" s="367"/>
      <c r="H129" s="367"/>
      <c r="I129" s="367"/>
      <c r="J129" s="367"/>
      <c r="K129" s="367"/>
      <c r="L129" s="367"/>
      <c r="M129" s="367"/>
      <c r="N129" s="367"/>
      <c r="O129" s="367"/>
      <c r="P129" s="364"/>
      <c r="Q129" s="365"/>
      <c r="R129" s="365"/>
      <c r="S129" s="365"/>
      <c r="T129" s="365"/>
      <c r="U129" s="366"/>
      <c r="V129" s="367"/>
      <c r="W129" s="367"/>
      <c r="X129" s="367"/>
      <c r="Y129" s="367"/>
      <c r="Z129" s="367"/>
      <c r="AA129" s="367"/>
      <c r="AB129" s="367"/>
      <c r="AC129" s="367"/>
      <c r="AD129" s="367"/>
      <c r="AE129" s="367"/>
      <c r="AF129" s="367"/>
      <c r="AG129" s="367"/>
      <c r="AH129" s="367"/>
      <c r="AI129" s="367"/>
      <c r="AJ129" s="367"/>
      <c r="AK129" s="367"/>
      <c r="AL129" s="367"/>
      <c r="AM129" s="367"/>
      <c r="AN129" s="367"/>
      <c r="AO129" s="367"/>
      <c r="AP129" s="367"/>
      <c r="AQ129" s="367"/>
      <c r="AR129" s="367"/>
      <c r="AS129" s="367"/>
      <c r="AT129" s="368"/>
      <c r="AU129" s="367"/>
    </row>
    <row r="130" spans="1:47" ht="12.75">
      <c r="A130" s="367"/>
      <c r="B130" s="367"/>
      <c r="C130" s="367"/>
      <c r="D130" s="367"/>
      <c r="E130" s="367"/>
      <c r="F130" s="367"/>
      <c r="G130" s="367"/>
      <c r="H130" s="367"/>
      <c r="I130" s="367"/>
      <c r="J130" s="367"/>
      <c r="K130" s="367"/>
      <c r="L130" s="367"/>
      <c r="M130" s="367"/>
      <c r="N130" s="367"/>
      <c r="O130" s="367"/>
      <c r="P130" s="364"/>
      <c r="Q130" s="365"/>
      <c r="R130" s="365"/>
      <c r="S130" s="365"/>
      <c r="T130" s="365"/>
      <c r="U130" s="366"/>
      <c r="V130" s="367"/>
      <c r="W130" s="367"/>
      <c r="X130" s="367"/>
      <c r="Y130" s="367"/>
      <c r="Z130" s="367"/>
      <c r="AA130" s="367"/>
      <c r="AB130" s="367"/>
      <c r="AC130" s="367"/>
      <c r="AD130" s="367"/>
      <c r="AE130" s="367"/>
      <c r="AF130" s="367"/>
      <c r="AG130" s="367"/>
      <c r="AH130" s="367"/>
      <c r="AI130" s="367"/>
      <c r="AJ130" s="367"/>
      <c r="AK130" s="367"/>
      <c r="AL130" s="367"/>
      <c r="AM130" s="367"/>
      <c r="AN130" s="367"/>
      <c r="AO130" s="367"/>
      <c r="AP130" s="367"/>
      <c r="AQ130" s="367"/>
      <c r="AR130" s="367"/>
      <c r="AS130" s="367"/>
      <c r="AT130" s="368"/>
      <c r="AU130" s="367"/>
    </row>
    <row r="131" spans="1:47" ht="12.75">
      <c r="A131" s="367"/>
      <c r="B131" s="367"/>
      <c r="C131" s="367"/>
      <c r="D131" s="367"/>
      <c r="E131" s="367"/>
      <c r="F131" s="367"/>
      <c r="G131" s="367"/>
      <c r="H131" s="367"/>
      <c r="I131" s="367"/>
      <c r="J131" s="367"/>
      <c r="K131" s="367"/>
      <c r="L131" s="367"/>
      <c r="M131" s="367"/>
      <c r="N131" s="367"/>
      <c r="O131" s="367"/>
      <c r="P131" s="364"/>
      <c r="Q131" s="365"/>
      <c r="R131" s="365"/>
      <c r="S131" s="365"/>
      <c r="T131" s="365"/>
      <c r="U131" s="366"/>
      <c r="V131" s="367"/>
      <c r="W131" s="367"/>
      <c r="X131" s="367"/>
      <c r="Y131" s="367"/>
      <c r="Z131" s="367"/>
      <c r="AA131" s="367"/>
      <c r="AB131" s="367"/>
      <c r="AC131" s="367"/>
      <c r="AD131" s="367"/>
      <c r="AE131" s="367"/>
      <c r="AF131" s="367"/>
      <c r="AG131" s="367"/>
      <c r="AH131" s="367"/>
      <c r="AI131" s="367"/>
      <c r="AJ131" s="367"/>
      <c r="AK131" s="367"/>
      <c r="AL131" s="367"/>
      <c r="AM131" s="367"/>
      <c r="AN131" s="367"/>
      <c r="AO131" s="367"/>
      <c r="AP131" s="367"/>
      <c r="AQ131" s="367"/>
      <c r="AR131" s="367"/>
      <c r="AS131" s="367"/>
      <c r="AT131" s="368"/>
      <c r="AU131" s="367"/>
    </row>
    <row r="132" spans="1:47" ht="12.75">
      <c r="A132" s="367"/>
      <c r="B132" s="367"/>
      <c r="C132" s="367"/>
      <c r="D132" s="367"/>
      <c r="E132" s="367"/>
      <c r="F132" s="367"/>
      <c r="G132" s="367"/>
      <c r="H132" s="367"/>
      <c r="I132" s="367"/>
      <c r="J132" s="367"/>
      <c r="K132" s="367"/>
      <c r="L132" s="367"/>
      <c r="M132" s="367"/>
      <c r="N132" s="367"/>
      <c r="O132" s="367"/>
      <c r="P132" s="364"/>
      <c r="Q132" s="365"/>
      <c r="R132" s="365"/>
      <c r="S132" s="365"/>
      <c r="T132" s="365"/>
      <c r="U132" s="366"/>
      <c r="V132" s="367"/>
      <c r="W132" s="367"/>
      <c r="X132" s="367"/>
      <c r="Y132" s="367"/>
      <c r="Z132" s="367"/>
      <c r="AA132" s="367"/>
      <c r="AB132" s="367"/>
      <c r="AC132" s="367"/>
      <c r="AD132" s="367"/>
      <c r="AE132" s="367"/>
      <c r="AF132" s="367"/>
      <c r="AG132" s="367"/>
      <c r="AH132" s="367"/>
      <c r="AI132" s="367"/>
      <c r="AJ132" s="367"/>
      <c r="AK132" s="367"/>
      <c r="AL132" s="367"/>
      <c r="AM132" s="367"/>
      <c r="AN132" s="367"/>
      <c r="AO132" s="367"/>
      <c r="AP132" s="367"/>
      <c r="AQ132" s="367"/>
      <c r="AR132" s="367"/>
      <c r="AS132" s="367"/>
      <c r="AT132" s="368"/>
      <c r="AU132" s="367"/>
    </row>
    <row r="133" spans="1:47" ht="12.75">
      <c r="A133" s="367"/>
      <c r="B133" s="367"/>
      <c r="C133" s="367"/>
      <c r="D133" s="367"/>
      <c r="E133" s="367"/>
      <c r="F133" s="367"/>
      <c r="G133" s="367"/>
      <c r="H133" s="367"/>
      <c r="I133" s="367"/>
      <c r="J133" s="367"/>
      <c r="K133" s="367"/>
      <c r="L133" s="367"/>
      <c r="M133" s="367"/>
      <c r="N133" s="367"/>
      <c r="O133" s="367"/>
      <c r="P133" s="364"/>
      <c r="Q133" s="365"/>
      <c r="R133" s="365"/>
      <c r="S133" s="365"/>
      <c r="T133" s="365"/>
      <c r="U133" s="366"/>
      <c r="V133" s="367"/>
      <c r="W133" s="367"/>
      <c r="X133" s="367"/>
      <c r="Y133" s="367"/>
      <c r="Z133" s="367"/>
      <c r="AA133" s="367"/>
      <c r="AB133" s="367"/>
      <c r="AC133" s="367"/>
      <c r="AD133" s="367"/>
      <c r="AE133" s="367"/>
      <c r="AF133" s="367"/>
      <c r="AG133" s="367"/>
      <c r="AH133" s="367"/>
      <c r="AI133" s="367"/>
      <c r="AJ133" s="367"/>
      <c r="AK133" s="367"/>
      <c r="AL133" s="367"/>
      <c r="AM133" s="367"/>
      <c r="AN133" s="367"/>
      <c r="AO133" s="367"/>
      <c r="AP133" s="367"/>
      <c r="AQ133" s="367"/>
      <c r="AR133" s="367"/>
      <c r="AS133" s="367"/>
      <c r="AT133" s="368"/>
      <c r="AU133" s="367"/>
    </row>
    <row r="134" spans="1:47" ht="12.75">
      <c r="A134" s="367"/>
      <c r="B134" s="367"/>
      <c r="C134" s="367"/>
      <c r="D134" s="367"/>
      <c r="E134" s="367"/>
      <c r="F134" s="367"/>
      <c r="G134" s="367"/>
      <c r="H134" s="367"/>
      <c r="I134" s="367"/>
      <c r="J134" s="367"/>
      <c r="K134" s="367"/>
      <c r="L134" s="367"/>
      <c r="M134" s="367"/>
      <c r="N134" s="367"/>
      <c r="O134" s="367"/>
      <c r="P134" s="364"/>
      <c r="Q134" s="365"/>
      <c r="R134" s="365"/>
      <c r="S134" s="365"/>
      <c r="T134" s="365"/>
      <c r="U134" s="366"/>
      <c r="V134" s="367"/>
      <c r="W134" s="367"/>
      <c r="X134" s="367"/>
      <c r="Y134" s="367"/>
      <c r="Z134" s="367"/>
      <c r="AA134" s="367"/>
      <c r="AB134" s="367"/>
      <c r="AC134" s="367"/>
      <c r="AD134" s="367"/>
      <c r="AE134" s="367"/>
      <c r="AF134" s="367"/>
      <c r="AG134" s="367"/>
      <c r="AH134" s="367"/>
      <c r="AI134" s="367"/>
      <c r="AJ134" s="367"/>
      <c r="AK134" s="367"/>
      <c r="AL134" s="367"/>
      <c r="AM134" s="367"/>
      <c r="AN134" s="367"/>
      <c r="AO134" s="367"/>
      <c r="AP134" s="367"/>
      <c r="AQ134" s="367"/>
      <c r="AR134" s="367"/>
      <c r="AS134" s="367"/>
      <c r="AT134" s="368"/>
      <c r="AU134" s="367"/>
    </row>
    <row r="135" spans="1:47" ht="12.75">
      <c r="A135" s="367"/>
      <c r="B135" s="367"/>
      <c r="C135" s="367"/>
      <c r="D135" s="367"/>
      <c r="E135" s="367"/>
      <c r="F135" s="367"/>
      <c r="G135" s="367"/>
      <c r="H135" s="367"/>
      <c r="I135" s="367"/>
      <c r="J135" s="367"/>
      <c r="K135" s="367"/>
      <c r="L135" s="367"/>
      <c r="M135" s="367"/>
      <c r="N135" s="367"/>
      <c r="O135" s="367"/>
      <c r="P135" s="364"/>
      <c r="Q135" s="365"/>
      <c r="R135" s="365"/>
      <c r="S135" s="365"/>
      <c r="T135" s="365"/>
      <c r="U135" s="366"/>
      <c r="V135" s="367"/>
      <c r="W135" s="367"/>
      <c r="X135" s="367"/>
      <c r="Y135" s="367"/>
      <c r="Z135" s="367"/>
      <c r="AA135" s="367"/>
      <c r="AB135" s="367"/>
      <c r="AC135" s="367"/>
      <c r="AD135" s="367"/>
      <c r="AE135" s="367"/>
      <c r="AF135" s="367"/>
      <c r="AG135" s="367"/>
      <c r="AH135" s="367"/>
      <c r="AI135" s="367"/>
      <c r="AJ135" s="367"/>
      <c r="AK135" s="367"/>
      <c r="AL135" s="367"/>
      <c r="AM135" s="367"/>
      <c r="AN135" s="367"/>
      <c r="AO135" s="367"/>
      <c r="AP135" s="367"/>
      <c r="AQ135" s="367"/>
      <c r="AR135" s="367"/>
      <c r="AS135" s="367"/>
      <c r="AT135" s="368"/>
      <c r="AU135" s="367"/>
    </row>
    <row r="136" spans="1:47" ht="12.75">
      <c r="A136" s="367"/>
      <c r="B136" s="367"/>
      <c r="C136" s="367"/>
      <c r="D136" s="367"/>
      <c r="E136" s="367"/>
      <c r="F136" s="367"/>
      <c r="G136" s="367"/>
      <c r="H136" s="367"/>
      <c r="I136" s="367"/>
      <c r="J136" s="367"/>
      <c r="K136" s="367"/>
      <c r="L136" s="367"/>
      <c r="M136" s="367"/>
      <c r="N136" s="367"/>
      <c r="O136" s="367"/>
      <c r="P136" s="364"/>
      <c r="Q136" s="365"/>
      <c r="R136" s="365"/>
      <c r="S136" s="365"/>
      <c r="T136" s="365"/>
      <c r="U136" s="366"/>
      <c r="V136" s="367"/>
      <c r="W136" s="367"/>
      <c r="X136" s="367"/>
      <c r="Y136" s="367"/>
      <c r="Z136" s="367"/>
      <c r="AA136" s="367"/>
      <c r="AB136" s="367"/>
      <c r="AC136" s="367"/>
      <c r="AD136" s="367"/>
      <c r="AE136" s="367"/>
      <c r="AF136" s="367"/>
      <c r="AG136" s="367"/>
      <c r="AH136" s="367"/>
      <c r="AI136" s="367"/>
      <c r="AJ136" s="367"/>
      <c r="AK136" s="367"/>
      <c r="AL136" s="367"/>
      <c r="AM136" s="367"/>
      <c r="AN136" s="367"/>
      <c r="AO136" s="367"/>
      <c r="AP136" s="367"/>
      <c r="AQ136" s="367"/>
      <c r="AR136" s="367"/>
      <c r="AS136" s="367"/>
      <c r="AT136" s="368"/>
      <c r="AU136" s="367"/>
    </row>
    <row r="137" spans="1:47" ht="12.75">
      <c r="A137" s="367"/>
      <c r="B137" s="367"/>
      <c r="C137" s="367"/>
      <c r="D137" s="367"/>
      <c r="E137" s="367"/>
      <c r="F137" s="367"/>
      <c r="G137" s="367"/>
      <c r="H137" s="367"/>
      <c r="I137" s="367"/>
      <c r="J137" s="367"/>
      <c r="K137" s="367"/>
      <c r="L137" s="367"/>
      <c r="M137" s="367"/>
      <c r="N137" s="367"/>
      <c r="O137" s="367"/>
      <c r="P137" s="364"/>
      <c r="Q137" s="365"/>
      <c r="R137" s="365"/>
      <c r="S137" s="365"/>
      <c r="T137" s="365"/>
      <c r="U137" s="366"/>
      <c r="V137" s="367"/>
      <c r="W137" s="367"/>
      <c r="X137" s="367"/>
      <c r="Y137" s="367"/>
      <c r="Z137" s="367"/>
      <c r="AA137" s="367"/>
      <c r="AB137" s="367"/>
      <c r="AC137" s="367"/>
      <c r="AD137" s="367"/>
      <c r="AE137" s="367"/>
      <c r="AF137" s="367"/>
      <c r="AG137" s="367"/>
      <c r="AH137" s="367"/>
      <c r="AI137" s="367"/>
      <c r="AJ137" s="367"/>
      <c r="AK137" s="367"/>
      <c r="AL137" s="367"/>
      <c r="AM137" s="367"/>
      <c r="AN137" s="367"/>
      <c r="AO137" s="367"/>
      <c r="AP137" s="367"/>
      <c r="AQ137" s="367"/>
      <c r="AR137" s="367"/>
      <c r="AS137" s="367"/>
      <c r="AT137" s="368"/>
      <c r="AU137" s="367"/>
    </row>
    <row r="138" spans="1:47" ht="12.75">
      <c r="A138" s="367"/>
      <c r="B138" s="367"/>
      <c r="C138" s="367"/>
      <c r="D138" s="367"/>
      <c r="E138" s="367"/>
      <c r="F138" s="367"/>
      <c r="G138" s="367"/>
      <c r="H138" s="367"/>
      <c r="I138" s="367"/>
      <c r="J138" s="367"/>
      <c r="K138" s="367"/>
      <c r="L138" s="367"/>
      <c r="M138" s="367"/>
      <c r="N138" s="367"/>
      <c r="O138" s="367"/>
      <c r="P138" s="364"/>
      <c r="Q138" s="365"/>
      <c r="R138" s="365"/>
      <c r="S138" s="365"/>
      <c r="T138" s="365"/>
      <c r="U138" s="366"/>
      <c r="V138" s="367"/>
      <c r="W138" s="367"/>
      <c r="X138" s="367"/>
      <c r="Y138" s="367"/>
      <c r="Z138" s="367"/>
      <c r="AA138" s="367"/>
      <c r="AB138" s="367"/>
      <c r="AC138" s="367"/>
      <c r="AD138" s="367"/>
      <c r="AE138" s="367"/>
      <c r="AF138" s="367"/>
      <c r="AG138" s="367"/>
      <c r="AH138" s="367"/>
      <c r="AI138" s="367"/>
      <c r="AJ138" s="367"/>
      <c r="AK138" s="367"/>
      <c r="AL138" s="367"/>
      <c r="AM138" s="367"/>
      <c r="AN138" s="367"/>
      <c r="AO138" s="367"/>
      <c r="AP138" s="367"/>
      <c r="AQ138" s="367"/>
      <c r="AR138" s="367"/>
      <c r="AS138" s="367"/>
      <c r="AT138" s="368"/>
      <c r="AU138" s="367"/>
    </row>
    <row r="139" spans="1:47" ht="12.75">
      <c r="A139" s="367"/>
      <c r="B139" s="367"/>
      <c r="C139" s="367"/>
      <c r="D139" s="367"/>
      <c r="E139" s="367"/>
      <c r="F139" s="367"/>
      <c r="G139" s="367"/>
      <c r="H139" s="367"/>
      <c r="I139" s="367"/>
      <c r="J139" s="367"/>
      <c r="K139" s="367"/>
      <c r="L139" s="367"/>
      <c r="M139" s="367"/>
      <c r="N139" s="367"/>
      <c r="O139" s="367"/>
      <c r="P139" s="364"/>
      <c r="Q139" s="365"/>
      <c r="R139" s="365"/>
      <c r="S139" s="365"/>
      <c r="T139" s="365"/>
      <c r="U139" s="366"/>
      <c r="V139" s="367"/>
      <c r="W139" s="367"/>
      <c r="X139" s="367"/>
      <c r="Y139" s="367"/>
      <c r="Z139" s="367"/>
      <c r="AA139" s="367"/>
      <c r="AB139" s="367"/>
      <c r="AC139" s="367"/>
      <c r="AD139" s="367"/>
      <c r="AE139" s="367"/>
      <c r="AF139" s="367"/>
      <c r="AG139" s="367"/>
      <c r="AH139" s="367"/>
      <c r="AI139" s="367"/>
      <c r="AJ139" s="367"/>
      <c r="AK139" s="367"/>
      <c r="AL139" s="367"/>
      <c r="AM139" s="367"/>
      <c r="AN139" s="367"/>
      <c r="AO139" s="367"/>
      <c r="AP139" s="367"/>
      <c r="AQ139" s="367"/>
      <c r="AR139" s="367"/>
      <c r="AS139" s="367"/>
      <c r="AT139" s="368"/>
      <c r="AU139" s="367"/>
    </row>
    <row r="140" spans="1:47" ht="12.75">
      <c r="A140" s="367"/>
      <c r="B140" s="367"/>
      <c r="C140" s="367"/>
      <c r="D140" s="367"/>
      <c r="E140" s="367"/>
      <c r="F140" s="367"/>
      <c r="G140" s="367"/>
      <c r="H140" s="367"/>
      <c r="I140" s="367"/>
      <c r="J140" s="367"/>
      <c r="K140" s="367"/>
      <c r="L140" s="367"/>
      <c r="M140" s="367"/>
      <c r="N140" s="367"/>
      <c r="O140" s="367"/>
      <c r="P140" s="364"/>
      <c r="Q140" s="365"/>
      <c r="R140" s="365"/>
      <c r="S140" s="365"/>
      <c r="T140" s="365"/>
      <c r="U140" s="366"/>
      <c r="V140" s="367"/>
      <c r="W140" s="367"/>
      <c r="X140" s="367"/>
      <c r="Y140" s="367"/>
      <c r="Z140" s="367"/>
      <c r="AA140" s="367"/>
      <c r="AB140" s="367"/>
      <c r="AC140" s="367"/>
      <c r="AD140" s="367"/>
      <c r="AE140" s="367"/>
      <c r="AF140" s="367"/>
      <c r="AG140" s="367"/>
      <c r="AH140" s="367"/>
      <c r="AI140" s="367"/>
      <c r="AJ140" s="367"/>
      <c r="AK140" s="367"/>
      <c r="AL140" s="367"/>
      <c r="AM140" s="367"/>
      <c r="AN140" s="367"/>
      <c r="AO140" s="367"/>
      <c r="AP140" s="367"/>
      <c r="AQ140" s="367"/>
      <c r="AR140" s="367"/>
      <c r="AS140" s="367"/>
      <c r="AT140" s="368"/>
      <c r="AU140" s="367"/>
    </row>
    <row r="141" spans="1:47" ht="12.75">
      <c r="A141" s="367"/>
      <c r="B141" s="367"/>
      <c r="C141" s="367"/>
      <c r="D141" s="367"/>
      <c r="E141" s="367"/>
      <c r="F141" s="367"/>
      <c r="G141" s="367"/>
      <c r="H141" s="367"/>
      <c r="I141" s="367"/>
      <c r="J141" s="367"/>
      <c r="K141" s="367"/>
      <c r="L141" s="367"/>
      <c r="M141" s="367"/>
      <c r="N141" s="367"/>
      <c r="O141" s="367"/>
      <c r="P141" s="364"/>
      <c r="Q141" s="365"/>
      <c r="R141" s="365"/>
      <c r="S141" s="365"/>
      <c r="T141" s="365"/>
      <c r="U141" s="366"/>
      <c r="V141" s="367"/>
      <c r="W141" s="367"/>
      <c r="X141" s="367"/>
      <c r="Y141" s="367"/>
      <c r="Z141" s="367"/>
      <c r="AA141" s="367"/>
      <c r="AB141" s="367"/>
      <c r="AC141" s="367"/>
      <c r="AD141" s="367"/>
      <c r="AE141" s="367"/>
      <c r="AF141" s="367"/>
      <c r="AG141" s="367"/>
      <c r="AH141" s="367"/>
      <c r="AI141" s="367"/>
      <c r="AJ141" s="367"/>
      <c r="AK141" s="367"/>
      <c r="AL141" s="367"/>
      <c r="AM141" s="367"/>
      <c r="AN141" s="367"/>
      <c r="AO141" s="367"/>
      <c r="AP141" s="367"/>
      <c r="AQ141" s="367"/>
      <c r="AR141" s="367"/>
      <c r="AS141" s="367"/>
      <c r="AT141" s="368"/>
      <c r="AU141" s="367"/>
    </row>
    <row r="142" spans="1:47" ht="12.75">
      <c r="A142" s="367"/>
      <c r="B142" s="367"/>
      <c r="C142" s="367"/>
      <c r="D142" s="367"/>
      <c r="E142" s="367"/>
      <c r="F142" s="367"/>
      <c r="G142" s="367"/>
      <c r="H142" s="367"/>
      <c r="I142" s="367"/>
      <c r="J142" s="367"/>
      <c r="K142" s="367"/>
      <c r="L142" s="367"/>
      <c r="M142" s="367"/>
      <c r="N142" s="367"/>
      <c r="O142" s="367"/>
      <c r="P142" s="364"/>
      <c r="Q142" s="365"/>
      <c r="R142" s="365"/>
      <c r="S142" s="365"/>
      <c r="T142" s="365"/>
      <c r="U142" s="366"/>
      <c r="V142" s="367"/>
      <c r="W142" s="367"/>
      <c r="X142" s="367"/>
      <c r="Y142" s="367"/>
      <c r="Z142" s="367"/>
      <c r="AA142" s="367"/>
      <c r="AB142" s="367"/>
      <c r="AC142" s="367"/>
      <c r="AD142" s="367"/>
      <c r="AE142" s="367"/>
      <c r="AF142" s="367"/>
      <c r="AG142" s="367"/>
      <c r="AH142" s="367"/>
      <c r="AI142" s="367"/>
      <c r="AJ142" s="367"/>
      <c r="AK142" s="367"/>
      <c r="AL142" s="367"/>
      <c r="AM142" s="367"/>
      <c r="AN142" s="367"/>
      <c r="AO142" s="367"/>
      <c r="AP142" s="367"/>
      <c r="AQ142" s="367"/>
      <c r="AR142" s="367"/>
      <c r="AS142" s="367"/>
      <c r="AT142" s="368"/>
      <c r="AU142" s="367"/>
    </row>
    <row r="143" spans="1:47" ht="12.75">
      <c r="A143" s="367"/>
      <c r="B143" s="367"/>
      <c r="C143" s="367"/>
      <c r="D143" s="367"/>
      <c r="E143" s="367"/>
      <c r="F143" s="367"/>
      <c r="G143" s="367"/>
      <c r="H143" s="367"/>
      <c r="I143" s="367"/>
      <c r="J143" s="367"/>
      <c r="K143" s="367"/>
      <c r="L143" s="367"/>
      <c r="M143" s="367"/>
      <c r="N143" s="367"/>
      <c r="O143" s="367"/>
      <c r="P143" s="364"/>
      <c r="Q143" s="365"/>
      <c r="R143" s="365"/>
      <c r="S143" s="365"/>
      <c r="T143" s="365"/>
      <c r="U143" s="366"/>
      <c r="V143" s="367"/>
      <c r="W143" s="367"/>
      <c r="X143" s="367"/>
      <c r="Y143" s="367"/>
      <c r="Z143" s="367"/>
      <c r="AA143" s="367"/>
      <c r="AB143" s="367"/>
      <c r="AC143" s="367"/>
      <c r="AD143" s="367"/>
      <c r="AE143" s="367"/>
      <c r="AF143" s="367"/>
      <c r="AG143" s="367"/>
      <c r="AH143" s="367"/>
      <c r="AI143" s="367"/>
      <c r="AJ143" s="367"/>
      <c r="AK143" s="367"/>
      <c r="AL143" s="367"/>
      <c r="AM143" s="367"/>
      <c r="AN143" s="367"/>
      <c r="AO143" s="367"/>
      <c r="AP143" s="367"/>
      <c r="AQ143" s="367"/>
      <c r="AR143" s="367"/>
      <c r="AS143" s="367"/>
      <c r="AT143" s="368"/>
      <c r="AU143" s="367"/>
    </row>
    <row r="144" spans="1:47" ht="12.75">
      <c r="A144" s="367"/>
      <c r="B144" s="367"/>
      <c r="C144" s="367"/>
      <c r="D144" s="367"/>
      <c r="E144" s="367"/>
      <c r="F144" s="367"/>
      <c r="G144" s="367"/>
      <c r="H144" s="367"/>
      <c r="I144" s="367"/>
      <c r="J144" s="367"/>
      <c r="K144" s="367"/>
      <c r="L144" s="367"/>
      <c r="M144" s="367"/>
      <c r="N144" s="367"/>
      <c r="O144" s="367"/>
      <c r="P144" s="364"/>
      <c r="Q144" s="365"/>
      <c r="R144" s="365"/>
      <c r="S144" s="365"/>
      <c r="T144" s="365"/>
      <c r="U144" s="366"/>
      <c r="V144" s="367"/>
      <c r="W144" s="367"/>
      <c r="X144" s="367"/>
      <c r="Y144" s="367"/>
      <c r="Z144" s="367"/>
      <c r="AA144" s="367"/>
      <c r="AB144" s="367"/>
      <c r="AC144" s="367"/>
      <c r="AD144" s="367"/>
      <c r="AE144" s="367"/>
      <c r="AF144" s="367"/>
      <c r="AG144" s="367"/>
      <c r="AH144" s="367"/>
      <c r="AI144" s="367"/>
      <c r="AJ144" s="367"/>
      <c r="AK144" s="367"/>
      <c r="AL144" s="367"/>
      <c r="AM144" s="367"/>
      <c r="AN144" s="367"/>
      <c r="AO144" s="367"/>
      <c r="AP144" s="367"/>
      <c r="AQ144" s="367"/>
      <c r="AR144" s="367"/>
      <c r="AS144" s="367"/>
      <c r="AT144" s="368"/>
      <c r="AU144" s="367"/>
    </row>
    <row r="145" spans="1:47" ht="12.75">
      <c r="A145" s="367"/>
      <c r="B145" s="367"/>
      <c r="C145" s="367"/>
      <c r="D145" s="367"/>
      <c r="E145" s="367"/>
      <c r="F145" s="367"/>
      <c r="G145" s="367"/>
      <c r="H145" s="367"/>
      <c r="I145" s="367"/>
      <c r="J145" s="367"/>
      <c r="K145" s="367"/>
      <c r="L145" s="367"/>
      <c r="M145" s="367"/>
      <c r="N145" s="367"/>
      <c r="O145" s="367"/>
      <c r="P145" s="364"/>
      <c r="Q145" s="365"/>
      <c r="R145" s="365"/>
      <c r="S145" s="365"/>
      <c r="T145" s="365"/>
      <c r="U145" s="366"/>
      <c r="V145" s="367"/>
      <c r="W145" s="367"/>
      <c r="X145" s="367"/>
      <c r="Y145" s="367"/>
      <c r="Z145" s="367"/>
      <c r="AA145" s="367"/>
      <c r="AB145" s="367"/>
      <c r="AC145" s="367"/>
      <c r="AD145" s="367"/>
      <c r="AE145" s="367"/>
      <c r="AF145" s="367"/>
      <c r="AG145" s="367"/>
      <c r="AH145" s="367"/>
      <c r="AI145" s="367"/>
      <c r="AJ145" s="367"/>
      <c r="AK145" s="367"/>
      <c r="AL145" s="367"/>
      <c r="AM145" s="367"/>
      <c r="AN145" s="367"/>
      <c r="AO145" s="367"/>
      <c r="AP145" s="367"/>
      <c r="AQ145" s="367"/>
      <c r="AR145" s="367"/>
      <c r="AS145" s="367"/>
      <c r="AT145" s="368"/>
      <c r="AU145" s="367"/>
    </row>
    <row r="146" spans="1:47" ht="12.75">
      <c r="A146" s="367"/>
      <c r="B146" s="367"/>
      <c r="C146" s="367"/>
      <c r="D146" s="367"/>
      <c r="E146" s="367"/>
      <c r="F146" s="367"/>
      <c r="G146" s="367"/>
      <c r="H146" s="367"/>
      <c r="I146" s="367"/>
      <c r="J146" s="367"/>
      <c r="K146" s="367"/>
      <c r="L146" s="367"/>
      <c r="M146" s="367"/>
      <c r="N146" s="367"/>
      <c r="O146" s="367"/>
      <c r="P146" s="364"/>
      <c r="Q146" s="365"/>
      <c r="R146" s="365"/>
      <c r="S146" s="365"/>
      <c r="T146" s="365"/>
      <c r="U146" s="366"/>
      <c r="V146" s="367"/>
      <c r="W146" s="367"/>
      <c r="X146" s="367"/>
      <c r="Y146" s="367"/>
      <c r="Z146" s="367"/>
      <c r="AA146" s="367"/>
      <c r="AB146" s="367"/>
      <c r="AC146" s="367"/>
      <c r="AD146" s="367"/>
      <c r="AE146" s="367"/>
      <c r="AF146" s="367"/>
      <c r="AG146" s="367"/>
      <c r="AH146" s="367"/>
      <c r="AI146" s="367"/>
      <c r="AJ146" s="367"/>
      <c r="AK146" s="367"/>
      <c r="AL146" s="367"/>
      <c r="AM146" s="367"/>
      <c r="AN146" s="367"/>
      <c r="AO146" s="367"/>
      <c r="AP146" s="367"/>
      <c r="AQ146" s="367"/>
      <c r="AR146" s="367"/>
      <c r="AS146" s="367"/>
      <c r="AT146" s="368"/>
      <c r="AU146" s="367"/>
    </row>
    <row r="147" spans="1:47" ht="12.75">
      <c r="A147" s="367"/>
      <c r="B147" s="367"/>
      <c r="C147" s="367"/>
      <c r="D147" s="367"/>
      <c r="E147" s="367"/>
      <c r="F147" s="367"/>
      <c r="G147" s="367"/>
      <c r="H147" s="367"/>
      <c r="I147" s="367"/>
      <c r="J147" s="367"/>
      <c r="K147" s="367"/>
      <c r="L147" s="367"/>
      <c r="M147" s="367"/>
      <c r="N147" s="367"/>
      <c r="O147" s="367"/>
      <c r="P147" s="364"/>
      <c r="Q147" s="365"/>
      <c r="R147" s="365"/>
      <c r="S147" s="365"/>
      <c r="T147" s="365"/>
      <c r="U147" s="366"/>
      <c r="V147" s="367"/>
      <c r="W147" s="367"/>
      <c r="X147" s="367"/>
      <c r="Y147" s="367"/>
      <c r="Z147" s="367"/>
      <c r="AA147" s="367"/>
      <c r="AB147" s="367"/>
      <c r="AC147" s="367"/>
      <c r="AD147" s="367"/>
      <c r="AE147" s="367"/>
      <c r="AF147" s="367"/>
      <c r="AG147" s="367"/>
      <c r="AH147" s="367"/>
      <c r="AI147" s="367"/>
      <c r="AJ147" s="367"/>
      <c r="AK147" s="367"/>
      <c r="AL147" s="367"/>
      <c r="AM147" s="367"/>
      <c r="AN147" s="367"/>
      <c r="AO147" s="367"/>
      <c r="AP147" s="367"/>
      <c r="AQ147" s="367"/>
      <c r="AR147" s="367"/>
      <c r="AS147" s="367"/>
      <c r="AT147" s="368"/>
      <c r="AU147" s="367"/>
    </row>
    <row r="148" spans="1:47" ht="12.75">
      <c r="A148" s="367"/>
      <c r="B148" s="367"/>
      <c r="C148" s="367"/>
      <c r="D148" s="367"/>
      <c r="E148" s="367"/>
      <c r="F148" s="367"/>
      <c r="G148" s="367"/>
      <c r="H148" s="367"/>
      <c r="I148" s="367"/>
      <c r="J148" s="367"/>
      <c r="K148" s="367"/>
      <c r="L148" s="367"/>
      <c r="M148" s="367"/>
      <c r="N148" s="367"/>
      <c r="O148" s="367"/>
      <c r="P148" s="364"/>
      <c r="Q148" s="365"/>
      <c r="R148" s="365"/>
      <c r="S148" s="365"/>
      <c r="T148" s="365"/>
      <c r="U148" s="366"/>
      <c r="V148" s="367"/>
      <c r="W148" s="367"/>
      <c r="X148" s="367"/>
      <c r="Y148" s="367"/>
      <c r="Z148" s="367"/>
      <c r="AA148" s="367"/>
      <c r="AB148" s="367"/>
      <c r="AC148" s="367"/>
      <c r="AD148" s="367"/>
      <c r="AE148" s="367"/>
      <c r="AF148" s="367"/>
      <c r="AG148" s="367"/>
      <c r="AH148" s="367"/>
      <c r="AI148" s="367"/>
      <c r="AJ148" s="367"/>
      <c r="AK148" s="367"/>
      <c r="AL148" s="367"/>
      <c r="AM148" s="367"/>
      <c r="AN148" s="367"/>
      <c r="AO148" s="367"/>
      <c r="AP148" s="367"/>
      <c r="AQ148" s="367"/>
      <c r="AR148" s="367"/>
      <c r="AS148" s="367"/>
      <c r="AT148" s="368"/>
      <c r="AU148" s="367"/>
    </row>
    <row r="149" spans="1:47" ht="12.75">
      <c r="A149" s="367"/>
      <c r="B149" s="367"/>
      <c r="C149" s="367"/>
      <c r="D149" s="367"/>
      <c r="E149" s="367"/>
      <c r="F149" s="367"/>
      <c r="G149" s="367"/>
      <c r="H149" s="367"/>
      <c r="I149" s="367"/>
      <c r="J149" s="367"/>
      <c r="K149" s="367"/>
      <c r="L149" s="367"/>
      <c r="M149" s="367"/>
      <c r="N149" s="367"/>
      <c r="O149" s="367"/>
      <c r="P149" s="364"/>
      <c r="Q149" s="365"/>
      <c r="R149" s="365"/>
      <c r="S149" s="365"/>
      <c r="T149" s="365"/>
      <c r="U149" s="366"/>
      <c r="V149" s="367"/>
      <c r="W149" s="367"/>
      <c r="X149" s="367"/>
      <c r="Y149" s="367"/>
      <c r="Z149" s="367"/>
      <c r="AA149" s="367"/>
      <c r="AB149" s="367"/>
      <c r="AC149" s="367"/>
      <c r="AD149" s="367"/>
      <c r="AE149" s="367"/>
      <c r="AF149" s="367"/>
      <c r="AG149" s="367"/>
      <c r="AH149" s="367"/>
      <c r="AI149" s="367"/>
      <c r="AJ149" s="367"/>
      <c r="AK149" s="367"/>
      <c r="AL149" s="367"/>
      <c r="AM149" s="367"/>
      <c r="AN149" s="367"/>
      <c r="AO149" s="367"/>
      <c r="AP149" s="367"/>
      <c r="AQ149" s="367"/>
      <c r="AR149" s="367"/>
      <c r="AS149" s="367"/>
      <c r="AT149" s="368"/>
      <c r="AU149" s="367"/>
    </row>
    <row r="150" spans="1:47" ht="12.75">
      <c r="A150" s="367"/>
      <c r="B150" s="367"/>
      <c r="C150" s="367"/>
      <c r="D150" s="367"/>
      <c r="E150" s="367"/>
      <c r="F150" s="367"/>
      <c r="G150" s="367"/>
      <c r="H150" s="367"/>
      <c r="I150" s="367"/>
      <c r="J150" s="367"/>
      <c r="K150" s="367"/>
      <c r="L150" s="367"/>
      <c r="M150" s="367"/>
      <c r="N150" s="367"/>
      <c r="O150" s="367"/>
      <c r="P150" s="364"/>
      <c r="Q150" s="365"/>
      <c r="R150" s="365"/>
      <c r="S150" s="365"/>
      <c r="T150" s="365"/>
      <c r="U150" s="366"/>
      <c r="V150" s="367"/>
      <c r="W150" s="367"/>
      <c r="X150" s="367"/>
      <c r="Y150" s="367"/>
      <c r="Z150" s="367"/>
      <c r="AA150" s="367"/>
      <c r="AB150" s="367"/>
      <c r="AC150" s="367"/>
      <c r="AD150" s="367"/>
      <c r="AE150" s="367"/>
      <c r="AF150" s="367"/>
      <c r="AG150" s="367"/>
      <c r="AH150" s="367"/>
      <c r="AI150" s="367"/>
      <c r="AJ150" s="367"/>
      <c r="AK150" s="367"/>
      <c r="AL150" s="367"/>
      <c r="AM150" s="367"/>
      <c r="AN150" s="367"/>
      <c r="AO150" s="367"/>
      <c r="AP150" s="367"/>
      <c r="AQ150" s="367"/>
      <c r="AR150" s="367"/>
      <c r="AS150" s="367"/>
      <c r="AT150" s="368"/>
      <c r="AU150" s="367"/>
    </row>
    <row r="151" spans="1:47" ht="12.75">
      <c r="A151" s="367"/>
      <c r="B151" s="367"/>
      <c r="C151" s="367"/>
      <c r="D151" s="367"/>
      <c r="E151" s="367"/>
      <c r="F151" s="367"/>
      <c r="G151" s="367"/>
      <c r="H151" s="367"/>
      <c r="I151" s="367"/>
      <c r="J151" s="367"/>
      <c r="K151" s="367"/>
      <c r="L151" s="367"/>
      <c r="M151" s="367"/>
      <c r="N151" s="367"/>
      <c r="O151" s="367"/>
      <c r="P151" s="364"/>
      <c r="Q151" s="365"/>
      <c r="R151" s="365"/>
      <c r="S151" s="365"/>
      <c r="T151" s="365"/>
      <c r="U151" s="366"/>
      <c r="V151" s="367"/>
      <c r="W151" s="367"/>
      <c r="X151" s="367"/>
      <c r="Y151" s="367"/>
      <c r="Z151" s="367"/>
      <c r="AA151" s="367"/>
      <c r="AB151" s="367"/>
      <c r="AC151" s="367"/>
      <c r="AD151" s="367"/>
      <c r="AE151" s="367"/>
      <c r="AF151" s="367"/>
      <c r="AG151" s="367"/>
      <c r="AH151" s="367"/>
      <c r="AI151" s="367"/>
      <c r="AJ151" s="367"/>
      <c r="AK151" s="367"/>
      <c r="AL151" s="367"/>
      <c r="AM151" s="367"/>
      <c r="AN151" s="367"/>
      <c r="AO151" s="367"/>
      <c r="AP151" s="367"/>
      <c r="AQ151" s="367"/>
      <c r="AR151" s="367"/>
      <c r="AS151" s="367"/>
      <c r="AT151" s="368"/>
      <c r="AU151" s="367"/>
    </row>
    <row r="152" spans="1:47" ht="12.75">
      <c r="A152" s="367"/>
      <c r="B152" s="367"/>
      <c r="C152" s="367"/>
      <c r="D152" s="367"/>
      <c r="E152" s="367"/>
      <c r="F152" s="367"/>
      <c r="G152" s="367"/>
      <c r="H152" s="367"/>
      <c r="I152" s="367"/>
      <c r="J152" s="367"/>
      <c r="K152" s="367"/>
      <c r="L152" s="367"/>
      <c r="M152" s="367"/>
      <c r="N152" s="367"/>
      <c r="O152" s="367"/>
      <c r="P152" s="364"/>
      <c r="Q152" s="365"/>
      <c r="R152" s="365"/>
      <c r="S152" s="365"/>
      <c r="T152" s="365"/>
      <c r="U152" s="366"/>
      <c r="V152" s="367"/>
      <c r="W152" s="367"/>
      <c r="X152" s="367"/>
      <c r="Y152" s="367"/>
      <c r="Z152" s="367"/>
      <c r="AA152" s="367"/>
      <c r="AB152" s="367"/>
      <c r="AC152" s="367"/>
      <c r="AD152" s="367"/>
      <c r="AE152" s="367"/>
      <c r="AF152" s="367"/>
      <c r="AG152" s="367"/>
      <c r="AH152" s="367"/>
      <c r="AI152" s="367"/>
      <c r="AJ152" s="367"/>
      <c r="AK152" s="367"/>
      <c r="AL152" s="367"/>
      <c r="AM152" s="367"/>
      <c r="AN152" s="367"/>
      <c r="AO152" s="367"/>
      <c r="AP152" s="367"/>
      <c r="AQ152" s="367"/>
      <c r="AR152" s="367"/>
      <c r="AS152" s="367"/>
      <c r="AT152" s="368"/>
      <c r="AU152" s="367"/>
    </row>
    <row r="153" spans="1:47" ht="12.75">
      <c r="A153" s="367"/>
      <c r="B153" s="367"/>
      <c r="C153" s="367"/>
      <c r="D153" s="367"/>
      <c r="E153" s="367"/>
      <c r="F153" s="367"/>
      <c r="G153" s="367"/>
      <c r="H153" s="367"/>
      <c r="I153" s="367"/>
      <c r="J153" s="367"/>
      <c r="K153" s="367"/>
      <c r="L153" s="367"/>
      <c r="M153" s="367"/>
      <c r="N153" s="367"/>
      <c r="O153" s="367"/>
      <c r="P153" s="364"/>
      <c r="Q153" s="365"/>
      <c r="R153" s="365"/>
      <c r="S153" s="365"/>
      <c r="T153" s="365"/>
      <c r="U153" s="366"/>
      <c r="V153" s="367"/>
      <c r="W153" s="367"/>
      <c r="X153" s="367"/>
      <c r="Y153" s="367"/>
      <c r="Z153" s="367"/>
      <c r="AA153" s="367"/>
      <c r="AB153" s="367"/>
      <c r="AC153" s="367"/>
      <c r="AD153" s="367"/>
      <c r="AE153" s="367"/>
      <c r="AF153" s="367"/>
      <c r="AG153" s="367"/>
      <c r="AH153" s="367"/>
      <c r="AI153" s="367"/>
      <c r="AJ153" s="367"/>
      <c r="AK153" s="367"/>
      <c r="AL153" s="367"/>
      <c r="AM153" s="367"/>
      <c r="AN153" s="367"/>
      <c r="AO153" s="367"/>
      <c r="AP153" s="367"/>
      <c r="AQ153" s="367"/>
      <c r="AR153" s="367"/>
      <c r="AS153" s="367"/>
      <c r="AT153" s="368"/>
      <c r="AU153" s="367"/>
    </row>
    <row r="154" spans="1:47" ht="12.75">
      <c r="A154" s="367"/>
      <c r="B154" s="367"/>
      <c r="C154" s="367"/>
      <c r="D154" s="367"/>
      <c r="E154" s="367"/>
      <c r="F154" s="367"/>
      <c r="G154" s="367"/>
      <c r="H154" s="367"/>
      <c r="I154" s="367"/>
      <c r="J154" s="367"/>
      <c r="K154" s="367"/>
      <c r="L154" s="367"/>
      <c r="M154" s="367"/>
      <c r="N154" s="367"/>
      <c r="O154" s="367"/>
      <c r="P154" s="364"/>
      <c r="Q154" s="365"/>
      <c r="R154" s="365"/>
      <c r="S154" s="365"/>
      <c r="T154" s="365"/>
      <c r="U154" s="366"/>
      <c r="V154" s="367"/>
      <c r="W154" s="367"/>
      <c r="X154" s="367"/>
      <c r="Y154" s="367"/>
      <c r="Z154" s="367"/>
      <c r="AA154" s="367"/>
      <c r="AB154" s="367"/>
      <c r="AC154" s="367"/>
      <c r="AD154" s="367"/>
      <c r="AE154" s="367"/>
      <c r="AF154" s="367"/>
      <c r="AG154" s="367"/>
      <c r="AH154" s="367"/>
      <c r="AI154" s="367"/>
      <c r="AJ154" s="367"/>
      <c r="AK154" s="367"/>
      <c r="AL154" s="367"/>
      <c r="AM154" s="367"/>
      <c r="AN154" s="367"/>
      <c r="AO154" s="367"/>
      <c r="AP154" s="367"/>
      <c r="AQ154" s="367"/>
      <c r="AR154" s="367"/>
      <c r="AS154" s="367"/>
      <c r="AT154" s="368"/>
      <c r="AU154" s="367"/>
    </row>
    <row r="155" spans="1:47" ht="12.75">
      <c r="A155" s="367"/>
      <c r="B155" s="367"/>
      <c r="C155" s="367"/>
      <c r="D155" s="367"/>
      <c r="E155" s="367"/>
      <c r="F155" s="367"/>
      <c r="G155" s="367"/>
      <c r="H155" s="367"/>
      <c r="I155" s="367"/>
      <c r="J155" s="367"/>
      <c r="K155" s="367"/>
      <c r="L155" s="367"/>
      <c r="M155" s="367"/>
      <c r="N155" s="367"/>
      <c r="O155" s="367"/>
      <c r="P155" s="364"/>
      <c r="Q155" s="365"/>
      <c r="R155" s="365"/>
      <c r="S155" s="365"/>
      <c r="T155" s="365"/>
      <c r="U155" s="366"/>
      <c r="V155" s="367"/>
      <c r="W155" s="367"/>
      <c r="X155" s="367"/>
      <c r="Y155" s="367"/>
      <c r="Z155" s="367"/>
      <c r="AA155" s="367"/>
      <c r="AB155" s="367"/>
      <c r="AC155" s="367"/>
      <c r="AD155" s="367"/>
      <c r="AE155" s="367"/>
      <c r="AF155" s="367"/>
      <c r="AG155" s="367"/>
      <c r="AH155" s="367"/>
      <c r="AI155" s="367"/>
      <c r="AJ155" s="367"/>
      <c r="AK155" s="367"/>
      <c r="AL155" s="367"/>
      <c r="AM155" s="367"/>
      <c r="AN155" s="367"/>
      <c r="AO155" s="367"/>
      <c r="AP155" s="367"/>
      <c r="AQ155" s="367"/>
      <c r="AR155" s="367"/>
      <c r="AS155" s="367"/>
      <c r="AT155" s="368"/>
      <c r="AU155" s="367"/>
    </row>
    <row r="156" spans="1:47" ht="12.75">
      <c r="A156" s="367"/>
      <c r="B156" s="367"/>
      <c r="C156" s="367"/>
      <c r="D156" s="367"/>
      <c r="E156" s="367"/>
      <c r="F156" s="367"/>
      <c r="G156" s="367"/>
      <c r="H156" s="367"/>
      <c r="I156" s="367"/>
      <c r="J156" s="367"/>
      <c r="K156" s="367"/>
      <c r="L156" s="367"/>
      <c r="M156" s="367"/>
      <c r="N156" s="367"/>
      <c r="O156" s="367"/>
      <c r="P156" s="364"/>
      <c r="Q156" s="365"/>
      <c r="R156" s="365"/>
      <c r="S156" s="365"/>
      <c r="T156" s="365"/>
      <c r="U156" s="366"/>
      <c r="V156" s="367"/>
      <c r="W156" s="367"/>
      <c r="X156" s="367"/>
      <c r="Y156" s="367"/>
      <c r="Z156" s="367"/>
      <c r="AA156" s="367"/>
      <c r="AB156" s="367"/>
      <c r="AC156" s="367"/>
      <c r="AD156" s="367"/>
      <c r="AE156" s="367"/>
      <c r="AF156" s="367"/>
      <c r="AG156" s="367"/>
      <c r="AH156" s="367"/>
      <c r="AI156" s="367"/>
      <c r="AJ156" s="367"/>
      <c r="AK156" s="367"/>
      <c r="AL156" s="367"/>
      <c r="AM156" s="367"/>
      <c r="AN156" s="367"/>
      <c r="AO156" s="367"/>
      <c r="AP156" s="367"/>
      <c r="AQ156" s="367"/>
      <c r="AR156" s="367"/>
      <c r="AS156" s="367"/>
      <c r="AT156" s="368"/>
      <c r="AU156" s="367"/>
    </row>
    <row r="157" spans="1:47" ht="12.75">
      <c r="A157" s="367"/>
      <c r="B157" s="367"/>
      <c r="C157" s="367"/>
      <c r="D157" s="367"/>
      <c r="E157" s="367"/>
      <c r="F157" s="367"/>
      <c r="G157" s="367"/>
      <c r="H157" s="367"/>
      <c r="I157" s="367"/>
      <c r="J157" s="367"/>
      <c r="K157" s="367"/>
      <c r="L157" s="367"/>
      <c r="M157" s="367"/>
      <c r="N157" s="367"/>
      <c r="O157" s="367"/>
      <c r="P157" s="364"/>
      <c r="Q157" s="365"/>
      <c r="R157" s="365"/>
      <c r="S157" s="365"/>
      <c r="T157" s="365"/>
      <c r="U157" s="366"/>
      <c r="V157" s="367"/>
      <c r="W157" s="367"/>
      <c r="X157" s="367"/>
      <c r="Y157" s="367"/>
      <c r="Z157" s="367"/>
      <c r="AA157" s="367"/>
      <c r="AB157" s="367"/>
      <c r="AC157" s="367"/>
      <c r="AD157" s="367"/>
      <c r="AE157" s="367"/>
      <c r="AF157" s="367"/>
      <c r="AG157" s="367"/>
      <c r="AH157" s="367"/>
      <c r="AI157" s="367"/>
      <c r="AJ157" s="367"/>
      <c r="AK157" s="367"/>
      <c r="AL157" s="367"/>
      <c r="AM157" s="367"/>
      <c r="AN157" s="367"/>
      <c r="AO157" s="367"/>
      <c r="AP157" s="367"/>
      <c r="AQ157" s="367"/>
      <c r="AR157" s="367"/>
      <c r="AS157" s="367"/>
      <c r="AT157" s="368"/>
      <c r="AU157" s="367"/>
    </row>
    <row r="158" spans="1:47" ht="12.75">
      <c r="A158" s="367"/>
      <c r="B158" s="367"/>
      <c r="C158" s="367"/>
      <c r="D158" s="367"/>
      <c r="E158" s="367"/>
      <c r="F158" s="367"/>
      <c r="G158" s="367"/>
      <c r="H158" s="367"/>
      <c r="I158" s="367"/>
      <c r="J158" s="367"/>
      <c r="K158" s="367"/>
      <c r="L158" s="367"/>
      <c r="M158" s="367"/>
      <c r="N158" s="367"/>
      <c r="O158" s="367"/>
      <c r="P158" s="364"/>
      <c r="Q158" s="365"/>
      <c r="R158" s="365"/>
      <c r="S158" s="365"/>
      <c r="T158" s="365"/>
      <c r="U158" s="366"/>
      <c r="V158" s="367"/>
      <c r="W158" s="367"/>
      <c r="X158" s="367"/>
      <c r="Y158" s="367"/>
      <c r="Z158" s="367"/>
      <c r="AA158" s="367"/>
      <c r="AB158" s="367"/>
      <c r="AC158" s="367"/>
      <c r="AD158" s="367"/>
      <c r="AE158" s="367"/>
      <c r="AF158" s="367"/>
      <c r="AG158" s="367"/>
      <c r="AH158" s="367"/>
      <c r="AI158" s="367"/>
      <c r="AJ158" s="367"/>
      <c r="AK158" s="367"/>
      <c r="AL158" s="367"/>
      <c r="AM158" s="367"/>
      <c r="AN158" s="367"/>
      <c r="AO158" s="367"/>
      <c r="AP158" s="367"/>
      <c r="AQ158" s="367"/>
      <c r="AR158" s="367"/>
      <c r="AS158" s="367"/>
      <c r="AT158" s="368"/>
      <c r="AU158" s="367"/>
    </row>
    <row r="159" spans="1:47" ht="12.75">
      <c r="A159" s="367"/>
      <c r="B159" s="367"/>
      <c r="C159" s="367"/>
      <c r="D159" s="367"/>
      <c r="E159" s="367"/>
      <c r="F159" s="367"/>
      <c r="G159" s="367"/>
      <c r="H159" s="367"/>
      <c r="I159" s="367"/>
      <c r="J159" s="367"/>
      <c r="K159" s="367"/>
      <c r="L159" s="367"/>
      <c r="M159" s="367"/>
      <c r="N159" s="367"/>
      <c r="O159" s="367"/>
      <c r="P159" s="364"/>
      <c r="Q159" s="365"/>
      <c r="R159" s="365"/>
      <c r="S159" s="365"/>
      <c r="T159" s="365"/>
      <c r="U159" s="366"/>
      <c r="V159" s="367"/>
      <c r="W159" s="367"/>
      <c r="X159" s="367"/>
      <c r="Y159" s="367"/>
      <c r="Z159" s="367"/>
      <c r="AA159" s="367"/>
      <c r="AB159" s="367"/>
      <c r="AC159" s="367"/>
      <c r="AD159" s="367"/>
      <c r="AE159" s="367"/>
      <c r="AF159" s="367"/>
      <c r="AG159" s="367"/>
      <c r="AH159" s="367"/>
      <c r="AI159" s="367"/>
      <c r="AJ159" s="367"/>
      <c r="AK159" s="367"/>
      <c r="AL159" s="367"/>
      <c r="AM159" s="367"/>
      <c r="AN159" s="367"/>
      <c r="AO159" s="367"/>
      <c r="AP159" s="367"/>
      <c r="AQ159" s="367"/>
      <c r="AR159" s="367"/>
      <c r="AS159" s="367"/>
      <c r="AT159" s="368"/>
      <c r="AU159" s="367"/>
    </row>
    <row r="160" spans="1:47" ht="12.75">
      <c r="A160" s="367"/>
      <c r="B160" s="367"/>
      <c r="C160" s="367"/>
      <c r="D160" s="367"/>
      <c r="E160" s="367"/>
      <c r="F160" s="367"/>
      <c r="G160" s="367"/>
      <c r="H160" s="367"/>
      <c r="I160" s="367"/>
      <c r="J160" s="367"/>
      <c r="K160" s="367"/>
      <c r="L160" s="367"/>
      <c r="M160" s="367"/>
      <c r="N160" s="367"/>
      <c r="O160" s="367"/>
      <c r="P160" s="364"/>
      <c r="Q160" s="365"/>
      <c r="R160" s="365"/>
      <c r="S160" s="365"/>
      <c r="T160" s="365"/>
      <c r="U160" s="366"/>
      <c r="V160" s="367"/>
      <c r="W160" s="367"/>
      <c r="X160" s="367"/>
      <c r="Y160" s="367"/>
      <c r="Z160" s="367"/>
      <c r="AA160" s="367"/>
      <c r="AB160" s="367"/>
      <c r="AC160" s="367"/>
      <c r="AD160" s="367"/>
      <c r="AE160" s="367"/>
      <c r="AF160" s="367"/>
      <c r="AG160" s="367"/>
      <c r="AH160" s="367"/>
      <c r="AI160" s="367"/>
      <c r="AJ160" s="367"/>
      <c r="AK160" s="367"/>
      <c r="AL160" s="367"/>
      <c r="AM160" s="367"/>
      <c r="AN160" s="367"/>
      <c r="AO160" s="367"/>
      <c r="AP160" s="367"/>
      <c r="AQ160" s="367"/>
      <c r="AR160" s="367"/>
      <c r="AS160" s="367"/>
      <c r="AT160" s="368"/>
      <c r="AU160" s="367"/>
    </row>
    <row r="161" spans="1:47" ht="12.75">
      <c r="A161" s="367"/>
      <c r="B161" s="367"/>
      <c r="C161" s="367"/>
      <c r="D161" s="367"/>
      <c r="E161" s="367"/>
      <c r="F161" s="367"/>
      <c r="G161" s="367"/>
      <c r="H161" s="367"/>
      <c r="I161" s="367"/>
      <c r="J161" s="367"/>
      <c r="K161" s="367"/>
      <c r="L161" s="367"/>
      <c r="M161" s="367"/>
      <c r="N161" s="367"/>
      <c r="O161" s="367"/>
      <c r="P161" s="364"/>
      <c r="Q161" s="365"/>
      <c r="R161" s="365"/>
      <c r="S161" s="365"/>
      <c r="T161" s="365"/>
      <c r="U161" s="366"/>
      <c r="V161" s="367"/>
      <c r="W161" s="367"/>
      <c r="X161" s="367"/>
      <c r="Y161" s="367"/>
      <c r="Z161" s="367"/>
      <c r="AA161" s="367"/>
      <c r="AB161" s="367"/>
      <c r="AC161" s="367"/>
      <c r="AD161" s="367"/>
      <c r="AE161" s="367"/>
      <c r="AF161" s="367"/>
      <c r="AG161" s="367"/>
      <c r="AH161" s="367"/>
      <c r="AI161" s="367"/>
      <c r="AJ161" s="367"/>
      <c r="AK161" s="367"/>
      <c r="AL161" s="367"/>
      <c r="AM161" s="367"/>
      <c r="AN161" s="367"/>
      <c r="AO161" s="367"/>
      <c r="AP161" s="367"/>
      <c r="AQ161" s="367"/>
      <c r="AR161" s="367"/>
      <c r="AS161" s="367"/>
      <c r="AT161" s="368"/>
      <c r="AU161" s="367"/>
    </row>
    <row r="162" spans="1:47" ht="12.75">
      <c r="A162" s="367"/>
      <c r="B162" s="367"/>
      <c r="C162" s="367"/>
      <c r="D162" s="367"/>
      <c r="E162" s="367"/>
      <c r="F162" s="367"/>
      <c r="G162" s="367"/>
      <c r="H162" s="367"/>
      <c r="I162" s="367"/>
      <c r="J162" s="367"/>
      <c r="K162" s="367"/>
      <c r="L162" s="367"/>
      <c r="M162" s="367"/>
      <c r="N162" s="367"/>
      <c r="O162" s="367"/>
      <c r="P162" s="364"/>
      <c r="Q162" s="365"/>
      <c r="R162" s="365"/>
      <c r="S162" s="365"/>
      <c r="T162" s="365"/>
      <c r="U162" s="366"/>
      <c r="V162" s="367"/>
      <c r="W162" s="367"/>
      <c r="X162" s="367"/>
      <c r="Y162" s="367"/>
      <c r="Z162" s="367"/>
      <c r="AA162" s="367"/>
      <c r="AB162" s="367"/>
      <c r="AC162" s="367"/>
      <c r="AD162" s="367"/>
      <c r="AE162" s="367"/>
      <c r="AF162" s="367"/>
      <c r="AG162" s="367"/>
      <c r="AH162" s="367"/>
      <c r="AI162" s="367"/>
      <c r="AJ162" s="367"/>
      <c r="AK162" s="367"/>
      <c r="AL162" s="367"/>
      <c r="AM162" s="367"/>
      <c r="AN162" s="367"/>
      <c r="AO162" s="367"/>
      <c r="AP162" s="367"/>
      <c r="AQ162" s="367"/>
      <c r="AR162" s="367"/>
      <c r="AS162" s="367"/>
      <c r="AT162" s="368"/>
      <c r="AU162" s="367"/>
    </row>
    <row r="163" spans="1:47" ht="12.75">
      <c r="A163" s="367"/>
      <c r="B163" s="367"/>
      <c r="C163" s="367"/>
      <c r="D163" s="367"/>
      <c r="E163" s="367"/>
      <c r="F163" s="367"/>
      <c r="G163" s="367"/>
      <c r="H163" s="367"/>
      <c r="I163" s="367"/>
      <c r="J163" s="367"/>
      <c r="K163" s="367"/>
      <c r="L163" s="367"/>
      <c r="M163" s="367"/>
      <c r="N163" s="367"/>
      <c r="O163" s="367"/>
      <c r="P163" s="364"/>
      <c r="Q163" s="365"/>
      <c r="R163" s="365"/>
      <c r="S163" s="365"/>
      <c r="T163" s="365"/>
      <c r="U163" s="366"/>
      <c r="V163" s="367"/>
      <c r="W163" s="367"/>
      <c r="X163" s="367"/>
      <c r="Y163" s="367"/>
      <c r="Z163" s="367"/>
      <c r="AA163" s="367"/>
      <c r="AB163" s="367"/>
      <c r="AC163" s="367"/>
      <c r="AD163" s="367"/>
      <c r="AE163" s="367"/>
      <c r="AF163" s="367"/>
      <c r="AG163" s="367"/>
      <c r="AH163" s="367"/>
      <c r="AI163" s="367"/>
      <c r="AJ163" s="367"/>
      <c r="AK163" s="367"/>
      <c r="AL163" s="367"/>
      <c r="AM163" s="367"/>
      <c r="AN163" s="367"/>
      <c r="AO163" s="367"/>
      <c r="AP163" s="367"/>
      <c r="AQ163" s="367"/>
      <c r="AR163" s="367"/>
      <c r="AS163" s="367"/>
      <c r="AT163" s="368"/>
      <c r="AU163" s="367"/>
    </row>
    <row r="164" spans="1:47" ht="12.75">
      <c r="A164" s="367"/>
      <c r="B164" s="367"/>
      <c r="C164" s="367"/>
      <c r="D164" s="367"/>
      <c r="E164" s="367"/>
      <c r="F164" s="367"/>
      <c r="G164" s="367"/>
      <c r="H164" s="367"/>
      <c r="I164" s="367"/>
      <c r="J164" s="367"/>
      <c r="K164" s="367"/>
      <c r="L164" s="367"/>
      <c r="M164" s="367"/>
      <c r="N164" s="367"/>
      <c r="O164" s="367"/>
      <c r="P164" s="364"/>
      <c r="Q164" s="365"/>
      <c r="R164" s="365"/>
      <c r="S164" s="365"/>
      <c r="T164" s="365"/>
      <c r="U164" s="366"/>
      <c r="V164" s="367"/>
      <c r="W164" s="367"/>
      <c r="X164" s="367"/>
      <c r="Y164" s="367"/>
      <c r="Z164" s="367"/>
      <c r="AA164" s="367"/>
      <c r="AB164" s="367"/>
      <c r="AC164" s="367"/>
      <c r="AD164" s="367"/>
      <c r="AE164" s="367"/>
      <c r="AF164" s="367"/>
      <c r="AG164" s="367"/>
      <c r="AH164" s="367"/>
      <c r="AI164" s="367"/>
      <c r="AJ164" s="367"/>
      <c r="AK164" s="367"/>
      <c r="AL164" s="367"/>
      <c r="AM164" s="367"/>
      <c r="AN164" s="367"/>
      <c r="AO164" s="367"/>
      <c r="AP164" s="367"/>
      <c r="AQ164" s="367"/>
      <c r="AR164" s="367"/>
      <c r="AS164" s="367"/>
      <c r="AT164" s="368"/>
      <c r="AU164" s="367"/>
    </row>
    <row r="165" spans="1:47" ht="12.75">
      <c r="A165" s="367"/>
      <c r="B165" s="367"/>
      <c r="C165" s="367"/>
      <c r="D165" s="367"/>
      <c r="E165" s="367"/>
      <c r="F165" s="367"/>
      <c r="G165" s="367"/>
      <c r="H165" s="367"/>
      <c r="I165" s="367"/>
      <c r="J165" s="367"/>
      <c r="K165" s="367"/>
      <c r="L165" s="367"/>
      <c r="M165" s="367"/>
      <c r="N165" s="367"/>
      <c r="O165" s="367"/>
      <c r="P165" s="364"/>
      <c r="Q165" s="365"/>
      <c r="R165" s="365"/>
      <c r="S165" s="365"/>
      <c r="T165" s="365"/>
      <c r="U165" s="366"/>
      <c r="V165" s="367"/>
      <c r="W165" s="367"/>
      <c r="X165" s="367"/>
      <c r="Y165" s="367"/>
      <c r="Z165" s="367"/>
      <c r="AA165" s="367"/>
      <c r="AB165" s="367"/>
      <c r="AC165" s="367"/>
      <c r="AD165" s="367"/>
      <c r="AE165" s="367"/>
      <c r="AF165" s="367"/>
      <c r="AG165" s="367"/>
      <c r="AH165" s="367"/>
      <c r="AI165" s="367"/>
      <c r="AJ165" s="367"/>
      <c r="AK165" s="367"/>
      <c r="AL165" s="367"/>
      <c r="AM165" s="367"/>
      <c r="AN165" s="367"/>
      <c r="AO165" s="367"/>
      <c r="AP165" s="367"/>
      <c r="AQ165" s="367"/>
      <c r="AR165" s="367"/>
      <c r="AS165" s="367"/>
      <c r="AT165" s="368"/>
      <c r="AU165" s="367"/>
    </row>
    <row r="166" spans="1:47" ht="12.75">
      <c r="A166" s="367"/>
      <c r="B166" s="367"/>
      <c r="C166" s="367"/>
      <c r="D166" s="367"/>
      <c r="E166" s="367"/>
      <c r="F166" s="367"/>
      <c r="G166" s="367"/>
      <c r="H166" s="367"/>
      <c r="I166" s="367"/>
      <c r="J166" s="367"/>
      <c r="K166" s="367"/>
      <c r="L166" s="367"/>
      <c r="M166" s="367"/>
      <c r="N166" s="367"/>
      <c r="O166" s="367"/>
      <c r="P166" s="364"/>
      <c r="Q166" s="365"/>
      <c r="R166" s="365"/>
      <c r="S166" s="365"/>
      <c r="T166" s="365"/>
      <c r="U166" s="366"/>
      <c r="V166" s="367"/>
      <c r="W166" s="367"/>
      <c r="X166" s="367"/>
      <c r="Y166" s="367"/>
      <c r="Z166" s="367"/>
      <c r="AA166" s="367"/>
      <c r="AB166" s="367"/>
      <c r="AC166" s="367"/>
      <c r="AD166" s="367"/>
      <c r="AE166" s="367"/>
      <c r="AF166" s="367"/>
      <c r="AG166" s="367"/>
      <c r="AH166" s="367"/>
      <c r="AI166" s="367"/>
      <c r="AJ166" s="367"/>
      <c r="AK166" s="367"/>
      <c r="AL166" s="367"/>
      <c r="AM166" s="367"/>
      <c r="AN166" s="367"/>
      <c r="AO166" s="367"/>
      <c r="AP166" s="367"/>
      <c r="AQ166" s="367"/>
      <c r="AR166" s="367"/>
      <c r="AS166" s="367"/>
      <c r="AT166" s="368"/>
      <c r="AU166" s="367"/>
    </row>
    <row r="167" spans="1:47" ht="12.75">
      <c r="A167" s="367"/>
      <c r="B167" s="367"/>
      <c r="C167" s="367"/>
      <c r="D167" s="367"/>
      <c r="E167" s="367"/>
      <c r="F167" s="367"/>
      <c r="G167" s="367"/>
      <c r="H167" s="367"/>
      <c r="I167" s="367"/>
      <c r="J167" s="367"/>
      <c r="K167" s="367"/>
      <c r="L167" s="367"/>
      <c r="M167" s="367"/>
      <c r="N167" s="367"/>
      <c r="O167" s="367"/>
      <c r="P167" s="364"/>
      <c r="Q167" s="365"/>
      <c r="R167" s="365"/>
      <c r="S167" s="365"/>
      <c r="T167" s="365"/>
      <c r="U167" s="366"/>
      <c r="V167" s="367"/>
      <c r="W167" s="367"/>
      <c r="X167" s="367"/>
      <c r="Y167" s="367"/>
      <c r="Z167" s="367"/>
      <c r="AA167" s="367"/>
      <c r="AB167" s="367"/>
      <c r="AC167" s="367"/>
      <c r="AD167" s="367"/>
      <c r="AE167" s="367"/>
      <c r="AF167" s="367"/>
      <c r="AG167" s="367"/>
      <c r="AH167" s="367"/>
      <c r="AI167" s="367"/>
      <c r="AJ167" s="367"/>
      <c r="AK167" s="367"/>
      <c r="AL167" s="367"/>
      <c r="AM167" s="367"/>
      <c r="AN167" s="367"/>
      <c r="AO167" s="367"/>
      <c r="AP167" s="367"/>
      <c r="AQ167" s="367"/>
      <c r="AR167" s="367"/>
      <c r="AS167" s="367"/>
      <c r="AT167" s="368"/>
      <c r="AU167" s="367"/>
    </row>
    <row r="168" spans="1:47" ht="12.75">
      <c r="A168" s="367"/>
      <c r="B168" s="367"/>
      <c r="C168" s="367"/>
      <c r="D168" s="367"/>
      <c r="E168" s="367"/>
      <c r="F168" s="367"/>
      <c r="G168" s="367"/>
      <c r="H168" s="367"/>
      <c r="I168" s="367"/>
      <c r="J168" s="367"/>
      <c r="K168" s="367"/>
      <c r="L168" s="367"/>
      <c r="M168" s="367"/>
      <c r="N168" s="367"/>
      <c r="O168" s="367"/>
      <c r="P168" s="364"/>
      <c r="Q168" s="365"/>
      <c r="R168" s="365"/>
      <c r="S168" s="365"/>
      <c r="T168" s="365"/>
      <c r="U168" s="366"/>
      <c r="V168" s="367"/>
      <c r="W168" s="367"/>
      <c r="X168" s="367"/>
      <c r="Y168" s="367"/>
      <c r="Z168" s="367"/>
      <c r="AA168" s="367"/>
      <c r="AB168" s="367"/>
      <c r="AC168" s="367"/>
      <c r="AD168" s="367"/>
      <c r="AE168" s="367"/>
      <c r="AF168" s="367"/>
      <c r="AG168" s="367"/>
      <c r="AH168" s="367"/>
      <c r="AI168" s="367"/>
      <c r="AJ168" s="367"/>
      <c r="AK168" s="367"/>
      <c r="AL168" s="367"/>
      <c r="AM168" s="367"/>
      <c r="AN168" s="367"/>
      <c r="AO168" s="367"/>
      <c r="AP168" s="367"/>
      <c r="AQ168" s="367"/>
      <c r="AR168" s="367"/>
      <c r="AS168" s="367"/>
      <c r="AT168" s="368"/>
      <c r="AU168" s="367"/>
    </row>
    <row r="169" spans="1:47" ht="12.75">
      <c r="A169" s="367"/>
      <c r="B169" s="367"/>
      <c r="C169" s="367"/>
      <c r="D169" s="367"/>
      <c r="E169" s="367"/>
      <c r="F169" s="367"/>
      <c r="G169" s="367"/>
      <c r="H169" s="367"/>
      <c r="I169" s="367"/>
      <c r="J169" s="367"/>
      <c r="K169" s="367"/>
      <c r="L169" s="367"/>
      <c r="M169" s="367"/>
      <c r="N169" s="367"/>
      <c r="O169" s="367"/>
      <c r="P169" s="364"/>
      <c r="Q169" s="365"/>
      <c r="R169" s="365"/>
      <c r="S169" s="365"/>
      <c r="T169" s="365"/>
      <c r="U169" s="366"/>
      <c r="V169" s="367"/>
      <c r="W169" s="367"/>
      <c r="X169" s="367"/>
      <c r="Y169" s="367"/>
      <c r="Z169" s="367"/>
      <c r="AA169" s="367"/>
      <c r="AB169" s="367"/>
      <c r="AC169" s="367"/>
      <c r="AD169" s="367"/>
      <c r="AE169" s="367"/>
      <c r="AF169" s="367"/>
      <c r="AG169" s="367"/>
      <c r="AH169" s="367"/>
      <c r="AI169" s="367"/>
      <c r="AJ169" s="367"/>
      <c r="AK169" s="367"/>
      <c r="AL169" s="367"/>
      <c r="AM169" s="367"/>
      <c r="AN169" s="367"/>
      <c r="AO169" s="367"/>
      <c r="AP169" s="367"/>
      <c r="AQ169" s="367"/>
      <c r="AR169" s="367"/>
      <c r="AS169" s="367"/>
      <c r="AT169" s="368"/>
      <c r="AU169" s="367"/>
    </row>
    <row r="170" spans="1:47" ht="12.75">
      <c r="A170" s="367"/>
      <c r="B170" s="367"/>
      <c r="C170" s="367"/>
      <c r="D170" s="367"/>
      <c r="E170" s="367"/>
      <c r="F170" s="367"/>
      <c r="G170" s="367"/>
      <c r="H170" s="367"/>
      <c r="I170" s="367"/>
      <c r="J170" s="367"/>
      <c r="K170" s="367"/>
      <c r="L170" s="367"/>
      <c r="M170" s="367"/>
      <c r="N170" s="367"/>
      <c r="O170" s="367"/>
      <c r="P170" s="364"/>
      <c r="Q170" s="365"/>
      <c r="R170" s="365"/>
      <c r="S170" s="365"/>
      <c r="T170" s="365"/>
      <c r="U170" s="366"/>
      <c r="V170" s="367"/>
      <c r="W170" s="367"/>
      <c r="X170" s="367"/>
      <c r="Y170" s="367"/>
      <c r="Z170" s="367"/>
      <c r="AA170" s="367"/>
      <c r="AB170" s="367"/>
      <c r="AC170" s="367"/>
      <c r="AD170" s="367"/>
      <c r="AE170" s="367"/>
      <c r="AF170" s="367"/>
      <c r="AG170" s="367"/>
      <c r="AH170" s="367"/>
      <c r="AI170" s="367"/>
      <c r="AJ170" s="367"/>
      <c r="AK170" s="367"/>
      <c r="AL170" s="367"/>
      <c r="AM170" s="367"/>
      <c r="AN170" s="367"/>
      <c r="AO170" s="367"/>
      <c r="AP170" s="367"/>
      <c r="AQ170" s="367"/>
      <c r="AR170" s="367"/>
      <c r="AS170" s="367"/>
      <c r="AT170" s="368"/>
      <c r="AU170" s="367"/>
    </row>
    <row r="171" spans="1:47" ht="12.75">
      <c r="A171" s="367"/>
      <c r="B171" s="367"/>
      <c r="C171" s="367"/>
      <c r="D171" s="367"/>
      <c r="E171" s="367"/>
      <c r="F171" s="367"/>
      <c r="G171" s="367"/>
      <c r="H171" s="367"/>
      <c r="I171" s="367"/>
      <c r="J171" s="367"/>
      <c r="K171" s="367"/>
      <c r="L171" s="367"/>
      <c r="M171" s="367"/>
      <c r="N171" s="367"/>
      <c r="O171" s="367"/>
      <c r="P171" s="364"/>
      <c r="Q171" s="365"/>
      <c r="R171" s="365"/>
      <c r="S171" s="365"/>
      <c r="T171" s="365"/>
      <c r="U171" s="366"/>
      <c r="V171" s="367"/>
      <c r="W171" s="367"/>
      <c r="X171" s="367"/>
      <c r="Y171" s="367"/>
      <c r="Z171" s="367"/>
      <c r="AA171" s="367"/>
      <c r="AB171" s="367"/>
      <c r="AC171" s="367"/>
      <c r="AD171" s="367"/>
      <c r="AE171" s="367"/>
      <c r="AF171" s="367"/>
      <c r="AG171" s="367"/>
      <c r="AH171" s="367"/>
      <c r="AI171" s="367"/>
      <c r="AJ171" s="367"/>
      <c r="AK171" s="367"/>
      <c r="AL171" s="367"/>
      <c r="AM171" s="367"/>
      <c r="AN171" s="367"/>
      <c r="AO171" s="367"/>
      <c r="AP171" s="367"/>
      <c r="AQ171" s="367"/>
      <c r="AR171" s="367"/>
      <c r="AS171" s="367"/>
      <c r="AT171" s="368"/>
      <c r="AU171" s="367"/>
    </row>
    <row r="172" spans="1:47" ht="12.75">
      <c r="A172" s="367"/>
      <c r="B172" s="367"/>
      <c r="C172" s="367"/>
      <c r="D172" s="367"/>
      <c r="E172" s="367"/>
      <c r="F172" s="367"/>
      <c r="G172" s="367"/>
      <c r="H172" s="367"/>
      <c r="I172" s="367"/>
      <c r="J172" s="367"/>
      <c r="K172" s="367"/>
      <c r="L172" s="367"/>
      <c r="M172" s="367"/>
      <c r="N172" s="367"/>
      <c r="O172" s="367"/>
      <c r="P172" s="364"/>
      <c r="Q172" s="365"/>
      <c r="R172" s="365"/>
      <c r="S172" s="365"/>
      <c r="T172" s="365"/>
      <c r="U172" s="366"/>
      <c r="V172" s="367"/>
      <c r="W172" s="367"/>
      <c r="X172" s="367"/>
      <c r="Y172" s="367"/>
      <c r="Z172" s="367"/>
      <c r="AA172" s="367"/>
      <c r="AB172" s="367"/>
      <c r="AC172" s="367"/>
      <c r="AD172" s="367"/>
      <c r="AE172" s="367"/>
      <c r="AF172" s="367"/>
      <c r="AG172" s="367"/>
      <c r="AH172" s="367"/>
      <c r="AI172" s="367"/>
      <c r="AJ172" s="367"/>
      <c r="AK172" s="367"/>
      <c r="AL172" s="367"/>
      <c r="AM172" s="367"/>
      <c r="AN172" s="367"/>
      <c r="AO172" s="367"/>
      <c r="AP172" s="367"/>
      <c r="AQ172" s="367"/>
      <c r="AR172" s="367"/>
      <c r="AS172" s="367"/>
      <c r="AT172" s="368"/>
      <c r="AU172" s="367"/>
    </row>
    <row r="173" spans="1:47" ht="12.75">
      <c r="A173" s="367"/>
      <c r="B173" s="367"/>
      <c r="C173" s="367"/>
      <c r="D173" s="367"/>
      <c r="E173" s="367"/>
      <c r="F173" s="367"/>
      <c r="G173" s="367"/>
      <c r="H173" s="367"/>
      <c r="I173" s="367"/>
      <c r="J173" s="367"/>
      <c r="K173" s="367"/>
      <c r="L173" s="367"/>
      <c r="M173" s="367"/>
      <c r="N173" s="367"/>
      <c r="O173" s="367"/>
      <c r="P173" s="364"/>
      <c r="Q173" s="365"/>
      <c r="R173" s="365"/>
      <c r="S173" s="365"/>
      <c r="T173" s="365"/>
      <c r="U173" s="366"/>
      <c r="V173" s="367"/>
      <c r="W173" s="367"/>
      <c r="X173" s="367"/>
      <c r="Y173" s="367"/>
      <c r="Z173" s="367"/>
      <c r="AA173" s="367"/>
      <c r="AB173" s="367"/>
      <c r="AC173" s="367"/>
      <c r="AD173" s="367"/>
      <c r="AE173" s="367"/>
      <c r="AF173" s="367"/>
      <c r="AG173" s="367"/>
      <c r="AH173" s="367"/>
      <c r="AI173" s="367"/>
      <c r="AJ173" s="367"/>
      <c r="AK173" s="367"/>
      <c r="AL173" s="367"/>
      <c r="AM173" s="367"/>
      <c r="AN173" s="367"/>
      <c r="AO173" s="367"/>
      <c r="AP173" s="367"/>
      <c r="AQ173" s="367"/>
      <c r="AR173" s="367"/>
      <c r="AS173" s="367"/>
      <c r="AT173" s="368"/>
      <c r="AU173" s="367"/>
    </row>
    <row r="174" spans="1:47" ht="12.75">
      <c r="A174" s="367"/>
      <c r="B174" s="367"/>
      <c r="C174" s="367"/>
      <c r="D174" s="367"/>
      <c r="E174" s="367"/>
      <c r="F174" s="367"/>
      <c r="G174" s="367"/>
      <c r="H174" s="367"/>
      <c r="I174" s="367"/>
      <c r="J174" s="367"/>
      <c r="K174" s="367"/>
      <c r="L174" s="367"/>
      <c r="M174" s="367"/>
      <c r="N174" s="367"/>
      <c r="O174" s="367"/>
      <c r="P174" s="364"/>
      <c r="Q174" s="365"/>
      <c r="R174" s="365"/>
      <c r="S174" s="365"/>
      <c r="T174" s="365"/>
      <c r="U174" s="366"/>
      <c r="V174" s="367"/>
      <c r="W174" s="367"/>
      <c r="X174" s="367"/>
      <c r="Y174" s="367"/>
      <c r="Z174" s="367"/>
      <c r="AA174" s="367"/>
      <c r="AB174" s="367"/>
      <c r="AC174" s="367"/>
      <c r="AD174" s="367"/>
      <c r="AE174" s="367"/>
      <c r="AF174" s="367"/>
      <c r="AG174" s="367"/>
      <c r="AH174" s="367"/>
      <c r="AI174" s="367"/>
      <c r="AJ174" s="367"/>
      <c r="AK174" s="367"/>
      <c r="AL174" s="367"/>
      <c r="AM174" s="367"/>
      <c r="AN174" s="367"/>
      <c r="AO174" s="367"/>
      <c r="AP174" s="367"/>
      <c r="AQ174" s="367"/>
      <c r="AR174" s="367"/>
      <c r="AS174" s="367"/>
      <c r="AT174" s="368"/>
      <c r="AU174" s="367"/>
    </row>
    <row r="175" spans="1:47" ht="12.75">
      <c r="A175" s="367"/>
      <c r="B175" s="367"/>
      <c r="C175" s="367"/>
      <c r="D175" s="367"/>
      <c r="E175" s="367"/>
      <c r="F175" s="367"/>
      <c r="G175" s="367"/>
      <c r="H175" s="367"/>
      <c r="I175" s="367"/>
      <c r="J175" s="367"/>
      <c r="K175" s="367"/>
      <c r="L175" s="367"/>
      <c r="M175" s="367"/>
      <c r="N175" s="367"/>
      <c r="O175" s="367"/>
      <c r="P175" s="364"/>
      <c r="Q175" s="365"/>
      <c r="R175" s="365"/>
      <c r="S175" s="365"/>
      <c r="T175" s="365"/>
      <c r="U175" s="366"/>
      <c r="V175" s="367"/>
      <c r="W175" s="367"/>
      <c r="X175" s="367"/>
      <c r="Y175" s="367"/>
      <c r="Z175" s="367"/>
      <c r="AA175" s="367"/>
      <c r="AB175" s="367"/>
      <c r="AC175" s="367"/>
      <c r="AD175" s="367"/>
      <c r="AE175" s="367"/>
      <c r="AF175" s="367"/>
      <c r="AG175" s="367"/>
      <c r="AH175" s="367"/>
      <c r="AI175" s="367"/>
      <c r="AJ175" s="367"/>
      <c r="AK175" s="367"/>
      <c r="AL175" s="367"/>
      <c r="AM175" s="367"/>
      <c r="AN175" s="367"/>
      <c r="AO175" s="367"/>
      <c r="AP175" s="367"/>
      <c r="AQ175" s="367"/>
      <c r="AR175" s="367"/>
      <c r="AS175" s="367"/>
      <c r="AT175" s="368"/>
      <c r="AU175" s="367"/>
    </row>
    <row r="176" spans="1:47" ht="12.75">
      <c r="A176" s="367"/>
      <c r="B176" s="367"/>
      <c r="C176" s="367"/>
      <c r="D176" s="367"/>
      <c r="E176" s="367"/>
      <c r="F176" s="367"/>
      <c r="G176" s="367"/>
      <c r="H176" s="367"/>
      <c r="I176" s="367"/>
      <c r="J176" s="367"/>
      <c r="K176" s="367"/>
      <c r="L176" s="367"/>
      <c r="M176" s="367"/>
      <c r="N176" s="367"/>
      <c r="O176" s="367"/>
      <c r="P176" s="364"/>
      <c r="Q176" s="365"/>
      <c r="R176" s="365"/>
      <c r="S176" s="365"/>
      <c r="T176" s="365"/>
      <c r="U176" s="366"/>
      <c r="V176" s="367"/>
      <c r="W176" s="367"/>
      <c r="X176" s="367"/>
      <c r="Y176" s="367"/>
      <c r="Z176" s="367"/>
      <c r="AA176" s="367"/>
      <c r="AB176" s="367"/>
      <c r="AC176" s="367"/>
      <c r="AD176" s="367"/>
      <c r="AE176" s="367"/>
      <c r="AF176" s="367"/>
      <c r="AG176" s="367"/>
      <c r="AH176" s="367"/>
      <c r="AI176" s="367"/>
      <c r="AJ176" s="367"/>
      <c r="AK176" s="367"/>
      <c r="AL176" s="367"/>
      <c r="AM176" s="367"/>
      <c r="AN176" s="367"/>
      <c r="AO176" s="367"/>
      <c r="AP176" s="367"/>
      <c r="AQ176" s="367"/>
      <c r="AR176" s="367"/>
      <c r="AS176" s="367"/>
      <c r="AT176" s="368"/>
      <c r="AU176" s="367"/>
    </row>
    <row r="177" spans="1:47" ht="12.75">
      <c r="A177" s="367"/>
      <c r="B177" s="367"/>
      <c r="C177" s="367"/>
      <c r="D177" s="367"/>
      <c r="E177" s="367"/>
      <c r="F177" s="367"/>
      <c r="G177" s="367"/>
      <c r="H177" s="367"/>
      <c r="I177" s="367"/>
      <c r="J177" s="367"/>
      <c r="K177" s="367"/>
      <c r="L177" s="367"/>
      <c r="M177" s="367"/>
      <c r="N177" s="367"/>
      <c r="O177" s="367"/>
      <c r="P177" s="364"/>
      <c r="Q177" s="365"/>
      <c r="R177" s="365"/>
      <c r="S177" s="365"/>
      <c r="T177" s="365"/>
      <c r="U177" s="366"/>
      <c r="V177" s="367"/>
      <c r="W177" s="367"/>
      <c r="X177" s="367"/>
      <c r="Y177" s="367"/>
      <c r="Z177" s="367"/>
      <c r="AA177" s="367"/>
      <c r="AB177" s="367"/>
      <c r="AC177" s="367"/>
      <c r="AD177" s="367"/>
      <c r="AE177" s="367"/>
      <c r="AF177" s="367"/>
      <c r="AG177" s="367"/>
      <c r="AH177" s="367"/>
      <c r="AI177" s="367"/>
      <c r="AJ177" s="367"/>
      <c r="AK177" s="367"/>
      <c r="AL177" s="367"/>
      <c r="AM177" s="367"/>
      <c r="AN177" s="367"/>
      <c r="AO177" s="367"/>
      <c r="AP177" s="367"/>
      <c r="AQ177" s="367"/>
      <c r="AR177" s="367"/>
      <c r="AS177" s="367"/>
      <c r="AT177" s="368"/>
      <c r="AU177" s="367"/>
    </row>
    <row r="178" spans="1:47" ht="12.75">
      <c r="A178" s="367"/>
      <c r="B178" s="367"/>
      <c r="C178" s="367"/>
      <c r="D178" s="367"/>
      <c r="E178" s="367"/>
      <c r="F178" s="367"/>
      <c r="G178" s="367"/>
      <c r="H178" s="367"/>
      <c r="I178" s="367"/>
      <c r="J178" s="367"/>
      <c r="K178" s="367"/>
      <c r="L178" s="367"/>
      <c r="M178" s="367"/>
      <c r="N178" s="367"/>
      <c r="O178" s="367"/>
      <c r="P178" s="364"/>
      <c r="Q178" s="365"/>
      <c r="R178" s="365"/>
      <c r="S178" s="365"/>
      <c r="T178" s="365"/>
      <c r="U178" s="366"/>
      <c r="V178" s="367"/>
      <c r="W178" s="367"/>
      <c r="X178" s="367"/>
      <c r="Y178" s="367"/>
      <c r="Z178" s="367"/>
      <c r="AA178" s="367"/>
      <c r="AB178" s="367"/>
      <c r="AC178" s="367"/>
      <c r="AD178" s="367"/>
      <c r="AE178" s="367"/>
      <c r="AF178" s="367"/>
      <c r="AG178" s="367"/>
      <c r="AH178" s="367"/>
      <c r="AI178" s="367"/>
      <c r="AJ178" s="367"/>
      <c r="AK178" s="367"/>
      <c r="AL178" s="367"/>
      <c r="AM178" s="367"/>
      <c r="AN178" s="367"/>
      <c r="AO178" s="367"/>
      <c r="AP178" s="367"/>
      <c r="AQ178" s="367"/>
      <c r="AR178" s="367"/>
      <c r="AS178" s="367"/>
      <c r="AT178" s="368"/>
      <c r="AU178" s="367"/>
    </row>
    <row r="179" spans="1:47" ht="12.75">
      <c r="A179" s="367"/>
      <c r="B179" s="367"/>
      <c r="C179" s="367"/>
      <c r="D179" s="367"/>
      <c r="E179" s="367"/>
      <c r="F179" s="367"/>
      <c r="G179" s="367"/>
      <c r="H179" s="367"/>
      <c r="I179" s="367"/>
      <c r="J179" s="367"/>
      <c r="K179" s="367"/>
      <c r="L179" s="367"/>
      <c r="M179" s="367"/>
      <c r="N179" s="367"/>
      <c r="O179" s="367"/>
      <c r="P179" s="364"/>
      <c r="Q179" s="365"/>
      <c r="R179" s="365"/>
      <c r="S179" s="365"/>
      <c r="T179" s="365"/>
      <c r="U179" s="366"/>
      <c r="V179" s="367"/>
      <c r="W179" s="367"/>
      <c r="X179" s="367"/>
      <c r="Y179" s="367"/>
      <c r="Z179" s="367"/>
      <c r="AA179" s="367"/>
      <c r="AB179" s="367"/>
      <c r="AC179" s="367"/>
      <c r="AD179" s="367"/>
      <c r="AE179" s="367"/>
      <c r="AF179" s="367"/>
      <c r="AG179" s="367"/>
      <c r="AH179" s="367"/>
      <c r="AI179" s="367"/>
      <c r="AJ179" s="367"/>
      <c r="AK179" s="367"/>
      <c r="AL179" s="367"/>
      <c r="AM179" s="367"/>
      <c r="AN179" s="367"/>
      <c r="AO179" s="367"/>
      <c r="AP179" s="367"/>
      <c r="AQ179" s="367"/>
      <c r="AR179" s="367"/>
      <c r="AS179" s="367"/>
      <c r="AT179" s="368"/>
      <c r="AU179" s="367"/>
    </row>
    <row r="180" spans="1:47" ht="12.75">
      <c r="A180" s="367"/>
      <c r="B180" s="367"/>
      <c r="C180" s="367"/>
      <c r="D180" s="367"/>
      <c r="E180" s="367"/>
      <c r="F180" s="367"/>
      <c r="G180" s="367"/>
      <c r="H180" s="367"/>
      <c r="I180" s="367"/>
      <c r="J180" s="367"/>
      <c r="K180" s="367"/>
      <c r="L180" s="367"/>
      <c r="M180" s="367"/>
      <c r="N180" s="367"/>
      <c r="O180" s="367"/>
      <c r="P180" s="364"/>
      <c r="Q180" s="365"/>
      <c r="R180" s="365"/>
      <c r="S180" s="365"/>
      <c r="T180" s="365"/>
      <c r="U180" s="366"/>
      <c r="V180" s="367"/>
      <c r="W180" s="367"/>
      <c r="X180" s="367"/>
      <c r="Y180" s="367"/>
      <c r="Z180" s="367"/>
      <c r="AA180" s="367"/>
      <c r="AB180" s="367"/>
      <c r="AC180" s="367"/>
      <c r="AD180" s="367"/>
      <c r="AE180" s="367"/>
      <c r="AF180" s="367"/>
      <c r="AG180" s="367"/>
      <c r="AH180" s="367"/>
      <c r="AI180" s="367"/>
      <c r="AJ180" s="367"/>
      <c r="AK180" s="367"/>
      <c r="AL180" s="367"/>
      <c r="AM180" s="367"/>
      <c r="AN180" s="367"/>
      <c r="AO180" s="367"/>
      <c r="AP180" s="367"/>
      <c r="AQ180" s="367"/>
      <c r="AR180" s="367"/>
      <c r="AS180" s="367"/>
      <c r="AT180" s="368"/>
      <c r="AU180" s="367"/>
    </row>
    <row r="181" spans="1:47" ht="12.75">
      <c r="A181" s="367"/>
      <c r="B181" s="367"/>
      <c r="C181" s="367"/>
      <c r="D181" s="367"/>
      <c r="E181" s="367"/>
      <c r="F181" s="367"/>
      <c r="G181" s="367"/>
      <c r="H181" s="367"/>
      <c r="I181" s="367"/>
      <c r="J181" s="367"/>
      <c r="K181" s="367"/>
      <c r="L181" s="367"/>
      <c r="M181" s="367"/>
      <c r="N181" s="367"/>
      <c r="O181" s="367"/>
      <c r="P181" s="364"/>
      <c r="Q181" s="365"/>
      <c r="R181" s="365"/>
      <c r="S181" s="365"/>
      <c r="T181" s="365"/>
      <c r="U181" s="366"/>
      <c r="V181" s="367"/>
      <c r="W181" s="367"/>
      <c r="X181" s="367"/>
      <c r="Y181" s="367"/>
      <c r="Z181" s="367"/>
      <c r="AA181" s="367"/>
      <c r="AB181" s="367"/>
      <c r="AC181" s="367"/>
      <c r="AD181" s="367"/>
      <c r="AE181" s="367"/>
      <c r="AF181" s="367"/>
      <c r="AG181" s="367"/>
      <c r="AH181" s="367"/>
      <c r="AI181" s="367"/>
      <c r="AJ181" s="367"/>
      <c r="AK181" s="367"/>
      <c r="AL181" s="367"/>
      <c r="AM181" s="367"/>
      <c r="AN181" s="367"/>
      <c r="AO181" s="367"/>
      <c r="AP181" s="367"/>
      <c r="AQ181" s="367"/>
      <c r="AR181" s="367"/>
      <c r="AS181" s="367"/>
      <c r="AT181" s="368"/>
      <c r="AU181" s="367"/>
    </row>
    <row r="182" spans="1:47" ht="12.75">
      <c r="A182" s="367"/>
      <c r="B182" s="367"/>
      <c r="C182" s="367"/>
      <c r="D182" s="367"/>
      <c r="E182" s="367"/>
      <c r="F182" s="367"/>
      <c r="G182" s="367"/>
      <c r="H182" s="367"/>
      <c r="I182" s="367"/>
      <c r="J182" s="367"/>
      <c r="K182" s="367"/>
      <c r="L182" s="367"/>
      <c r="M182" s="367"/>
      <c r="N182" s="367"/>
      <c r="O182" s="367"/>
      <c r="P182" s="364"/>
      <c r="Q182" s="365"/>
      <c r="R182" s="365"/>
      <c r="S182" s="365"/>
      <c r="T182" s="365"/>
      <c r="U182" s="366"/>
      <c r="V182" s="367"/>
      <c r="W182" s="367"/>
      <c r="X182" s="367"/>
      <c r="Y182" s="367"/>
      <c r="Z182" s="367"/>
      <c r="AA182" s="367"/>
      <c r="AB182" s="367"/>
      <c r="AC182" s="367"/>
      <c r="AD182" s="367"/>
      <c r="AE182" s="367"/>
      <c r="AF182" s="367"/>
      <c r="AG182" s="367"/>
      <c r="AH182" s="367"/>
      <c r="AI182" s="367"/>
      <c r="AJ182" s="367"/>
      <c r="AK182" s="367"/>
      <c r="AL182" s="367"/>
      <c r="AM182" s="367"/>
      <c r="AN182" s="367"/>
      <c r="AO182" s="367"/>
      <c r="AP182" s="367"/>
      <c r="AQ182" s="367"/>
      <c r="AR182" s="367"/>
      <c r="AS182" s="367"/>
      <c r="AT182" s="368"/>
      <c r="AU182" s="367"/>
    </row>
    <row r="183" spans="1:47" ht="12.75">
      <c r="A183" s="367"/>
      <c r="B183" s="367"/>
      <c r="C183" s="367"/>
      <c r="D183" s="367"/>
      <c r="E183" s="367"/>
      <c r="F183" s="367"/>
      <c r="G183" s="367"/>
      <c r="H183" s="367"/>
      <c r="I183" s="367"/>
      <c r="J183" s="367"/>
      <c r="K183" s="367"/>
      <c r="L183" s="367"/>
      <c r="M183" s="367"/>
      <c r="N183" s="367"/>
      <c r="O183" s="367"/>
      <c r="P183" s="364"/>
      <c r="Q183" s="365"/>
      <c r="R183" s="365"/>
      <c r="S183" s="365"/>
      <c r="T183" s="365"/>
      <c r="U183" s="366"/>
      <c r="V183" s="367"/>
      <c r="W183" s="367"/>
      <c r="X183" s="367"/>
      <c r="Y183" s="367"/>
      <c r="Z183" s="367"/>
      <c r="AA183" s="367"/>
      <c r="AB183" s="367"/>
      <c r="AC183" s="367"/>
      <c r="AD183" s="367"/>
      <c r="AE183" s="367"/>
      <c r="AF183" s="367"/>
      <c r="AG183" s="367"/>
      <c r="AH183" s="367"/>
      <c r="AI183" s="367"/>
      <c r="AJ183" s="367"/>
      <c r="AK183" s="367"/>
      <c r="AL183" s="367"/>
      <c r="AM183" s="367"/>
      <c r="AN183" s="367"/>
      <c r="AO183" s="367"/>
      <c r="AP183" s="367"/>
      <c r="AQ183" s="367"/>
      <c r="AR183" s="367"/>
      <c r="AS183" s="367"/>
      <c r="AT183" s="368"/>
      <c r="AU183" s="367"/>
    </row>
    <row r="184" spans="1:47" ht="12.75">
      <c r="A184" s="367"/>
      <c r="B184" s="367"/>
      <c r="C184" s="367"/>
      <c r="D184" s="367"/>
      <c r="E184" s="367"/>
      <c r="F184" s="367"/>
      <c r="G184" s="367"/>
      <c r="H184" s="367"/>
      <c r="I184" s="367"/>
      <c r="J184" s="367"/>
      <c r="K184" s="367"/>
      <c r="L184" s="367"/>
      <c r="M184" s="367"/>
      <c r="N184" s="367"/>
      <c r="O184" s="367"/>
      <c r="P184" s="364"/>
      <c r="Q184" s="365"/>
      <c r="R184" s="365"/>
      <c r="S184" s="365"/>
      <c r="T184" s="365"/>
      <c r="U184" s="366"/>
      <c r="V184" s="367"/>
      <c r="W184" s="367"/>
      <c r="X184" s="367"/>
      <c r="Y184" s="367"/>
      <c r="Z184" s="367"/>
      <c r="AA184" s="367"/>
      <c r="AB184" s="367"/>
      <c r="AC184" s="367"/>
      <c r="AD184" s="367"/>
      <c r="AE184" s="367"/>
      <c r="AF184" s="367"/>
      <c r="AG184" s="367"/>
      <c r="AH184" s="367"/>
      <c r="AI184" s="367"/>
      <c r="AJ184" s="367"/>
      <c r="AK184" s="367"/>
      <c r="AL184" s="367"/>
      <c r="AM184" s="367"/>
      <c r="AN184" s="367"/>
      <c r="AO184" s="367"/>
      <c r="AP184" s="367"/>
      <c r="AQ184" s="367"/>
      <c r="AR184" s="367"/>
      <c r="AS184" s="367"/>
      <c r="AT184" s="368"/>
      <c r="AU184" s="367"/>
    </row>
    <row r="185" spans="1:47" ht="12.75">
      <c r="A185" s="367"/>
      <c r="B185" s="367"/>
      <c r="C185" s="367"/>
      <c r="D185" s="367"/>
      <c r="E185" s="367"/>
      <c r="F185" s="367"/>
      <c r="G185" s="367"/>
      <c r="H185" s="367"/>
      <c r="I185" s="367"/>
      <c r="J185" s="367"/>
      <c r="K185" s="367"/>
      <c r="L185" s="367"/>
      <c r="M185" s="367"/>
      <c r="N185" s="367"/>
      <c r="O185" s="367"/>
      <c r="P185" s="364"/>
      <c r="Q185" s="365"/>
      <c r="R185" s="365"/>
      <c r="S185" s="365"/>
      <c r="T185" s="365"/>
      <c r="U185" s="366"/>
      <c r="V185" s="367"/>
      <c r="W185" s="367"/>
      <c r="X185" s="367"/>
      <c r="Y185" s="367"/>
      <c r="Z185" s="367"/>
      <c r="AA185" s="367"/>
      <c r="AB185" s="367"/>
      <c r="AC185" s="367"/>
      <c r="AD185" s="367"/>
      <c r="AE185" s="367"/>
      <c r="AF185" s="367"/>
      <c r="AG185" s="367"/>
      <c r="AH185" s="367"/>
      <c r="AI185" s="367"/>
      <c r="AJ185" s="367"/>
      <c r="AK185" s="367"/>
      <c r="AL185" s="367"/>
      <c r="AM185" s="367"/>
      <c r="AN185" s="367"/>
      <c r="AO185" s="367"/>
      <c r="AP185" s="367"/>
      <c r="AQ185" s="367"/>
      <c r="AR185" s="367"/>
      <c r="AS185" s="367"/>
      <c r="AT185" s="368"/>
      <c r="AU185" s="367"/>
    </row>
    <row r="186" spans="1:47" ht="12.75">
      <c r="A186" s="367"/>
      <c r="B186" s="367"/>
      <c r="C186" s="367"/>
      <c r="D186" s="367"/>
      <c r="E186" s="367"/>
      <c r="F186" s="367"/>
      <c r="G186" s="367"/>
      <c r="H186" s="367"/>
      <c r="I186" s="367"/>
      <c r="J186" s="367"/>
      <c r="K186" s="367"/>
      <c r="L186" s="367"/>
      <c r="M186" s="367"/>
      <c r="N186" s="367"/>
      <c r="O186" s="367"/>
      <c r="P186" s="364"/>
      <c r="Q186" s="365"/>
      <c r="R186" s="365"/>
      <c r="S186" s="365"/>
      <c r="T186" s="365"/>
      <c r="U186" s="366"/>
      <c r="V186" s="367"/>
      <c r="W186" s="367"/>
      <c r="X186" s="367"/>
      <c r="Y186" s="367"/>
      <c r="Z186" s="367"/>
      <c r="AA186" s="367"/>
      <c r="AB186" s="367"/>
      <c r="AC186" s="367"/>
      <c r="AD186" s="367"/>
      <c r="AE186" s="367"/>
      <c r="AF186" s="367"/>
      <c r="AG186" s="367"/>
      <c r="AH186" s="367"/>
      <c r="AI186" s="367"/>
      <c r="AJ186" s="367"/>
      <c r="AK186" s="367"/>
      <c r="AL186" s="367"/>
      <c r="AM186" s="367"/>
      <c r="AN186" s="367"/>
      <c r="AO186" s="367"/>
      <c r="AP186" s="367"/>
      <c r="AQ186" s="367"/>
      <c r="AR186" s="367"/>
      <c r="AS186" s="367"/>
      <c r="AT186" s="368"/>
      <c r="AU186" s="367"/>
    </row>
    <row r="187" spans="1:47" ht="12.75">
      <c r="A187" s="367"/>
      <c r="B187" s="367"/>
      <c r="C187" s="367"/>
      <c r="D187" s="367"/>
      <c r="E187" s="367"/>
      <c r="F187" s="367"/>
      <c r="G187" s="367"/>
      <c r="H187" s="367"/>
      <c r="I187" s="367"/>
      <c r="J187" s="367"/>
      <c r="K187" s="367"/>
      <c r="L187" s="367"/>
      <c r="M187" s="367"/>
      <c r="N187" s="367"/>
      <c r="O187" s="367"/>
      <c r="P187" s="364"/>
      <c r="Q187" s="365"/>
      <c r="R187" s="365"/>
      <c r="S187" s="365"/>
      <c r="T187" s="365"/>
      <c r="U187" s="366"/>
      <c r="V187" s="367"/>
      <c r="W187" s="367"/>
      <c r="X187" s="367"/>
      <c r="Y187" s="367"/>
      <c r="Z187" s="367"/>
      <c r="AA187" s="367"/>
      <c r="AB187" s="367"/>
      <c r="AC187" s="367"/>
      <c r="AD187" s="367"/>
      <c r="AE187" s="367"/>
      <c r="AF187" s="367"/>
      <c r="AG187" s="367"/>
      <c r="AH187" s="367"/>
      <c r="AI187" s="367"/>
      <c r="AJ187" s="367"/>
      <c r="AK187" s="367"/>
      <c r="AL187" s="367"/>
      <c r="AM187" s="367"/>
      <c r="AN187" s="367"/>
      <c r="AO187" s="367"/>
      <c r="AP187" s="367"/>
      <c r="AQ187" s="367"/>
      <c r="AR187" s="367"/>
      <c r="AS187" s="367"/>
      <c r="AT187" s="368"/>
      <c r="AU187" s="367"/>
    </row>
    <row r="188" spans="1:47" ht="12.75">
      <c r="A188" s="367"/>
      <c r="B188" s="367"/>
      <c r="C188" s="367"/>
      <c r="D188" s="367"/>
      <c r="E188" s="367"/>
      <c r="F188" s="367"/>
      <c r="G188" s="367"/>
      <c r="H188" s="367"/>
      <c r="I188" s="367"/>
      <c r="J188" s="367"/>
      <c r="K188" s="367"/>
      <c r="L188" s="367"/>
      <c r="M188" s="367"/>
      <c r="N188" s="367"/>
      <c r="O188" s="367"/>
      <c r="P188" s="364"/>
      <c r="Q188" s="365"/>
      <c r="R188" s="365"/>
      <c r="S188" s="365"/>
      <c r="T188" s="365"/>
      <c r="U188" s="366"/>
      <c r="V188" s="367"/>
      <c r="W188" s="367"/>
      <c r="X188" s="367"/>
      <c r="Y188" s="367"/>
      <c r="Z188" s="367"/>
      <c r="AA188" s="367"/>
      <c r="AB188" s="367"/>
      <c r="AC188" s="367"/>
      <c r="AD188" s="367"/>
      <c r="AE188" s="367"/>
      <c r="AF188" s="367"/>
      <c r="AG188" s="367"/>
      <c r="AH188" s="367"/>
      <c r="AI188" s="367"/>
      <c r="AJ188" s="367"/>
      <c r="AK188" s="367"/>
      <c r="AL188" s="367"/>
      <c r="AM188" s="367"/>
      <c r="AN188" s="367"/>
      <c r="AO188" s="367"/>
      <c r="AP188" s="367"/>
      <c r="AQ188" s="367"/>
      <c r="AR188" s="367"/>
      <c r="AS188" s="367"/>
      <c r="AT188" s="368"/>
      <c r="AU188" s="367"/>
    </row>
    <row r="189" spans="1:47" ht="12.75">
      <c r="A189" s="367"/>
      <c r="B189" s="367"/>
      <c r="C189" s="367"/>
      <c r="D189" s="367"/>
      <c r="E189" s="367"/>
      <c r="F189" s="367"/>
      <c r="G189" s="367"/>
      <c r="H189" s="367"/>
      <c r="I189" s="367"/>
      <c r="J189" s="367"/>
      <c r="K189" s="367"/>
      <c r="L189" s="367"/>
      <c r="M189" s="367"/>
      <c r="N189" s="367"/>
      <c r="O189" s="367"/>
      <c r="P189" s="364"/>
      <c r="Q189" s="365"/>
      <c r="R189" s="365"/>
      <c r="S189" s="365"/>
      <c r="T189" s="365"/>
      <c r="U189" s="366"/>
      <c r="V189" s="367"/>
      <c r="W189" s="367"/>
      <c r="X189" s="367"/>
      <c r="Y189" s="367"/>
      <c r="Z189" s="367"/>
      <c r="AA189" s="367"/>
      <c r="AB189" s="367"/>
      <c r="AC189" s="367"/>
      <c r="AD189" s="367"/>
      <c r="AE189" s="367"/>
      <c r="AF189" s="367"/>
      <c r="AG189" s="367"/>
      <c r="AH189" s="367"/>
      <c r="AI189" s="367"/>
      <c r="AJ189" s="367"/>
      <c r="AK189" s="367"/>
      <c r="AL189" s="367"/>
      <c r="AM189" s="367"/>
      <c r="AN189" s="367"/>
      <c r="AO189" s="367"/>
      <c r="AP189" s="367"/>
      <c r="AQ189" s="367"/>
      <c r="AR189" s="367"/>
      <c r="AS189" s="367"/>
      <c r="AT189" s="368"/>
      <c r="AU189" s="367"/>
    </row>
    <row r="190" spans="1:47" ht="12.75">
      <c r="A190" s="367"/>
      <c r="B190" s="367"/>
      <c r="C190" s="367"/>
      <c r="D190" s="367"/>
      <c r="E190" s="367"/>
      <c r="F190" s="367"/>
      <c r="G190" s="367"/>
      <c r="H190" s="367"/>
      <c r="I190" s="367"/>
      <c r="J190" s="367"/>
      <c r="K190" s="367"/>
      <c r="L190" s="367"/>
      <c r="M190" s="367"/>
      <c r="N190" s="367"/>
      <c r="O190" s="367"/>
      <c r="P190" s="364"/>
      <c r="Q190" s="365"/>
      <c r="R190" s="365"/>
      <c r="S190" s="365"/>
      <c r="T190" s="365"/>
      <c r="U190" s="366"/>
      <c r="V190" s="367"/>
      <c r="W190" s="367"/>
      <c r="X190" s="367"/>
      <c r="Y190" s="367"/>
      <c r="Z190" s="367"/>
      <c r="AA190" s="367"/>
      <c r="AB190" s="367"/>
      <c r="AC190" s="367"/>
      <c r="AD190" s="367"/>
      <c r="AE190" s="367"/>
      <c r="AF190" s="367"/>
      <c r="AG190" s="367"/>
      <c r="AH190" s="367"/>
      <c r="AI190" s="367"/>
      <c r="AJ190" s="367"/>
      <c r="AK190" s="367"/>
      <c r="AL190" s="367"/>
      <c r="AM190" s="367"/>
      <c r="AN190" s="367"/>
      <c r="AO190" s="367"/>
      <c r="AP190" s="367"/>
      <c r="AQ190" s="367"/>
      <c r="AR190" s="367"/>
      <c r="AS190" s="367"/>
      <c r="AT190" s="368"/>
      <c r="AU190" s="367"/>
    </row>
    <row r="191" spans="1:47" ht="12.75">
      <c r="A191" s="367"/>
      <c r="B191" s="367"/>
      <c r="C191" s="367"/>
      <c r="D191" s="367"/>
      <c r="E191" s="367"/>
      <c r="F191" s="367"/>
      <c r="G191" s="367"/>
      <c r="H191" s="367"/>
      <c r="I191" s="367"/>
      <c r="J191" s="367"/>
      <c r="K191" s="367"/>
      <c r="L191" s="367"/>
      <c r="M191" s="367"/>
      <c r="N191" s="367"/>
      <c r="O191" s="367"/>
      <c r="P191" s="364"/>
      <c r="Q191" s="365"/>
      <c r="R191" s="365"/>
      <c r="S191" s="365"/>
      <c r="T191" s="365"/>
      <c r="U191" s="366"/>
      <c r="V191" s="367"/>
      <c r="W191" s="367"/>
      <c r="X191" s="367"/>
      <c r="Y191" s="367"/>
      <c r="Z191" s="367"/>
      <c r="AA191" s="367"/>
      <c r="AB191" s="367"/>
      <c r="AC191" s="367"/>
      <c r="AD191" s="367"/>
      <c r="AE191" s="367"/>
      <c r="AF191" s="367"/>
      <c r="AG191" s="367"/>
      <c r="AH191" s="367"/>
      <c r="AI191" s="367"/>
      <c r="AJ191" s="367"/>
      <c r="AK191" s="367"/>
      <c r="AL191" s="367"/>
      <c r="AM191" s="367"/>
      <c r="AN191" s="367"/>
      <c r="AO191" s="367"/>
      <c r="AP191" s="367"/>
      <c r="AQ191" s="367"/>
      <c r="AR191" s="367"/>
      <c r="AS191" s="367"/>
      <c r="AT191" s="368"/>
      <c r="AU191" s="367"/>
    </row>
    <row r="192" spans="1:47" ht="12.75">
      <c r="A192" s="367"/>
      <c r="B192" s="367"/>
      <c r="C192" s="367"/>
      <c r="D192" s="367"/>
      <c r="E192" s="367"/>
      <c r="F192" s="367"/>
      <c r="G192" s="367"/>
      <c r="H192" s="367"/>
      <c r="I192" s="367"/>
      <c r="J192" s="367"/>
      <c r="K192" s="367"/>
      <c r="L192" s="367"/>
      <c r="M192" s="367"/>
      <c r="N192" s="367"/>
      <c r="O192" s="367"/>
      <c r="P192" s="364"/>
      <c r="Q192" s="365"/>
      <c r="R192" s="365"/>
      <c r="S192" s="365"/>
      <c r="T192" s="365"/>
      <c r="U192" s="366"/>
      <c r="V192" s="367"/>
      <c r="W192" s="367"/>
      <c r="X192" s="367"/>
      <c r="Y192" s="367"/>
      <c r="Z192" s="367"/>
      <c r="AA192" s="367"/>
      <c r="AB192" s="367"/>
      <c r="AC192" s="367"/>
      <c r="AD192" s="367"/>
      <c r="AE192" s="367"/>
      <c r="AF192" s="367"/>
      <c r="AG192" s="367"/>
      <c r="AH192" s="367"/>
      <c r="AI192" s="367"/>
      <c r="AJ192" s="367"/>
      <c r="AK192" s="367"/>
      <c r="AL192" s="367"/>
      <c r="AM192" s="367"/>
      <c r="AN192" s="367"/>
      <c r="AO192" s="367"/>
      <c r="AP192" s="367"/>
      <c r="AQ192" s="367"/>
      <c r="AR192" s="367"/>
      <c r="AS192" s="367"/>
      <c r="AT192" s="368"/>
      <c r="AU192" s="367"/>
    </row>
    <row r="193" spans="1:47" ht="12.75">
      <c r="A193" s="367"/>
      <c r="B193" s="367"/>
      <c r="C193" s="367"/>
      <c r="D193" s="367"/>
      <c r="E193" s="367"/>
      <c r="F193" s="367"/>
      <c r="G193" s="367"/>
      <c r="H193" s="367"/>
      <c r="I193" s="367"/>
      <c r="J193" s="367"/>
      <c r="K193" s="367"/>
      <c r="L193" s="367"/>
      <c r="M193" s="367"/>
      <c r="N193" s="367"/>
      <c r="O193" s="367"/>
      <c r="P193" s="364"/>
      <c r="Q193" s="365"/>
      <c r="R193" s="365"/>
      <c r="S193" s="365"/>
      <c r="T193" s="365"/>
      <c r="U193" s="366"/>
      <c r="V193" s="367"/>
      <c r="W193" s="367"/>
      <c r="X193" s="367"/>
      <c r="Y193" s="367"/>
      <c r="Z193" s="367"/>
      <c r="AA193" s="367"/>
      <c r="AB193" s="367"/>
      <c r="AC193" s="367"/>
      <c r="AD193" s="367"/>
      <c r="AE193" s="367"/>
      <c r="AF193" s="367"/>
      <c r="AG193" s="367"/>
      <c r="AH193" s="367"/>
      <c r="AI193" s="367"/>
      <c r="AJ193" s="367"/>
      <c r="AK193" s="367"/>
      <c r="AL193" s="367"/>
      <c r="AM193" s="367"/>
      <c r="AN193" s="367"/>
      <c r="AO193" s="367"/>
      <c r="AP193" s="367"/>
      <c r="AQ193" s="367"/>
      <c r="AR193" s="367"/>
      <c r="AS193" s="367"/>
      <c r="AT193" s="368"/>
      <c r="AU193" s="367"/>
    </row>
    <row r="194" spans="1:47" ht="12.75">
      <c r="A194" s="367"/>
      <c r="B194" s="367"/>
      <c r="C194" s="367"/>
      <c r="D194" s="367"/>
      <c r="E194" s="367"/>
      <c r="F194" s="367"/>
      <c r="G194" s="367"/>
      <c r="H194" s="367"/>
      <c r="I194" s="367"/>
      <c r="J194" s="367"/>
      <c r="K194" s="367"/>
      <c r="L194" s="367"/>
      <c r="M194" s="367"/>
      <c r="N194" s="367"/>
      <c r="O194" s="367"/>
      <c r="P194" s="364"/>
      <c r="Q194" s="365"/>
      <c r="R194" s="365"/>
      <c r="S194" s="365"/>
      <c r="T194" s="365"/>
      <c r="U194" s="366"/>
      <c r="V194" s="367"/>
      <c r="W194" s="367"/>
      <c r="X194" s="367"/>
      <c r="Y194" s="367"/>
      <c r="Z194" s="367"/>
      <c r="AA194" s="367"/>
      <c r="AB194" s="367"/>
      <c r="AC194" s="367"/>
      <c r="AD194" s="367"/>
      <c r="AE194" s="367"/>
      <c r="AF194" s="367"/>
      <c r="AG194" s="367"/>
      <c r="AH194" s="367"/>
      <c r="AI194" s="367"/>
      <c r="AJ194" s="367"/>
      <c r="AK194" s="367"/>
      <c r="AL194" s="367"/>
      <c r="AM194" s="367"/>
      <c r="AN194" s="367"/>
      <c r="AO194" s="367"/>
      <c r="AP194" s="367"/>
      <c r="AQ194" s="367"/>
      <c r="AR194" s="367"/>
      <c r="AS194" s="367"/>
      <c r="AT194" s="368"/>
      <c r="AU194" s="367"/>
    </row>
    <row r="195" spans="1:47" ht="12.75">
      <c r="A195" s="367"/>
      <c r="B195" s="367"/>
      <c r="C195" s="367"/>
      <c r="D195" s="367"/>
      <c r="E195" s="367"/>
      <c r="F195" s="367"/>
      <c r="G195" s="367"/>
      <c r="H195" s="367"/>
      <c r="I195" s="367"/>
      <c r="J195" s="367"/>
      <c r="K195" s="367"/>
      <c r="L195" s="367"/>
      <c r="M195" s="367"/>
      <c r="N195" s="367"/>
      <c r="O195" s="367"/>
      <c r="P195" s="364"/>
      <c r="Q195" s="365"/>
      <c r="R195" s="365"/>
      <c r="S195" s="365"/>
      <c r="T195" s="365"/>
      <c r="U195" s="366"/>
      <c r="V195" s="367"/>
      <c r="W195" s="367"/>
      <c r="X195" s="367"/>
      <c r="Y195" s="367"/>
      <c r="Z195" s="367"/>
      <c r="AA195" s="367"/>
      <c r="AB195" s="367"/>
      <c r="AC195" s="367"/>
      <c r="AD195" s="367"/>
      <c r="AE195" s="367"/>
      <c r="AF195" s="367"/>
      <c r="AG195" s="367"/>
      <c r="AH195" s="367"/>
      <c r="AI195" s="367"/>
      <c r="AJ195" s="367"/>
      <c r="AK195" s="367"/>
      <c r="AL195" s="367"/>
      <c r="AM195" s="367"/>
      <c r="AN195" s="367"/>
      <c r="AO195" s="367"/>
      <c r="AP195" s="367"/>
      <c r="AQ195" s="367"/>
      <c r="AR195" s="367"/>
      <c r="AS195" s="367"/>
      <c r="AT195" s="368"/>
      <c r="AU195" s="367"/>
    </row>
    <row r="196" spans="1:47" ht="12.75">
      <c r="A196" s="367"/>
      <c r="B196" s="367"/>
      <c r="C196" s="367"/>
      <c r="D196" s="367"/>
      <c r="E196" s="367"/>
      <c r="F196" s="367"/>
      <c r="G196" s="367"/>
      <c r="H196" s="367"/>
      <c r="I196" s="367"/>
      <c r="J196" s="367"/>
      <c r="K196" s="367"/>
      <c r="L196" s="367"/>
      <c r="M196" s="367"/>
      <c r="N196" s="367"/>
      <c r="O196" s="367"/>
      <c r="P196" s="364"/>
      <c r="Q196" s="365"/>
      <c r="R196" s="365"/>
      <c r="S196" s="365"/>
      <c r="T196" s="365"/>
      <c r="U196" s="366"/>
      <c r="V196" s="367"/>
      <c r="W196" s="367"/>
      <c r="X196" s="367"/>
      <c r="Y196" s="367"/>
      <c r="Z196" s="367"/>
      <c r="AA196" s="367"/>
      <c r="AB196" s="367"/>
      <c r="AC196" s="367"/>
      <c r="AD196" s="367"/>
      <c r="AE196" s="367"/>
      <c r="AF196" s="367"/>
      <c r="AG196" s="367"/>
      <c r="AH196" s="367"/>
      <c r="AI196" s="367"/>
      <c r="AJ196" s="367"/>
      <c r="AK196" s="367"/>
      <c r="AL196" s="367"/>
      <c r="AM196" s="367"/>
      <c r="AN196" s="367"/>
      <c r="AO196" s="367"/>
      <c r="AP196" s="367"/>
      <c r="AQ196" s="367"/>
      <c r="AR196" s="367"/>
      <c r="AS196" s="367"/>
      <c r="AT196" s="368"/>
      <c r="AU196" s="367"/>
    </row>
    <row r="197" spans="1:47" ht="12.75">
      <c r="A197" s="367"/>
      <c r="B197" s="367"/>
      <c r="C197" s="367"/>
      <c r="D197" s="367"/>
      <c r="E197" s="367"/>
      <c r="F197" s="367"/>
      <c r="G197" s="367"/>
      <c r="H197" s="367"/>
      <c r="I197" s="367"/>
      <c r="J197" s="367"/>
      <c r="K197" s="367"/>
      <c r="L197" s="367"/>
      <c r="M197" s="367"/>
      <c r="N197" s="367"/>
      <c r="O197" s="367"/>
      <c r="P197" s="364"/>
      <c r="Q197" s="365"/>
      <c r="R197" s="365"/>
      <c r="S197" s="365"/>
      <c r="T197" s="365"/>
      <c r="U197" s="366"/>
      <c r="V197" s="367"/>
      <c r="W197" s="367"/>
      <c r="X197" s="367"/>
      <c r="Y197" s="367"/>
      <c r="Z197" s="367"/>
      <c r="AA197" s="367"/>
      <c r="AB197" s="367"/>
      <c r="AC197" s="367"/>
      <c r="AD197" s="367"/>
      <c r="AE197" s="367"/>
      <c r="AF197" s="367"/>
      <c r="AG197" s="367"/>
      <c r="AH197" s="367"/>
      <c r="AI197" s="367"/>
      <c r="AJ197" s="367"/>
      <c r="AK197" s="367"/>
      <c r="AL197" s="367"/>
      <c r="AM197" s="367"/>
      <c r="AN197" s="367"/>
      <c r="AO197" s="367"/>
      <c r="AP197" s="367"/>
      <c r="AQ197" s="367"/>
      <c r="AR197" s="367"/>
      <c r="AS197" s="367"/>
      <c r="AT197" s="368"/>
      <c r="AU197" s="367"/>
    </row>
    <row r="198" spans="1:47" ht="12.75">
      <c r="A198" s="367"/>
      <c r="B198" s="367"/>
      <c r="C198" s="367"/>
      <c r="D198" s="367"/>
      <c r="E198" s="367"/>
      <c r="F198" s="367"/>
      <c r="G198" s="367"/>
      <c r="H198" s="367"/>
      <c r="I198" s="367"/>
      <c r="J198" s="367"/>
      <c r="K198" s="367"/>
      <c r="L198" s="367"/>
      <c r="M198" s="367"/>
      <c r="N198" s="367"/>
      <c r="O198" s="367"/>
      <c r="P198" s="364"/>
      <c r="Q198" s="365"/>
      <c r="R198" s="365"/>
      <c r="S198" s="365"/>
      <c r="T198" s="365"/>
      <c r="U198" s="366"/>
      <c r="V198" s="367"/>
      <c r="W198" s="367"/>
      <c r="X198" s="367"/>
      <c r="Y198" s="367"/>
      <c r="Z198" s="367"/>
      <c r="AA198" s="367"/>
      <c r="AB198" s="367"/>
      <c r="AC198" s="367"/>
      <c r="AD198" s="367"/>
      <c r="AE198" s="367"/>
      <c r="AF198" s="367"/>
      <c r="AG198" s="367"/>
      <c r="AH198" s="367"/>
      <c r="AI198" s="367"/>
      <c r="AJ198" s="367"/>
      <c r="AK198" s="367"/>
      <c r="AL198" s="367"/>
      <c r="AM198" s="367"/>
      <c r="AN198" s="367"/>
      <c r="AO198" s="367"/>
      <c r="AP198" s="367"/>
      <c r="AQ198" s="367"/>
      <c r="AR198" s="367"/>
      <c r="AS198" s="367"/>
      <c r="AT198" s="368"/>
      <c r="AU198" s="367"/>
    </row>
    <row r="199" spans="1:47" ht="12.75">
      <c r="A199" s="367"/>
      <c r="B199" s="367"/>
      <c r="C199" s="367"/>
      <c r="D199" s="367"/>
      <c r="E199" s="367"/>
      <c r="F199" s="367"/>
      <c r="G199" s="367"/>
      <c r="H199" s="367"/>
      <c r="I199" s="367"/>
      <c r="J199" s="367"/>
      <c r="K199" s="367"/>
      <c r="L199" s="367"/>
      <c r="M199" s="367"/>
      <c r="N199" s="367"/>
      <c r="O199" s="367"/>
      <c r="P199" s="364"/>
      <c r="Q199" s="365"/>
      <c r="R199" s="365"/>
      <c r="S199" s="365"/>
      <c r="T199" s="365"/>
      <c r="U199" s="366"/>
      <c r="V199" s="367"/>
      <c r="W199" s="367"/>
      <c r="X199" s="367"/>
      <c r="Y199" s="367"/>
      <c r="Z199" s="367"/>
      <c r="AA199" s="367"/>
      <c r="AB199" s="367"/>
      <c r="AC199" s="367"/>
      <c r="AD199" s="367"/>
      <c r="AE199" s="367"/>
      <c r="AF199" s="367"/>
      <c r="AG199" s="367"/>
      <c r="AH199" s="367"/>
      <c r="AI199" s="367"/>
      <c r="AJ199" s="367"/>
      <c r="AK199" s="367"/>
      <c r="AL199" s="367"/>
      <c r="AM199" s="367"/>
      <c r="AN199" s="367"/>
      <c r="AO199" s="367"/>
      <c r="AP199" s="367"/>
      <c r="AQ199" s="367"/>
      <c r="AR199" s="367"/>
      <c r="AS199" s="367"/>
      <c r="AT199" s="368"/>
      <c r="AU199" s="367"/>
    </row>
    <row r="200" spans="1:47" ht="12.75">
      <c r="A200" s="367"/>
      <c r="B200" s="367"/>
      <c r="C200" s="367"/>
      <c r="D200" s="367"/>
      <c r="E200" s="367"/>
      <c r="F200" s="367"/>
      <c r="G200" s="367"/>
      <c r="H200" s="367"/>
      <c r="I200" s="367"/>
      <c r="J200" s="367"/>
      <c r="K200" s="367"/>
      <c r="L200" s="367"/>
      <c r="M200" s="367"/>
      <c r="N200" s="367"/>
      <c r="O200" s="367"/>
      <c r="P200" s="364"/>
      <c r="Q200" s="365"/>
      <c r="R200" s="365"/>
      <c r="S200" s="365"/>
      <c r="T200" s="365"/>
      <c r="U200" s="366"/>
      <c r="V200" s="367"/>
      <c r="W200" s="367"/>
      <c r="X200" s="367"/>
      <c r="Y200" s="367"/>
      <c r="Z200" s="367"/>
      <c r="AA200" s="367"/>
      <c r="AB200" s="367"/>
      <c r="AC200" s="367"/>
      <c r="AD200" s="367"/>
      <c r="AE200" s="367"/>
      <c r="AF200" s="367"/>
      <c r="AG200" s="367"/>
      <c r="AH200" s="367"/>
      <c r="AI200" s="367"/>
      <c r="AJ200" s="367"/>
      <c r="AK200" s="367"/>
      <c r="AL200" s="367"/>
      <c r="AM200" s="367"/>
      <c r="AN200" s="367"/>
      <c r="AO200" s="367"/>
      <c r="AP200" s="367"/>
      <c r="AQ200" s="367"/>
      <c r="AR200" s="367"/>
      <c r="AS200" s="367"/>
      <c r="AT200" s="368"/>
      <c r="AU200" s="367"/>
    </row>
    <row r="201" spans="1:47" ht="12.75">
      <c r="A201" s="367"/>
      <c r="B201" s="367"/>
      <c r="C201" s="367"/>
      <c r="D201" s="367"/>
      <c r="E201" s="367"/>
      <c r="F201" s="367"/>
      <c r="G201" s="367"/>
      <c r="H201" s="367"/>
      <c r="I201" s="367"/>
      <c r="J201" s="367"/>
      <c r="K201" s="367"/>
      <c r="L201" s="367"/>
      <c r="M201" s="367"/>
      <c r="N201" s="367"/>
      <c r="O201" s="367"/>
      <c r="P201" s="364"/>
      <c r="Q201" s="365"/>
      <c r="R201" s="365"/>
      <c r="S201" s="365"/>
      <c r="T201" s="365"/>
      <c r="U201" s="366"/>
      <c r="V201" s="367"/>
      <c r="W201" s="367"/>
      <c r="X201" s="367"/>
      <c r="Y201" s="367"/>
      <c r="Z201" s="367"/>
      <c r="AA201" s="367"/>
      <c r="AB201" s="367"/>
      <c r="AC201" s="367"/>
      <c r="AD201" s="367"/>
      <c r="AE201" s="367"/>
      <c r="AF201" s="367"/>
      <c r="AG201" s="367"/>
      <c r="AH201" s="367"/>
      <c r="AI201" s="367"/>
      <c r="AJ201" s="367"/>
      <c r="AK201" s="367"/>
      <c r="AL201" s="367"/>
      <c r="AM201" s="367"/>
      <c r="AN201" s="367"/>
      <c r="AO201" s="367"/>
      <c r="AP201" s="367"/>
      <c r="AQ201" s="367"/>
      <c r="AR201" s="367"/>
      <c r="AS201" s="367"/>
      <c r="AT201" s="368"/>
      <c r="AU201" s="367"/>
    </row>
    <row r="202" spans="1:47" ht="12.75">
      <c r="A202" s="367"/>
      <c r="B202" s="367"/>
      <c r="C202" s="367"/>
      <c r="D202" s="367"/>
      <c r="E202" s="367"/>
      <c r="F202" s="367"/>
      <c r="G202" s="367"/>
      <c r="H202" s="367"/>
      <c r="I202" s="367"/>
      <c r="J202" s="367"/>
      <c r="K202" s="367"/>
      <c r="L202" s="367"/>
      <c r="M202" s="367"/>
      <c r="N202" s="367"/>
      <c r="O202" s="367"/>
      <c r="P202" s="364"/>
      <c r="Q202" s="365"/>
      <c r="R202" s="365"/>
      <c r="S202" s="365"/>
      <c r="T202" s="365"/>
      <c r="U202" s="366"/>
      <c r="V202" s="367"/>
      <c r="W202" s="367"/>
      <c r="X202" s="367"/>
      <c r="Y202" s="367"/>
      <c r="Z202" s="367"/>
      <c r="AA202" s="367"/>
      <c r="AB202" s="367"/>
      <c r="AC202" s="367"/>
      <c r="AD202" s="367"/>
      <c r="AE202" s="367"/>
      <c r="AF202" s="367"/>
      <c r="AG202" s="367"/>
      <c r="AH202" s="367"/>
      <c r="AI202" s="367"/>
      <c r="AJ202" s="367"/>
      <c r="AK202" s="367"/>
      <c r="AL202" s="367"/>
      <c r="AM202" s="367"/>
      <c r="AN202" s="367"/>
      <c r="AO202" s="367"/>
      <c r="AP202" s="367"/>
      <c r="AQ202" s="367"/>
      <c r="AR202" s="367"/>
      <c r="AS202" s="367"/>
      <c r="AT202" s="368"/>
      <c r="AU202" s="367"/>
    </row>
    <row r="203" spans="1:47" ht="12.75">
      <c r="A203" s="367"/>
      <c r="B203" s="367"/>
      <c r="C203" s="367"/>
      <c r="D203" s="367"/>
      <c r="E203" s="367"/>
      <c r="F203" s="367"/>
      <c r="G203" s="367"/>
      <c r="H203" s="367"/>
      <c r="I203" s="367"/>
      <c r="J203" s="367"/>
      <c r="K203" s="367"/>
      <c r="L203" s="367"/>
      <c r="M203" s="367"/>
      <c r="N203" s="367"/>
      <c r="O203" s="367"/>
      <c r="P203" s="364"/>
      <c r="Q203" s="365"/>
      <c r="R203" s="365"/>
      <c r="S203" s="365"/>
      <c r="T203" s="365"/>
      <c r="U203" s="366"/>
      <c r="V203" s="367"/>
      <c r="W203" s="367"/>
      <c r="X203" s="367"/>
      <c r="Y203" s="367"/>
      <c r="Z203" s="367"/>
      <c r="AA203" s="367"/>
      <c r="AB203" s="367"/>
      <c r="AC203" s="367"/>
      <c r="AD203" s="367"/>
      <c r="AE203" s="367"/>
      <c r="AF203" s="367"/>
      <c r="AG203" s="367"/>
      <c r="AH203" s="367"/>
      <c r="AI203" s="367"/>
      <c r="AJ203" s="367"/>
      <c r="AK203" s="367"/>
      <c r="AL203" s="367"/>
      <c r="AM203" s="367"/>
      <c r="AN203" s="367"/>
      <c r="AO203" s="367"/>
      <c r="AP203" s="367"/>
      <c r="AQ203" s="367"/>
      <c r="AR203" s="367"/>
      <c r="AS203" s="367"/>
      <c r="AT203" s="368"/>
      <c r="AU203" s="367"/>
    </row>
    <row r="204" spans="1:47" ht="12.75">
      <c r="A204" s="367"/>
      <c r="B204" s="367"/>
      <c r="C204" s="367"/>
      <c r="D204" s="367"/>
      <c r="E204" s="367"/>
      <c r="F204" s="367"/>
      <c r="G204" s="367"/>
      <c r="H204" s="367"/>
      <c r="I204" s="367"/>
      <c r="J204" s="367"/>
      <c r="K204" s="367"/>
      <c r="L204" s="367"/>
      <c r="M204" s="367"/>
      <c r="N204" s="367"/>
      <c r="O204" s="367"/>
      <c r="P204" s="364"/>
      <c r="Q204" s="365"/>
      <c r="R204" s="365"/>
      <c r="S204" s="365"/>
      <c r="T204" s="365"/>
      <c r="U204" s="366"/>
      <c r="V204" s="367"/>
      <c r="W204" s="367"/>
      <c r="X204" s="367"/>
      <c r="Y204" s="367"/>
      <c r="Z204" s="367"/>
      <c r="AA204" s="367"/>
      <c r="AB204" s="367"/>
      <c r="AC204" s="367"/>
      <c r="AD204" s="367"/>
      <c r="AE204" s="367"/>
      <c r="AF204" s="367"/>
      <c r="AG204" s="367"/>
      <c r="AH204" s="367"/>
      <c r="AI204" s="367"/>
      <c r="AJ204" s="367"/>
      <c r="AK204" s="367"/>
      <c r="AL204" s="367"/>
      <c r="AM204" s="367"/>
      <c r="AN204" s="367"/>
      <c r="AO204" s="367"/>
      <c r="AP204" s="367"/>
      <c r="AQ204" s="367"/>
      <c r="AR204" s="367"/>
      <c r="AS204" s="367"/>
      <c r="AT204" s="368"/>
      <c r="AU204" s="367"/>
    </row>
    <row r="205" spans="1:47" ht="12.75">
      <c r="A205" s="367"/>
      <c r="B205" s="367"/>
      <c r="C205" s="367"/>
      <c r="D205" s="367"/>
      <c r="E205" s="367"/>
      <c r="F205" s="367"/>
      <c r="G205" s="367"/>
      <c r="H205" s="367"/>
      <c r="I205" s="367"/>
      <c r="J205" s="367"/>
      <c r="K205" s="367"/>
      <c r="L205" s="367"/>
      <c r="M205" s="367"/>
      <c r="N205" s="367"/>
      <c r="O205" s="367"/>
      <c r="P205" s="364"/>
      <c r="Q205" s="365"/>
      <c r="R205" s="365"/>
      <c r="S205" s="365"/>
      <c r="T205" s="365"/>
      <c r="U205" s="366"/>
      <c r="V205" s="367"/>
      <c r="W205" s="367"/>
      <c r="X205" s="367"/>
      <c r="Y205" s="367"/>
      <c r="Z205" s="367"/>
      <c r="AA205" s="367"/>
      <c r="AB205" s="367"/>
      <c r="AC205" s="367"/>
      <c r="AD205" s="367"/>
      <c r="AE205" s="367"/>
      <c r="AF205" s="367"/>
      <c r="AG205" s="367"/>
      <c r="AH205" s="367"/>
      <c r="AI205" s="367"/>
      <c r="AJ205" s="367"/>
      <c r="AK205" s="367"/>
      <c r="AL205" s="367"/>
      <c r="AM205" s="367"/>
      <c r="AN205" s="367"/>
      <c r="AO205" s="367"/>
      <c r="AP205" s="367"/>
      <c r="AQ205" s="367"/>
      <c r="AR205" s="367"/>
      <c r="AS205" s="367"/>
      <c r="AT205" s="368"/>
      <c r="AU205" s="367"/>
    </row>
    <row r="206" spans="1:47" ht="12.75">
      <c r="A206" s="367"/>
      <c r="B206" s="367"/>
      <c r="C206" s="367"/>
      <c r="D206" s="367"/>
      <c r="E206" s="367"/>
      <c r="F206" s="367"/>
      <c r="G206" s="367"/>
      <c r="H206" s="367"/>
      <c r="I206" s="367"/>
      <c r="J206" s="367"/>
      <c r="K206" s="367"/>
      <c r="L206" s="367"/>
      <c r="M206" s="367"/>
      <c r="N206" s="367"/>
      <c r="O206" s="367"/>
      <c r="P206" s="364"/>
      <c r="Q206" s="365"/>
      <c r="R206" s="365"/>
      <c r="S206" s="365"/>
      <c r="T206" s="365"/>
      <c r="U206" s="366"/>
      <c r="V206" s="367"/>
      <c r="W206" s="367"/>
      <c r="X206" s="367"/>
      <c r="Y206" s="367"/>
      <c r="Z206" s="367"/>
      <c r="AA206" s="367"/>
      <c r="AB206" s="367"/>
      <c r="AC206" s="367"/>
      <c r="AD206" s="367"/>
      <c r="AE206" s="367"/>
      <c r="AF206" s="367"/>
      <c r="AG206" s="367"/>
      <c r="AH206" s="367"/>
      <c r="AI206" s="367"/>
      <c r="AJ206" s="367"/>
      <c r="AK206" s="367"/>
      <c r="AL206" s="367"/>
      <c r="AM206" s="367"/>
      <c r="AN206" s="367"/>
      <c r="AO206" s="367"/>
      <c r="AP206" s="367"/>
      <c r="AQ206" s="367"/>
      <c r="AR206" s="367"/>
      <c r="AS206" s="367"/>
      <c r="AT206" s="368"/>
      <c r="AU206" s="367"/>
    </row>
    <row r="207" spans="1:47" ht="12.75">
      <c r="A207" s="367"/>
      <c r="B207" s="367"/>
      <c r="C207" s="367"/>
      <c r="D207" s="367"/>
      <c r="E207" s="367"/>
      <c r="F207" s="367"/>
      <c r="G207" s="367"/>
      <c r="H207" s="367"/>
      <c r="I207" s="367"/>
      <c r="J207" s="367"/>
      <c r="K207" s="367"/>
      <c r="L207" s="367"/>
      <c r="M207" s="367"/>
      <c r="N207" s="367"/>
      <c r="O207" s="367"/>
      <c r="P207" s="364"/>
      <c r="Q207" s="365"/>
      <c r="R207" s="365"/>
      <c r="S207" s="365"/>
      <c r="T207" s="365"/>
      <c r="U207" s="366"/>
      <c r="V207" s="367"/>
      <c r="W207" s="367"/>
      <c r="X207" s="367"/>
      <c r="Y207" s="367"/>
      <c r="Z207" s="367"/>
      <c r="AA207" s="367"/>
      <c r="AB207" s="367"/>
      <c r="AC207" s="367"/>
      <c r="AD207" s="367"/>
      <c r="AE207" s="367"/>
      <c r="AF207" s="367"/>
      <c r="AG207" s="367"/>
      <c r="AH207" s="367"/>
      <c r="AI207" s="367"/>
      <c r="AJ207" s="367"/>
      <c r="AK207" s="367"/>
      <c r="AL207" s="367"/>
      <c r="AM207" s="367"/>
      <c r="AN207" s="367"/>
      <c r="AO207" s="367"/>
      <c r="AP207" s="367"/>
      <c r="AQ207" s="367"/>
      <c r="AR207" s="367"/>
      <c r="AS207" s="367"/>
      <c r="AT207" s="368"/>
      <c r="AU207" s="367"/>
    </row>
    <row r="208" spans="1:47" ht="12.75">
      <c r="A208" s="367"/>
      <c r="B208" s="367"/>
      <c r="C208" s="367"/>
      <c r="D208" s="367"/>
      <c r="E208" s="367"/>
      <c r="F208" s="367"/>
      <c r="G208" s="367"/>
      <c r="H208" s="367"/>
      <c r="I208" s="367"/>
      <c r="J208" s="367"/>
      <c r="K208" s="367"/>
      <c r="L208" s="367"/>
      <c r="M208" s="367"/>
      <c r="N208" s="367"/>
      <c r="O208" s="367"/>
      <c r="P208" s="364"/>
      <c r="Q208" s="365"/>
      <c r="R208" s="365"/>
      <c r="S208" s="365"/>
      <c r="T208" s="365"/>
      <c r="U208" s="366"/>
      <c r="V208" s="367"/>
      <c r="W208" s="367"/>
      <c r="X208" s="367"/>
      <c r="Y208" s="367"/>
      <c r="Z208" s="367"/>
      <c r="AA208" s="367"/>
      <c r="AB208" s="367"/>
      <c r="AC208" s="367"/>
      <c r="AD208" s="367"/>
      <c r="AE208" s="367"/>
      <c r="AF208" s="367"/>
      <c r="AG208" s="367"/>
      <c r="AH208" s="367"/>
      <c r="AI208" s="367"/>
      <c r="AJ208" s="367"/>
      <c r="AK208" s="367"/>
      <c r="AL208" s="367"/>
      <c r="AM208" s="367"/>
      <c r="AN208" s="367"/>
      <c r="AO208" s="367"/>
      <c r="AP208" s="367"/>
      <c r="AQ208" s="367"/>
      <c r="AR208" s="367"/>
      <c r="AS208" s="367"/>
      <c r="AT208" s="368"/>
      <c r="AU208" s="367"/>
    </row>
    <row r="209" spans="1:47" ht="12.75">
      <c r="A209" s="367"/>
      <c r="B209" s="367"/>
      <c r="C209" s="367"/>
      <c r="D209" s="367"/>
      <c r="E209" s="367"/>
      <c r="F209" s="367"/>
      <c r="G209" s="367"/>
      <c r="H209" s="367"/>
      <c r="I209" s="367"/>
      <c r="J209" s="367"/>
      <c r="K209" s="367"/>
      <c r="L209" s="367"/>
      <c r="M209" s="367"/>
      <c r="N209" s="367"/>
      <c r="O209" s="367"/>
      <c r="P209" s="364"/>
      <c r="Q209" s="365"/>
      <c r="R209" s="365"/>
      <c r="S209" s="365"/>
      <c r="T209" s="365"/>
      <c r="U209" s="366"/>
      <c r="V209" s="367"/>
      <c r="W209" s="367"/>
      <c r="X209" s="367"/>
      <c r="Y209" s="367"/>
      <c r="Z209" s="367"/>
      <c r="AA209" s="367"/>
      <c r="AB209" s="367"/>
      <c r="AC209" s="367"/>
      <c r="AD209" s="367"/>
      <c r="AE209" s="367"/>
      <c r="AF209" s="367"/>
      <c r="AG209" s="367"/>
      <c r="AH209" s="367"/>
      <c r="AI209" s="367"/>
      <c r="AJ209" s="367"/>
      <c r="AK209" s="367"/>
      <c r="AL209" s="367"/>
      <c r="AM209" s="367"/>
      <c r="AN209" s="367"/>
      <c r="AO209" s="367"/>
      <c r="AP209" s="367"/>
      <c r="AQ209" s="367"/>
      <c r="AR209" s="367"/>
      <c r="AS209" s="367"/>
      <c r="AT209" s="368"/>
      <c r="AU209" s="367"/>
    </row>
    <row r="210" spans="1:47" ht="12.75">
      <c r="A210" s="367"/>
      <c r="B210" s="367"/>
      <c r="C210" s="367"/>
      <c r="D210" s="367"/>
      <c r="E210" s="367"/>
      <c r="F210" s="367"/>
      <c r="G210" s="367"/>
      <c r="H210" s="367"/>
      <c r="I210" s="367"/>
      <c r="J210" s="367"/>
      <c r="K210" s="367"/>
      <c r="L210" s="367"/>
      <c r="M210" s="367"/>
      <c r="N210" s="367"/>
      <c r="O210" s="367"/>
      <c r="P210" s="364"/>
      <c r="Q210" s="365"/>
      <c r="R210" s="365"/>
      <c r="S210" s="365"/>
      <c r="T210" s="365"/>
      <c r="U210" s="366"/>
      <c r="V210" s="367"/>
      <c r="W210" s="367"/>
      <c r="X210" s="367"/>
      <c r="Y210" s="367"/>
      <c r="Z210" s="367"/>
      <c r="AA210" s="367"/>
      <c r="AB210" s="367"/>
      <c r="AC210" s="367"/>
      <c r="AD210" s="367"/>
      <c r="AE210" s="367"/>
      <c r="AF210" s="367"/>
      <c r="AG210" s="367"/>
      <c r="AH210" s="367"/>
      <c r="AI210" s="367"/>
      <c r="AJ210" s="367"/>
      <c r="AK210" s="367"/>
      <c r="AL210" s="367"/>
      <c r="AM210" s="367"/>
      <c r="AN210" s="367"/>
      <c r="AO210" s="367"/>
      <c r="AP210" s="367"/>
      <c r="AQ210" s="367"/>
      <c r="AR210" s="367"/>
      <c r="AS210" s="367"/>
      <c r="AT210" s="368"/>
      <c r="AU210" s="367"/>
    </row>
    <row r="211" spans="1:47" ht="12.75">
      <c r="A211" s="367"/>
      <c r="B211" s="367"/>
      <c r="C211" s="367"/>
      <c r="D211" s="367"/>
      <c r="E211" s="367"/>
      <c r="F211" s="367"/>
      <c r="G211" s="367"/>
      <c r="H211" s="367"/>
      <c r="I211" s="367"/>
      <c r="J211" s="367"/>
      <c r="K211" s="367"/>
      <c r="L211" s="367"/>
      <c r="M211" s="367"/>
      <c r="N211" s="367"/>
      <c r="O211" s="367"/>
      <c r="P211" s="364"/>
      <c r="Q211" s="365"/>
      <c r="R211" s="365"/>
      <c r="S211" s="365"/>
      <c r="T211" s="365"/>
      <c r="U211" s="366"/>
      <c r="V211" s="367"/>
      <c r="W211" s="367"/>
      <c r="X211" s="367"/>
      <c r="Y211" s="367"/>
      <c r="Z211" s="367"/>
      <c r="AA211" s="367"/>
      <c r="AB211" s="367"/>
      <c r="AC211" s="367"/>
      <c r="AD211" s="367"/>
      <c r="AE211" s="367"/>
      <c r="AF211" s="367"/>
      <c r="AG211" s="367"/>
      <c r="AH211" s="367"/>
      <c r="AI211" s="367"/>
      <c r="AJ211" s="367"/>
      <c r="AK211" s="367"/>
      <c r="AL211" s="367"/>
      <c r="AM211" s="367"/>
      <c r="AN211" s="367"/>
      <c r="AO211" s="367"/>
      <c r="AP211" s="367"/>
      <c r="AQ211" s="367"/>
      <c r="AR211" s="367"/>
      <c r="AS211" s="367"/>
      <c r="AT211" s="368"/>
      <c r="AU211" s="367"/>
    </row>
    <row r="212" spans="1:47" ht="12.75">
      <c r="A212" s="367"/>
      <c r="B212" s="367"/>
      <c r="C212" s="367"/>
      <c r="D212" s="367"/>
      <c r="E212" s="367"/>
      <c r="F212" s="367"/>
      <c r="G212" s="367"/>
      <c r="H212" s="367"/>
      <c r="I212" s="367"/>
      <c r="J212" s="367"/>
      <c r="K212" s="367"/>
      <c r="L212" s="367"/>
      <c r="M212" s="367"/>
      <c r="N212" s="367"/>
      <c r="O212" s="367"/>
      <c r="P212" s="364"/>
      <c r="Q212" s="365"/>
      <c r="R212" s="365"/>
      <c r="S212" s="365"/>
      <c r="T212" s="365"/>
      <c r="U212" s="366"/>
      <c r="V212" s="367"/>
      <c r="W212" s="367"/>
      <c r="X212" s="367"/>
      <c r="Y212" s="367"/>
      <c r="Z212" s="367"/>
      <c r="AA212" s="367"/>
      <c r="AB212" s="367"/>
      <c r="AC212" s="367"/>
      <c r="AD212" s="367"/>
      <c r="AE212" s="367"/>
      <c r="AF212" s="367"/>
      <c r="AG212" s="367"/>
      <c r="AH212" s="367"/>
      <c r="AI212" s="367"/>
      <c r="AJ212" s="367"/>
      <c r="AK212" s="367"/>
      <c r="AL212" s="367"/>
      <c r="AM212" s="367"/>
      <c r="AN212" s="367"/>
      <c r="AO212" s="367"/>
      <c r="AP212" s="367"/>
      <c r="AQ212" s="367"/>
      <c r="AR212" s="367"/>
      <c r="AS212" s="367"/>
      <c r="AT212" s="368"/>
      <c r="AU212" s="367"/>
    </row>
    <row r="213" spans="1:47" ht="12.75">
      <c r="A213" s="367"/>
      <c r="B213" s="367"/>
      <c r="C213" s="367"/>
      <c r="D213" s="367"/>
      <c r="E213" s="367"/>
      <c r="F213" s="367"/>
      <c r="G213" s="367"/>
      <c r="H213" s="367"/>
      <c r="I213" s="367"/>
      <c r="J213" s="367"/>
      <c r="K213" s="367"/>
      <c r="L213" s="367"/>
      <c r="M213" s="367"/>
      <c r="N213" s="367"/>
      <c r="O213" s="367"/>
      <c r="P213" s="364"/>
      <c r="Q213" s="365"/>
      <c r="R213" s="365"/>
      <c r="S213" s="365"/>
      <c r="T213" s="365"/>
      <c r="U213" s="366"/>
      <c r="V213" s="367"/>
      <c r="W213" s="367"/>
      <c r="X213" s="367"/>
      <c r="Y213" s="367"/>
      <c r="Z213" s="367"/>
      <c r="AA213" s="367"/>
      <c r="AB213" s="367"/>
      <c r="AC213" s="367"/>
      <c r="AD213" s="367"/>
      <c r="AE213" s="367"/>
      <c r="AF213" s="367"/>
      <c r="AG213" s="367"/>
      <c r="AH213" s="367"/>
      <c r="AI213" s="367"/>
      <c r="AJ213" s="367"/>
      <c r="AK213" s="367"/>
      <c r="AL213" s="367"/>
      <c r="AM213" s="367"/>
      <c r="AN213" s="367"/>
      <c r="AO213" s="367"/>
      <c r="AP213" s="367"/>
      <c r="AQ213" s="367"/>
      <c r="AR213" s="367"/>
      <c r="AS213" s="367"/>
      <c r="AT213" s="368"/>
      <c r="AU213" s="367"/>
    </row>
    <row r="214" spans="1:47" ht="12.75">
      <c r="A214" s="367"/>
      <c r="B214" s="367"/>
      <c r="C214" s="367"/>
      <c r="D214" s="367"/>
      <c r="E214" s="367"/>
      <c r="F214" s="367"/>
      <c r="G214" s="367"/>
      <c r="H214" s="367"/>
      <c r="I214" s="367"/>
      <c r="J214" s="367"/>
      <c r="K214" s="367"/>
      <c r="L214" s="367"/>
      <c r="M214" s="367"/>
      <c r="N214" s="367"/>
      <c r="O214" s="367"/>
      <c r="P214" s="364"/>
      <c r="Q214" s="365"/>
      <c r="R214" s="365"/>
      <c r="S214" s="365"/>
      <c r="T214" s="365"/>
      <c r="U214" s="366"/>
      <c r="V214" s="367"/>
      <c r="W214" s="367"/>
      <c r="X214" s="367"/>
      <c r="Y214" s="367"/>
      <c r="Z214" s="367"/>
      <c r="AA214" s="367"/>
      <c r="AB214" s="367"/>
      <c r="AC214" s="367"/>
      <c r="AD214" s="367"/>
      <c r="AE214" s="367"/>
      <c r="AF214" s="367"/>
      <c r="AG214" s="367"/>
      <c r="AH214" s="367"/>
      <c r="AI214" s="367"/>
      <c r="AJ214" s="367"/>
      <c r="AK214" s="367"/>
      <c r="AL214" s="367"/>
      <c r="AM214" s="367"/>
      <c r="AN214" s="367"/>
      <c r="AO214" s="367"/>
      <c r="AP214" s="367"/>
      <c r="AQ214" s="367"/>
      <c r="AR214" s="367"/>
      <c r="AS214" s="367"/>
      <c r="AT214" s="368"/>
      <c r="AU214" s="367"/>
    </row>
    <row r="215" spans="1:47" ht="12.75">
      <c r="A215" s="367"/>
      <c r="B215" s="367"/>
      <c r="C215" s="367"/>
      <c r="D215" s="367"/>
      <c r="E215" s="367"/>
      <c r="F215" s="367"/>
      <c r="G215" s="367"/>
      <c r="H215" s="367"/>
      <c r="I215" s="367"/>
      <c r="J215" s="367"/>
      <c r="K215" s="367"/>
      <c r="L215" s="367"/>
      <c r="M215" s="367"/>
      <c r="N215" s="367"/>
      <c r="O215" s="367"/>
      <c r="P215" s="364"/>
      <c r="Q215" s="365"/>
      <c r="R215" s="365"/>
      <c r="S215" s="365"/>
      <c r="T215" s="365"/>
      <c r="U215" s="366"/>
      <c r="V215" s="367"/>
      <c r="W215" s="367"/>
      <c r="X215" s="367"/>
      <c r="Y215" s="367"/>
      <c r="Z215" s="367"/>
      <c r="AA215" s="367"/>
      <c r="AB215" s="367"/>
      <c r="AC215" s="367"/>
      <c r="AD215" s="367"/>
      <c r="AE215" s="367"/>
      <c r="AF215" s="367"/>
      <c r="AG215" s="367"/>
      <c r="AH215" s="367"/>
      <c r="AI215" s="367"/>
      <c r="AJ215" s="367"/>
      <c r="AK215" s="367"/>
      <c r="AL215" s="367"/>
      <c r="AM215" s="367"/>
      <c r="AN215" s="367"/>
      <c r="AO215" s="367"/>
      <c r="AP215" s="367"/>
      <c r="AQ215" s="367"/>
      <c r="AR215" s="367"/>
      <c r="AS215" s="367"/>
      <c r="AT215" s="368"/>
      <c r="AU215" s="367"/>
    </row>
    <row r="216" spans="1:47" ht="12.75">
      <c r="A216" s="367"/>
      <c r="B216" s="367"/>
      <c r="C216" s="367"/>
      <c r="D216" s="367"/>
      <c r="E216" s="367"/>
      <c r="F216" s="367"/>
      <c r="G216" s="367"/>
      <c r="H216" s="367"/>
      <c r="I216" s="367"/>
      <c r="J216" s="367"/>
      <c r="K216" s="367"/>
      <c r="L216" s="367"/>
      <c r="M216" s="367"/>
      <c r="N216" s="367"/>
      <c r="O216" s="367"/>
      <c r="P216" s="364"/>
      <c r="Q216" s="365"/>
      <c r="R216" s="365"/>
      <c r="S216" s="365"/>
      <c r="T216" s="365"/>
      <c r="U216" s="366"/>
      <c r="V216" s="367"/>
      <c r="W216" s="367"/>
      <c r="X216" s="367"/>
      <c r="Y216" s="367"/>
      <c r="Z216" s="367"/>
      <c r="AA216" s="367"/>
      <c r="AB216" s="367"/>
      <c r="AC216" s="367"/>
      <c r="AD216" s="367"/>
      <c r="AE216" s="367"/>
      <c r="AF216" s="367"/>
      <c r="AG216" s="367"/>
      <c r="AH216" s="367"/>
      <c r="AI216" s="367"/>
      <c r="AJ216" s="367"/>
      <c r="AK216" s="367"/>
      <c r="AL216" s="367"/>
      <c r="AM216" s="367"/>
      <c r="AN216" s="367"/>
      <c r="AO216" s="367"/>
      <c r="AP216" s="367"/>
      <c r="AQ216" s="367"/>
      <c r="AR216" s="367"/>
      <c r="AS216" s="367"/>
      <c r="AT216" s="368"/>
      <c r="AU216" s="367"/>
    </row>
    <row r="217" spans="1:47" ht="12.75">
      <c r="A217" s="367"/>
      <c r="B217" s="367"/>
      <c r="C217" s="367"/>
      <c r="D217" s="367"/>
      <c r="E217" s="367"/>
      <c r="F217" s="367"/>
      <c r="G217" s="367"/>
      <c r="H217" s="367"/>
      <c r="I217" s="367"/>
      <c r="J217" s="367"/>
      <c r="K217" s="367"/>
      <c r="L217" s="367"/>
      <c r="M217" s="367"/>
      <c r="N217" s="367"/>
      <c r="O217" s="367"/>
      <c r="P217" s="364"/>
      <c r="Q217" s="365"/>
      <c r="R217" s="365"/>
      <c r="S217" s="365"/>
      <c r="T217" s="365"/>
      <c r="U217" s="366"/>
      <c r="V217" s="367"/>
      <c r="W217" s="367"/>
      <c r="X217" s="367"/>
      <c r="Y217" s="367"/>
      <c r="Z217" s="367"/>
      <c r="AA217" s="367"/>
      <c r="AB217" s="367"/>
      <c r="AC217" s="367"/>
      <c r="AD217" s="367"/>
      <c r="AE217" s="367"/>
      <c r="AF217" s="367"/>
      <c r="AG217" s="367"/>
      <c r="AH217" s="367"/>
      <c r="AI217" s="367"/>
      <c r="AJ217" s="367"/>
      <c r="AK217" s="367"/>
      <c r="AL217" s="367"/>
      <c r="AM217" s="367"/>
      <c r="AN217" s="367"/>
      <c r="AO217" s="367"/>
      <c r="AP217" s="367"/>
      <c r="AQ217" s="367"/>
      <c r="AR217" s="367"/>
      <c r="AS217" s="367"/>
      <c r="AT217" s="368"/>
      <c r="AU217" s="367"/>
    </row>
    <row r="218" spans="1:47" ht="12.75">
      <c r="A218" s="367"/>
      <c r="B218" s="367"/>
      <c r="C218" s="367"/>
      <c r="D218" s="367"/>
      <c r="E218" s="367"/>
      <c r="F218" s="367"/>
      <c r="G218" s="367"/>
      <c r="H218" s="367"/>
      <c r="I218" s="367"/>
      <c r="J218" s="367"/>
      <c r="K218" s="367"/>
      <c r="L218" s="367"/>
      <c r="M218" s="367"/>
      <c r="N218" s="367"/>
      <c r="O218" s="367"/>
      <c r="P218" s="364"/>
      <c r="Q218" s="365"/>
      <c r="R218" s="365"/>
      <c r="S218" s="365"/>
      <c r="T218" s="365"/>
      <c r="U218" s="366"/>
      <c r="V218" s="367"/>
      <c r="W218" s="367"/>
      <c r="X218" s="367"/>
      <c r="Y218" s="367"/>
      <c r="Z218" s="367"/>
      <c r="AA218" s="367"/>
      <c r="AB218" s="367"/>
      <c r="AC218" s="367"/>
      <c r="AD218" s="367"/>
      <c r="AE218" s="367"/>
      <c r="AF218" s="367"/>
      <c r="AG218" s="367"/>
      <c r="AH218" s="367"/>
      <c r="AI218" s="367"/>
      <c r="AJ218" s="367"/>
      <c r="AK218" s="367"/>
      <c r="AL218" s="367"/>
      <c r="AM218" s="367"/>
      <c r="AN218" s="367"/>
      <c r="AO218" s="367"/>
      <c r="AP218" s="367"/>
      <c r="AQ218" s="367"/>
      <c r="AR218" s="367"/>
      <c r="AS218" s="367"/>
      <c r="AT218" s="368"/>
      <c r="AU218" s="367"/>
    </row>
    <row r="219" spans="1:47" ht="12.75">
      <c r="A219" s="367"/>
      <c r="B219" s="367"/>
      <c r="C219" s="367"/>
      <c r="D219" s="367"/>
      <c r="E219" s="367"/>
      <c r="F219" s="367"/>
      <c r="G219" s="367"/>
      <c r="H219" s="367"/>
      <c r="I219" s="367"/>
      <c r="J219" s="367"/>
      <c r="K219" s="367"/>
      <c r="L219" s="367"/>
      <c r="M219" s="367"/>
      <c r="N219" s="367"/>
      <c r="O219" s="367"/>
      <c r="P219" s="364"/>
      <c r="Q219" s="365"/>
      <c r="R219" s="365"/>
      <c r="S219" s="365"/>
      <c r="T219" s="365"/>
      <c r="U219" s="366"/>
      <c r="V219" s="367"/>
      <c r="W219" s="367"/>
      <c r="X219" s="367"/>
      <c r="Y219" s="367"/>
      <c r="Z219" s="367"/>
      <c r="AA219" s="367"/>
      <c r="AB219" s="367"/>
      <c r="AC219" s="367"/>
      <c r="AD219" s="367"/>
      <c r="AE219" s="367"/>
      <c r="AF219" s="367"/>
      <c r="AG219" s="367"/>
      <c r="AH219" s="367"/>
      <c r="AI219" s="367"/>
      <c r="AJ219" s="367"/>
      <c r="AK219" s="367"/>
      <c r="AL219" s="367"/>
      <c r="AM219" s="367"/>
      <c r="AN219" s="367"/>
      <c r="AO219" s="367"/>
      <c r="AP219" s="367"/>
      <c r="AQ219" s="367"/>
      <c r="AR219" s="367"/>
      <c r="AS219" s="367"/>
      <c r="AT219" s="368"/>
      <c r="AU219" s="367"/>
    </row>
    <row r="220" spans="1:47" ht="12.75">
      <c r="A220" s="367"/>
      <c r="B220" s="367"/>
      <c r="C220" s="367"/>
      <c r="D220" s="367"/>
      <c r="E220" s="367"/>
      <c r="F220" s="367"/>
      <c r="G220" s="367"/>
      <c r="H220" s="367"/>
      <c r="I220" s="367"/>
      <c r="J220" s="367"/>
      <c r="K220" s="367"/>
      <c r="L220" s="367"/>
      <c r="M220" s="367"/>
      <c r="N220" s="367"/>
      <c r="O220" s="367"/>
      <c r="P220" s="364"/>
      <c r="Q220" s="365"/>
      <c r="R220" s="365"/>
      <c r="S220" s="365"/>
      <c r="T220" s="365"/>
      <c r="U220" s="366"/>
      <c r="V220" s="367"/>
      <c r="W220" s="367"/>
      <c r="X220" s="367"/>
      <c r="Y220" s="367"/>
      <c r="Z220" s="367"/>
      <c r="AA220" s="367"/>
      <c r="AB220" s="367"/>
      <c r="AC220" s="367"/>
      <c r="AD220" s="367"/>
      <c r="AE220" s="367"/>
      <c r="AF220" s="367"/>
      <c r="AG220" s="367"/>
      <c r="AH220" s="367"/>
      <c r="AI220" s="367"/>
      <c r="AJ220" s="367"/>
      <c r="AK220" s="367"/>
      <c r="AL220" s="367"/>
      <c r="AM220" s="367"/>
      <c r="AN220" s="367"/>
      <c r="AO220" s="367"/>
      <c r="AP220" s="367"/>
      <c r="AQ220" s="367"/>
      <c r="AR220" s="367"/>
      <c r="AS220" s="367"/>
      <c r="AT220" s="368"/>
      <c r="AU220" s="367"/>
    </row>
    <row r="221" spans="1:47" ht="12.75">
      <c r="A221" s="367"/>
      <c r="B221" s="367"/>
      <c r="C221" s="367"/>
      <c r="D221" s="367"/>
      <c r="E221" s="367"/>
      <c r="F221" s="367"/>
      <c r="G221" s="367"/>
      <c r="H221" s="367"/>
      <c r="I221" s="367"/>
      <c r="J221" s="367"/>
      <c r="K221" s="367"/>
      <c r="L221" s="367"/>
      <c r="M221" s="367"/>
      <c r="N221" s="367"/>
      <c r="O221" s="367"/>
      <c r="P221" s="364"/>
      <c r="Q221" s="365"/>
      <c r="R221" s="365"/>
      <c r="S221" s="365"/>
      <c r="T221" s="365"/>
      <c r="U221" s="366"/>
      <c r="V221" s="367"/>
      <c r="W221" s="367"/>
      <c r="X221" s="367"/>
      <c r="Y221" s="367"/>
      <c r="Z221" s="367"/>
      <c r="AA221" s="367"/>
      <c r="AB221" s="367"/>
      <c r="AC221" s="367"/>
      <c r="AD221" s="367"/>
      <c r="AE221" s="367"/>
      <c r="AF221" s="367"/>
      <c r="AG221" s="367"/>
      <c r="AH221" s="367"/>
      <c r="AI221" s="367"/>
      <c r="AJ221" s="367"/>
      <c r="AK221" s="367"/>
      <c r="AL221" s="367"/>
      <c r="AM221" s="367"/>
      <c r="AN221" s="367"/>
      <c r="AO221" s="367"/>
      <c r="AP221" s="367"/>
      <c r="AQ221" s="367"/>
      <c r="AR221" s="367"/>
      <c r="AS221" s="367"/>
      <c r="AT221" s="368"/>
      <c r="AU221" s="367"/>
    </row>
    <row r="222" spans="1:47" ht="12.75">
      <c r="A222" s="367"/>
      <c r="B222" s="367"/>
      <c r="C222" s="367"/>
      <c r="D222" s="367"/>
      <c r="E222" s="367"/>
      <c r="F222" s="367"/>
      <c r="G222" s="367"/>
      <c r="H222" s="367"/>
      <c r="I222" s="367"/>
      <c r="J222" s="367"/>
      <c r="K222" s="367"/>
      <c r="L222" s="367"/>
      <c r="M222" s="367"/>
      <c r="N222" s="367"/>
      <c r="O222" s="367"/>
      <c r="P222" s="364"/>
      <c r="Q222" s="365"/>
      <c r="R222" s="365"/>
      <c r="S222" s="365"/>
      <c r="T222" s="365"/>
      <c r="U222" s="366"/>
      <c r="V222" s="367"/>
      <c r="W222" s="367"/>
      <c r="X222" s="367"/>
      <c r="Y222" s="367"/>
      <c r="Z222" s="367"/>
      <c r="AA222" s="367"/>
      <c r="AB222" s="367"/>
      <c r="AC222" s="367"/>
      <c r="AD222" s="367"/>
      <c r="AE222" s="367"/>
      <c r="AF222" s="367"/>
      <c r="AG222" s="367"/>
      <c r="AH222" s="367"/>
      <c r="AI222" s="367"/>
      <c r="AJ222" s="367"/>
      <c r="AK222" s="367"/>
      <c r="AL222" s="367"/>
      <c r="AM222" s="367"/>
      <c r="AN222" s="367"/>
      <c r="AO222" s="367"/>
      <c r="AP222" s="367"/>
      <c r="AQ222" s="367"/>
      <c r="AR222" s="367"/>
      <c r="AS222" s="367"/>
      <c r="AT222" s="368"/>
      <c r="AU222" s="367"/>
    </row>
    <row r="223" spans="1:47" ht="12.75">
      <c r="A223" s="367"/>
      <c r="B223" s="367"/>
      <c r="C223" s="367"/>
      <c r="D223" s="367"/>
      <c r="E223" s="367"/>
      <c r="F223" s="367"/>
      <c r="G223" s="367"/>
      <c r="H223" s="367"/>
      <c r="I223" s="367"/>
      <c r="J223" s="367"/>
      <c r="K223" s="367"/>
      <c r="L223" s="367"/>
      <c r="M223" s="367"/>
      <c r="N223" s="367"/>
      <c r="O223" s="367"/>
      <c r="P223" s="364"/>
      <c r="Q223" s="365"/>
      <c r="R223" s="365"/>
      <c r="S223" s="365"/>
      <c r="T223" s="365"/>
      <c r="U223" s="366"/>
      <c r="V223" s="367"/>
      <c r="W223" s="367"/>
      <c r="X223" s="367"/>
      <c r="Y223" s="367"/>
      <c r="Z223" s="367"/>
      <c r="AA223" s="367"/>
      <c r="AB223" s="367"/>
      <c r="AC223" s="367"/>
      <c r="AD223" s="367"/>
      <c r="AE223" s="367"/>
      <c r="AF223" s="367"/>
      <c r="AG223" s="367"/>
      <c r="AH223" s="367"/>
      <c r="AI223" s="367"/>
      <c r="AJ223" s="367"/>
      <c r="AK223" s="367"/>
      <c r="AL223" s="367"/>
      <c r="AM223" s="367"/>
      <c r="AN223" s="367"/>
      <c r="AO223" s="367"/>
      <c r="AP223" s="367"/>
      <c r="AQ223" s="367"/>
      <c r="AR223" s="367"/>
      <c r="AS223" s="367"/>
      <c r="AT223" s="368"/>
      <c r="AU223" s="367"/>
    </row>
    <row r="224" spans="1:47" ht="12.75">
      <c r="A224" s="367"/>
      <c r="B224" s="367"/>
      <c r="C224" s="367"/>
      <c r="D224" s="367"/>
      <c r="E224" s="367"/>
      <c r="F224" s="367"/>
      <c r="G224" s="367"/>
      <c r="H224" s="367"/>
      <c r="I224" s="367"/>
      <c r="J224" s="367"/>
      <c r="K224" s="367"/>
      <c r="L224" s="367"/>
      <c r="M224" s="367"/>
      <c r="N224" s="367"/>
      <c r="O224" s="367"/>
      <c r="P224" s="364"/>
      <c r="Q224" s="365"/>
      <c r="R224" s="365"/>
      <c r="S224" s="365"/>
      <c r="T224" s="365"/>
      <c r="U224" s="366"/>
      <c r="V224" s="367"/>
      <c r="W224" s="367"/>
      <c r="X224" s="367"/>
      <c r="Y224" s="367"/>
      <c r="Z224" s="367"/>
      <c r="AA224" s="367"/>
      <c r="AB224" s="367"/>
      <c r="AC224" s="367"/>
      <c r="AD224" s="367"/>
      <c r="AE224" s="367"/>
      <c r="AF224" s="367"/>
      <c r="AG224" s="367"/>
      <c r="AH224" s="367"/>
      <c r="AI224" s="367"/>
      <c r="AJ224" s="367"/>
      <c r="AK224" s="367"/>
      <c r="AL224" s="367"/>
      <c r="AM224" s="367"/>
      <c r="AN224" s="367"/>
      <c r="AO224" s="367"/>
      <c r="AP224" s="367"/>
      <c r="AQ224" s="367"/>
      <c r="AR224" s="367"/>
      <c r="AS224" s="367"/>
      <c r="AT224" s="368"/>
      <c r="AU224" s="367"/>
    </row>
    <row r="225" spans="1:47" ht="12.75">
      <c r="A225" s="367"/>
      <c r="B225" s="367"/>
      <c r="C225" s="367"/>
      <c r="D225" s="367"/>
      <c r="E225" s="367"/>
      <c r="F225" s="367"/>
      <c r="G225" s="367"/>
      <c r="H225" s="367"/>
      <c r="I225" s="367"/>
      <c r="J225" s="367"/>
      <c r="K225" s="367"/>
      <c r="L225" s="367"/>
      <c r="M225" s="367"/>
      <c r="N225" s="367"/>
      <c r="O225" s="367"/>
      <c r="P225" s="364"/>
      <c r="Q225" s="365"/>
      <c r="R225" s="365"/>
      <c r="S225" s="365"/>
      <c r="T225" s="365"/>
      <c r="U225" s="366"/>
      <c r="V225" s="367"/>
      <c r="W225" s="367"/>
      <c r="X225" s="367"/>
      <c r="Y225" s="367"/>
      <c r="Z225" s="367"/>
      <c r="AA225" s="367"/>
      <c r="AB225" s="367"/>
      <c r="AC225" s="367"/>
      <c r="AD225" s="367"/>
      <c r="AE225" s="367"/>
      <c r="AF225" s="367"/>
      <c r="AG225" s="367"/>
      <c r="AH225" s="367"/>
      <c r="AI225" s="367"/>
      <c r="AJ225" s="367"/>
      <c r="AK225" s="367"/>
      <c r="AL225" s="367"/>
      <c r="AM225" s="367"/>
      <c r="AN225" s="367"/>
      <c r="AO225" s="367"/>
      <c r="AP225" s="367"/>
      <c r="AQ225" s="367"/>
      <c r="AR225" s="367"/>
      <c r="AS225" s="367"/>
      <c r="AT225" s="368"/>
      <c r="AU225" s="367"/>
    </row>
    <row r="226" spans="1:47" ht="12.75">
      <c r="A226" s="367"/>
      <c r="B226" s="367"/>
      <c r="C226" s="367"/>
      <c r="D226" s="367"/>
      <c r="E226" s="367"/>
      <c r="F226" s="367"/>
      <c r="G226" s="367"/>
      <c r="H226" s="367"/>
      <c r="I226" s="367"/>
      <c r="J226" s="367"/>
      <c r="K226" s="367"/>
      <c r="L226" s="367"/>
      <c r="M226" s="367"/>
      <c r="N226" s="367"/>
      <c r="O226" s="367"/>
      <c r="P226" s="364"/>
      <c r="Q226" s="365"/>
      <c r="R226" s="365"/>
      <c r="S226" s="365"/>
      <c r="T226" s="365"/>
      <c r="U226" s="366"/>
      <c r="V226" s="367"/>
      <c r="W226" s="367"/>
      <c r="X226" s="367"/>
      <c r="Y226" s="367"/>
      <c r="Z226" s="367"/>
      <c r="AA226" s="367"/>
      <c r="AB226" s="367"/>
      <c r="AC226" s="367"/>
      <c r="AD226" s="367"/>
      <c r="AE226" s="367"/>
      <c r="AF226" s="367"/>
      <c r="AG226" s="367"/>
      <c r="AH226" s="367"/>
      <c r="AI226" s="367"/>
      <c r="AJ226" s="367"/>
      <c r="AK226" s="367"/>
      <c r="AL226" s="367"/>
      <c r="AM226" s="367"/>
      <c r="AN226" s="367"/>
      <c r="AO226" s="367"/>
      <c r="AP226" s="367"/>
      <c r="AQ226" s="367"/>
      <c r="AR226" s="367"/>
      <c r="AS226" s="367"/>
      <c r="AT226" s="368"/>
      <c r="AU226" s="367"/>
    </row>
    <row r="227" spans="1:47" ht="12.75">
      <c r="A227" s="367"/>
      <c r="B227" s="367"/>
      <c r="C227" s="367"/>
      <c r="D227" s="367"/>
      <c r="E227" s="367"/>
      <c r="F227" s="367"/>
      <c r="G227" s="367"/>
      <c r="H227" s="367"/>
      <c r="I227" s="367"/>
      <c r="J227" s="367"/>
      <c r="K227" s="367"/>
      <c r="L227" s="367"/>
      <c r="M227" s="367"/>
      <c r="N227" s="367"/>
      <c r="O227" s="367"/>
      <c r="P227" s="364"/>
      <c r="Q227" s="365"/>
      <c r="R227" s="365"/>
      <c r="S227" s="365"/>
      <c r="T227" s="365"/>
      <c r="U227" s="366"/>
      <c r="V227" s="367"/>
      <c r="W227" s="367"/>
      <c r="X227" s="367"/>
      <c r="Y227" s="367"/>
      <c r="Z227" s="367"/>
      <c r="AA227" s="367"/>
      <c r="AB227" s="367"/>
      <c r="AC227" s="367"/>
      <c r="AD227" s="367"/>
      <c r="AE227" s="367"/>
      <c r="AF227" s="367"/>
      <c r="AG227" s="367"/>
      <c r="AH227" s="367"/>
      <c r="AI227" s="367"/>
      <c r="AJ227" s="367"/>
      <c r="AK227" s="367"/>
      <c r="AL227" s="367"/>
      <c r="AM227" s="367"/>
      <c r="AN227" s="367"/>
      <c r="AO227" s="367"/>
      <c r="AP227" s="367"/>
      <c r="AQ227" s="367"/>
      <c r="AR227" s="367"/>
      <c r="AS227" s="367"/>
      <c r="AT227" s="368"/>
      <c r="AU227" s="367"/>
    </row>
    <row r="228" spans="1:47" ht="12.75">
      <c r="A228" s="367"/>
      <c r="B228" s="367"/>
      <c r="C228" s="367"/>
      <c r="D228" s="367"/>
      <c r="E228" s="367"/>
      <c r="F228" s="367"/>
      <c r="G228" s="367"/>
      <c r="H228" s="367"/>
      <c r="I228" s="367"/>
      <c r="J228" s="367"/>
      <c r="K228" s="367"/>
      <c r="L228" s="367"/>
      <c r="M228" s="367"/>
      <c r="N228" s="367"/>
      <c r="O228" s="367"/>
      <c r="P228" s="364"/>
      <c r="Q228" s="365"/>
      <c r="R228" s="365"/>
      <c r="S228" s="365"/>
      <c r="T228" s="365"/>
      <c r="U228" s="366"/>
      <c r="V228" s="367"/>
      <c r="W228" s="367"/>
      <c r="X228" s="367"/>
      <c r="Y228" s="367"/>
      <c r="Z228" s="367"/>
      <c r="AA228" s="367"/>
      <c r="AB228" s="367"/>
      <c r="AC228" s="367"/>
      <c r="AD228" s="367"/>
      <c r="AE228" s="367"/>
      <c r="AF228" s="367"/>
      <c r="AG228" s="367"/>
      <c r="AH228" s="367"/>
      <c r="AI228" s="367"/>
      <c r="AJ228" s="367"/>
      <c r="AK228" s="367"/>
      <c r="AL228" s="367"/>
      <c r="AM228" s="367"/>
      <c r="AN228" s="367"/>
      <c r="AO228" s="367"/>
      <c r="AP228" s="367"/>
      <c r="AQ228" s="367"/>
      <c r="AR228" s="367"/>
      <c r="AS228" s="367"/>
      <c r="AT228" s="368"/>
      <c r="AU228" s="367"/>
    </row>
    <row r="229" spans="1:47" ht="12.75">
      <c r="A229" s="367"/>
      <c r="B229" s="367"/>
      <c r="C229" s="367"/>
      <c r="D229" s="367"/>
      <c r="E229" s="367"/>
      <c r="F229" s="367"/>
      <c r="G229" s="367"/>
      <c r="H229" s="367"/>
      <c r="I229" s="367"/>
      <c r="J229" s="367"/>
      <c r="K229" s="367"/>
      <c r="L229" s="367"/>
      <c r="M229" s="367"/>
      <c r="N229" s="367"/>
      <c r="O229" s="367"/>
      <c r="P229" s="364"/>
      <c r="Q229" s="365"/>
      <c r="R229" s="365"/>
      <c r="S229" s="365"/>
      <c r="T229" s="365"/>
      <c r="U229" s="366"/>
      <c r="V229" s="367"/>
      <c r="W229" s="367"/>
      <c r="X229" s="367"/>
      <c r="Y229" s="367"/>
      <c r="Z229" s="367"/>
      <c r="AA229" s="367"/>
      <c r="AB229" s="367"/>
      <c r="AC229" s="367"/>
      <c r="AD229" s="367"/>
      <c r="AE229" s="367"/>
      <c r="AF229" s="367"/>
      <c r="AG229" s="367"/>
      <c r="AH229" s="367"/>
      <c r="AI229" s="367"/>
      <c r="AJ229" s="367"/>
      <c r="AK229" s="367"/>
      <c r="AL229" s="367"/>
      <c r="AM229" s="367"/>
      <c r="AN229" s="367"/>
      <c r="AO229" s="367"/>
      <c r="AP229" s="367"/>
      <c r="AQ229" s="367"/>
      <c r="AR229" s="367"/>
      <c r="AS229" s="367"/>
      <c r="AT229" s="368"/>
      <c r="AU229" s="367"/>
    </row>
    <row r="230" spans="1:47" ht="12.75">
      <c r="A230" s="367"/>
      <c r="B230" s="367"/>
      <c r="C230" s="367"/>
      <c r="D230" s="367"/>
      <c r="E230" s="367"/>
      <c r="F230" s="367"/>
      <c r="G230" s="367"/>
      <c r="H230" s="367"/>
      <c r="I230" s="367"/>
      <c r="J230" s="367"/>
      <c r="K230" s="367"/>
      <c r="L230" s="367"/>
      <c r="M230" s="367"/>
      <c r="N230" s="367"/>
      <c r="O230" s="367"/>
      <c r="P230" s="364"/>
      <c r="Q230" s="365"/>
      <c r="R230" s="365"/>
      <c r="S230" s="365"/>
      <c r="T230" s="365"/>
      <c r="U230" s="366"/>
      <c r="V230" s="367"/>
      <c r="W230" s="367"/>
      <c r="X230" s="367"/>
      <c r="Y230" s="367"/>
      <c r="Z230" s="367"/>
      <c r="AA230" s="367"/>
      <c r="AB230" s="367"/>
      <c r="AC230" s="367"/>
      <c r="AD230" s="367"/>
      <c r="AE230" s="367"/>
      <c r="AF230" s="367"/>
      <c r="AG230" s="367"/>
      <c r="AH230" s="367"/>
      <c r="AI230" s="367"/>
      <c r="AJ230" s="367"/>
      <c r="AK230" s="367"/>
      <c r="AL230" s="367"/>
      <c r="AM230" s="367"/>
      <c r="AN230" s="367"/>
      <c r="AO230" s="367"/>
      <c r="AP230" s="367"/>
      <c r="AQ230" s="367"/>
      <c r="AR230" s="367"/>
      <c r="AS230" s="367"/>
      <c r="AT230" s="368"/>
      <c r="AU230" s="367"/>
    </row>
    <row r="231" spans="1:47" ht="12.75">
      <c r="A231" s="367"/>
      <c r="B231" s="367"/>
      <c r="C231" s="367"/>
      <c r="D231" s="367"/>
      <c r="E231" s="367"/>
      <c r="F231" s="367"/>
      <c r="G231" s="367"/>
      <c r="H231" s="367"/>
      <c r="I231" s="367"/>
      <c r="J231" s="367"/>
      <c r="K231" s="367"/>
      <c r="L231" s="367"/>
      <c r="M231" s="367"/>
      <c r="N231" s="367"/>
      <c r="O231" s="367"/>
      <c r="P231" s="364"/>
      <c r="Q231" s="365"/>
      <c r="R231" s="365"/>
      <c r="S231" s="365"/>
      <c r="T231" s="365"/>
      <c r="U231" s="366"/>
      <c r="V231" s="367"/>
      <c r="W231" s="367"/>
      <c r="X231" s="367"/>
      <c r="Y231" s="367"/>
      <c r="Z231" s="367"/>
      <c r="AA231" s="367"/>
      <c r="AB231" s="367"/>
      <c r="AC231" s="367"/>
      <c r="AD231" s="367"/>
      <c r="AE231" s="367"/>
      <c r="AF231" s="367"/>
      <c r="AG231" s="367"/>
      <c r="AH231" s="367"/>
      <c r="AI231" s="367"/>
      <c r="AJ231" s="367"/>
      <c r="AK231" s="367"/>
      <c r="AL231" s="367"/>
      <c r="AM231" s="367"/>
      <c r="AN231" s="367"/>
      <c r="AO231" s="367"/>
      <c r="AP231" s="367"/>
      <c r="AQ231" s="367"/>
      <c r="AR231" s="367"/>
      <c r="AS231" s="367"/>
      <c r="AT231" s="368"/>
      <c r="AU231" s="367"/>
    </row>
    <row r="232" spans="1:47" ht="12.75">
      <c r="A232" s="367"/>
      <c r="B232" s="367"/>
      <c r="C232" s="367"/>
      <c r="D232" s="367"/>
      <c r="E232" s="367"/>
      <c r="F232" s="367"/>
      <c r="G232" s="367"/>
      <c r="H232" s="367"/>
      <c r="I232" s="367"/>
      <c r="J232" s="367"/>
      <c r="K232" s="367"/>
      <c r="L232" s="367"/>
      <c r="M232" s="367"/>
      <c r="N232" s="367"/>
      <c r="O232" s="367"/>
      <c r="P232" s="364"/>
      <c r="Q232" s="365"/>
      <c r="R232" s="365"/>
      <c r="S232" s="365"/>
      <c r="T232" s="365"/>
      <c r="U232" s="366"/>
      <c r="V232" s="367"/>
      <c r="W232" s="367"/>
      <c r="X232" s="367"/>
      <c r="Y232" s="367"/>
      <c r="Z232" s="367"/>
      <c r="AA232" s="367"/>
      <c r="AB232" s="367"/>
      <c r="AC232" s="367"/>
      <c r="AD232" s="367"/>
      <c r="AE232" s="367"/>
      <c r="AF232" s="367"/>
      <c r="AG232" s="367"/>
      <c r="AH232" s="367"/>
      <c r="AI232" s="367"/>
      <c r="AJ232" s="367"/>
      <c r="AK232" s="367"/>
      <c r="AL232" s="367"/>
      <c r="AM232" s="367"/>
      <c r="AN232" s="367"/>
      <c r="AO232" s="367"/>
      <c r="AP232" s="367"/>
      <c r="AQ232" s="367"/>
      <c r="AR232" s="367"/>
      <c r="AS232" s="367"/>
      <c r="AT232" s="368"/>
      <c r="AU232" s="367"/>
    </row>
    <row r="233" spans="1:47" ht="12.75">
      <c r="A233" s="367"/>
      <c r="B233" s="367"/>
      <c r="C233" s="367"/>
      <c r="D233" s="367"/>
      <c r="E233" s="367"/>
      <c r="F233" s="367"/>
      <c r="G233" s="367"/>
      <c r="H233" s="367"/>
      <c r="I233" s="367"/>
      <c r="J233" s="367"/>
      <c r="K233" s="367"/>
      <c r="L233" s="367"/>
      <c r="M233" s="367"/>
      <c r="N233" s="367"/>
      <c r="O233" s="367"/>
      <c r="P233" s="364"/>
      <c r="Q233" s="365"/>
      <c r="R233" s="365"/>
      <c r="S233" s="365"/>
      <c r="T233" s="365"/>
      <c r="U233" s="366"/>
      <c r="V233" s="367"/>
      <c r="W233" s="367"/>
      <c r="X233" s="367"/>
      <c r="Y233" s="367"/>
      <c r="Z233" s="367"/>
      <c r="AA233" s="367"/>
      <c r="AB233" s="367"/>
      <c r="AC233" s="367"/>
      <c r="AD233" s="367"/>
      <c r="AE233" s="367"/>
      <c r="AF233" s="367"/>
      <c r="AG233" s="367"/>
      <c r="AH233" s="367"/>
      <c r="AI233" s="367"/>
      <c r="AJ233" s="367"/>
      <c r="AK233" s="367"/>
      <c r="AL233" s="367"/>
      <c r="AM233" s="367"/>
      <c r="AN233" s="367"/>
      <c r="AO233" s="367"/>
      <c r="AP233" s="367"/>
      <c r="AQ233" s="367"/>
      <c r="AR233" s="367"/>
      <c r="AS233" s="367"/>
      <c r="AT233" s="368"/>
      <c r="AU233" s="367"/>
    </row>
    <row r="234" spans="1:47" ht="12.75">
      <c r="A234" s="367"/>
      <c r="B234" s="367"/>
      <c r="C234" s="367"/>
      <c r="D234" s="367"/>
      <c r="E234" s="367"/>
      <c r="F234" s="367"/>
      <c r="G234" s="367"/>
      <c r="H234" s="367"/>
      <c r="I234" s="367"/>
      <c r="J234" s="367"/>
      <c r="K234" s="367"/>
      <c r="L234" s="367"/>
      <c r="M234" s="367"/>
      <c r="N234" s="367"/>
      <c r="O234" s="367"/>
      <c r="P234" s="364"/>
      <c r="Q234" s="365"/>
      <c r="R234" s="365"/>
      <c r="S234" s="365"/>
      <c r="T234" s="365"/>
      <c r="U234" s="366"/>
      <c r="V234" s="367"/>
      <c r="W234" s="367"/>
      <c r="X234" s="367"/>
      <c r="Y234" s="367"/>
      <c r="Z234" s="367"/>
      <c r="AA234" s="367"/>
      <c r="AB234" s="367"/>
      <c r="AC234" s="367"/>
      <c r="AD234" s="367"/>
      <c r="AE234" s="367"/>
      <c r="AF234" s="367"/>
      <c r="AG234" s="367"/>
      <c r="AH234" s="367"/>
      <c r="AI234" s="367"/>
      <c r="AJ234" s="367"/>
      <c r="AK234" s="367"/>
      <c r="AL234" s="367"/>
      <c r="AM234" s="367"/>
      <c r="AN234" s="367"/>
      <c r="AO234" s="367"/>
      <c r="AP234" s="367"/>
      <c r="AQ234" s="367"/>
      <c r="AR234" s="367"/>
      <c r="AS234" s="367"/>
      <c r="AT234" s="368"/>
      <c r="AU234" s="367"/>
    </row>
    <row r="235" spans="1:47" ht="12.75">
      <c r="A235" s="367"/>
      <c r="B235" s="367"/>
      <c r="C235" s="367"/>
      <c r="D235" s="367"/>
      <c r="E235" s="367"/>
      <c r="F235" s="367"/>
      <c r="G235" s="367"/>
      <c r="H235" s="367"/>
      <c r="I235" s="367"/>
      <c r="J235" s="367"/>
      <c r="K235" s="367"/>
      <c r="L235" s="367"/>
      <c r="M235" s="367"/>
      <c r="N235" s="367"/>
      <c r="O235" s="367"/>
      <c r="P235" s="364"/>
      <c r="Q235" s="365"/>
      <c r="R235" s="365"/>
      <c r="S235" s="365"/>
      <c r="T235" s="365"/>
      <c r="U235" s="366"/>
      <c r="V235" s="367"/>
      <c r="W235" s="367"/>
      <c r="X235" s="367"/>
      <c r="Y235" s="367"/>
      <c r="Z235" s="367"/>
      <c r="AA235" s="367"/>
      <c r="AB235" s="367"/>
      <c r="AC235" s="367"/>
      <c r="AD235" s="367"/>
      <c r="AE235" s="367"/>
      <c r="AF235" s="367"/>
      <c r="AG235" s="367"/>
      <c r="AH235" s="367"/>
      <c r="AI235" s="367"/>
      <c r="AJ235" s="367"/>
      <c r="AK235" s="367"/>
      <c r="AL235" s="367"/>
      <c r="AM235" s="367"/>
      <c r="AN235" s="367"/>
      <c r="AO235" s="367"/>
      <c r="AP235" s="367"/>
      <c r="AQ235" s="367"/>
      <c r="AR235" s="367"/>
      <c r="AS235" s="367"/>
      <c r="AT235" s="368"/>
      <c r="AU235" s="367"/>
    </row>
    <row r="236" spans="1:47" ht="12.75">
      <c r="A236" s="367"/>
      <c r="B236" s="367"/>
      <c r="C236" s="367"/>
      <c r="D236" s="367"/>
      <c r="E236" s="367"/>
      <c r="F236" s="367"/>
      <c r="G236" s="367"/>
      <c r="H236" s="367"/>
      <c r="I236" s="367"/>
      <c r="J236" s="367"/>
      <c r="K236" s="367"/>
      <c r="L236" s="367"/>
      <c r="M236" s="367"/>
      <c r="N236" s="367"/>
      <c r="O236" s="367"/>
      <c r="P236" s="364"/>
      <c r="Q236" s="365"/>
      <c r="R236" s="365"/>
      <c r="S236" s="365"/>
      <c r="T236" s="365"/>
      <c r="U236" s="366"/>
      <c r="V236" s="367"/>
      <c r="W236" s="367"/>
      <c r="X236" s="367"/>
      <c r="Y236" s="367"/>
      <c r="Z236" s="367"/>
      <c r="AA236" s="367"/>
      <c r="AB236" s="367"/>
      <c r="AC236" s="367"/>
      <c r="AD236" s="367"/>
      <c r="AE236" s="367"/>
      <c r="AF236" s="367"/>
      <c r="AG236" s="367"/>
      <c r="AH236" s="367"/>
      <c r="AI236" s="367"/>
      <c r="AJ236" s="367"/>
      <c r="AK236" s="367"/>
      <c r="AL236" s="367"/>
      <c r="AM236" s="367"/>
      <c r="AN236" s="367"/>
      <c r="AO236" s="367"/>
      <c r="AP236" s="367"/>
      <c r="AQ236" s="367"/>
      <c r="AR236" s="367"/>
      <c r="AS236" s="367"/>
      <c r="AT236" s="368"/>
      <c r="AU236" s="367"/>
    </row>
    <row r="237" spans="1:47" ht="12.75">
      <c r="A237" s="367"/>
      <c r="B237" s="367"/>
      <c r="C237" s="367"/>
      <c r="D237" s="367"/>
      <c r="E237" s="367"/>
      <c r="F237" s="367"/>
      <c r="G237" s="367"/>
      <c r="H237" s="367"/>
      <c r="I237" s="367"/>
      <c r="J237" s="367"/>
      <c r="K237" s="367"/>
      <c r="L237" s="367"/>
      <c r="M237" s="367"/>
      <c r="N237" s="367"/>
      <c r="O237" s="367"/>
      <c r="P237" s="364"/>
      <c r="Q237" s="365"/>
      <c r="R237" s="365"/>
      <c r="S237" s="365"/>
      <c r="T237" s="365"/>
      <c r="U237" s="366"/>
      <c r="V237" s="367"/>
      <c r="W237" s="367"/>
      <c r="X237" s="367"/>
      <c r="Y237" s="367"/>
      <c r="Z237" s="367"/>
      <c r="AA237" s="367"/>
      <c r="AB237" s="367"/>
      <c r="AC237" s="367"/>
      <c r="AD237" s="367"/>
      <c r="AE237" s="367"/>
      <c r="AF237" s="367"/>
      <c r="AG237" s="367"/>
      <c r="AH237" s="367"/>
      <c r="AI237" s="367"/>
      <c r="AJ237" s="367"/>
      <c r="AK237" s="367"/>
      <c r="AL237" s="367"/>
      <c r="AM237" s="367"/>
      <c r="AN237" s="367"/>
      <c r="AO237" s="367"/>
      <c r="AP237" s="367"/>
      <c r="AQ237" s="367"/>
      <c r="AR237" s="367"/>
      <c r="AS237" s="367"/>
      <c r="AT237" s="368"/>
      <c r="AU237" s="367"/>
    </row>
    <row r="238" spans="1:47" ht="12.75">
      <c r="A238" s="367"/>
      <c r="B238" s="367"/>
      <c r="C238" s="367"/>
      <c r="D238" s="367"/>
      <c r="E238" s="367"/>
      <c r="F238" s="367"/>
      <c r="G238" s="367"/>
      <c r="H238" s="367"/>
      <c r="I238" s="367"/>
      <c r="J238" s="367"/>
      <c r="K238" s="367"/>
      <c r="L238" s="367"/>
      <c r="M238" s="367"/>
      <c r="N238" s="367"/>
      <c r="O238" s="367"/>
      <c r="P238" s="364"/>
      <c r="Q238" s="365"/>
      <c r="R238" s="365"/>
      <c r="S238" s="365"/>
      <c r="T238" s="365"/>
      <c r="U238" s="366"/>
      <c r="V238" s="367"/>
      <c r="W238" s="367"/>
      <c r="X238" s="367"/>
      <c r="Y238" s="367"/>
      <c r="Z238" s="367"/>
      <c r="AA238" s="367"/>
      <c r="AB238" s="367"/>
      <c r="AC238" s="367"/>
      <c r="AD238" s="367"/>
      <c r="AE238" s="367"/>
      <c r="AF238" s="367"/>
      <c r="AG238" s="367"/>
      <c r="AH238" s="367"/>
      <c r="AI238" s="367"/>
      <c r="AJ238" s="367"/>
      <c r="AK238" s="367"/>
      <c r="AL238" s="367"/>
      <c r="AM238" s="367"/>
      <c r="AN238" s="367"/>
      <c r="AO238" s="367"/>
      <c r="AP238" s="367"/>
      <c r="AQ238" s="367"/>
      <c r="AR238" s="367"/>
      <c r="AS238" s="367"/>
      <c r="AT238" s="368"/>
      <c r="AU238" s="367"/>
    </row>
    <row r="239" spans="1:47" ht="12.75">
      <c r="A239" s="367"/>
      <c r="B239" s="367"/>
      <c r="C239" s="367"/>
      <c r="D239" s="367"/>
      <c r="E239" s="367"/>
      <c r="F239" s="367"/>
      <c r="G239" s="367"/>
      <c r="H239" s="367"/>
      <c r="I239" s="367"/>
      <c r="J239" s="367"/>
      <c r="K239" s="367"/>
      <c r="L239" s="367"/>
      <c r="M239" s="367"/>
      <c r="N239" s="367"/>
      <c r="O239" s="367"/>
      <c r="P239" s="364"/>
      <c r="Q239" s="365"/>
      <c r="R239" s="365"/>
      <c r="S239" s="365"/>
      <c r="T239" s="365"/>
      <c r="U239" s="366"/>
      <c r="V239" s="367"/>
      <c r="W239" s="367"/>
      <c r="X239" s="367"/>
      <c r="Y239" s="367"/>
      <c r="Z239" s="367"/>
      <c r="AA239" s="367"/>
      <c r="AB239" s="367"/>
      <c r="AC239" s="367"/>
      <c r="AD239" s="367"/>
      <c r="AE239" s="367"/>
      <c r="AF239" s="367"/>
      <c r="AG239" s="367"/>
      <c r="AH239" s="367"/>
      <c r="AI239" s="367"/>
      <c r="AJ239" s="367"/>
      <c r="AK239" s="367"/>
      <c r="AL239" s="367"/>
      <c r="AM239" s="367"/>
      <c r="AN239" s="367"/>
      <c r="AO239" s="367"/>
      <c r="AP239" s="367"/>
      <c r="AQ239" s="367"/>
      <c r="AR239" s="367"/>
      <c r="AS239" s="367"/>
      <c r="AT239" s="368"/>
      <c r="AU239" s="367"/>
    </row>
    <row r="240" spans="1:47" ht="12.75">
      <c r="A240" s="367"/>
      <c r="B240" s="367"/>
      <c r="C240" s="367"/>
      <c r="D240" s="367"/>
      <c r="E240" s="367"/>
      <c r="F240" s="367"/>
      <c r="G240" s="367"/>
      <c r="H240" s="367"/>
      <c r="I240" s="367"/>
      <c r="J240" s="367"/>
      <c r="K240" s="367"/>
      <c r="L240" s="367"/>
      <c r="M240" s="367"/>
      <c r="N240" s="367"/>
      <c r="O240" s="367"/>
      <c r="P240" s="364"/>
      <c r="Q240" s="365"/>
      <c r="R240" s="365"/>
      <c r="S240" s="365"/>
      <c r="T240" s="365"/>
      <c r="U240" s="366"/>
      <c r="V240" s="367"/>
      <c r="W240" s="367"/>
      <c r="X240" s="367"/>
      <c r="Y240" s="367"/>
      <c r="Z240" s="367"/>
      <c r="AA240" s="367"/>
      <c r="AB240" s="367"/>
      <c r="AC240" s="367"/>
      <c r="AD240" s="367"/>
      <c r="AE240" s="367"/>
      <c r="AF240" s="367"/>
      <c r="AG240" s="367"/>
      <c r="AH240" s="367"/>
      <c r="AI240" s="367"/>
      <c r="AJ240" s="367"/>
      <c r="AK240" s="367"/>
      <c r="AL240" s="367"/>
      <c r="AM240" s="367"/>
      <c r="AN240" s="367"/>
      <c r="AO240" s="367"/>
      <c r="AP240" s="367"/>
      <c r="AQ240" s="367"/>
      <c r="AR240" s="367"/>
      <c r="AS240" s="367"/>
      <c r="AT240" s="368"/>
      <c r="AU240" s="367"/>
    </row>
    <row r="241" spans="1:47" ht="12.75">
      <c r="A241" s="367"/>
      <c r="B241" s="367"/>
      <c r="C241" s="367"/>
      <c r="D241" s="367"/>
      <c r="E241" s="367"/>
      <c r="F241" s="367"/>
      <c r="G241" s="367"/>
      <c r="H241" s="367"/>
      <c r="I241" s="367"/>
      <c r="J241" s="367"/>
      <c r="K241" s="367"/>
      <c r="L241" s="367"/>
      <c r="M241" s="367"/>
      <c r="N241" s="367"/>
      <c r="O241" s="367"/>
      <c r="P241" s="364"/>
      <c r="Q241" s="365"/>
      <c r="R241" s="365"/>
      <c r="S241" s="365"/>
      <c r="T241" s="365"/>
      <c r="U241" s="366"/>
      <c r="V241" s="367"/>
      <c r="W241" s="367"/>
      <c r="X241" s="367"/>
      <c r="Y241" s="367"/>
      <c r="Z241" s="367"/>
      <c r="AA241" s="367"/>
      <c r="AB241" s="367"/>
      <c r="AC241" s="367"/>
      <c r="AD241" s="367"/>
      <c r="AE241" s="367"/>
      <c r="AF241" s="367"/>
      <c r="AG241" s="367"/>
      <c r="AH241" s="367"/>
      <c r="AI241" s="367"/>
      <c r="AJ241" s="367"/>
      <c r="AK241" s="367"/>
      <c r="AL241" s="367"/>
      <c r="AM241" s="367"/>
      <c r="AN241" s="367"/>
      <c r="AO241" s="367"/>
      <c r="AP241" s="367"/>
      <c r="AQ241" s="367"/>
      <c r="AR241" s="367"/>
      <c r="AS241" s="367"/>
      <c r="AT241" s="368"/>
      <c r="AU241" s="367"/>
    </row>
    <row r="242" spans="1:47" ht="12.75">
      <c r="A242" s="367"/>
      <c r="B242" s="367"/>
      <c r="C242" s="367"/>
      <c r="D242" s="367"/>
      <c r="E242" s="367"/>
      <c r="F242" s="367"/>
      <c r="G242" s="367"/>
      <c r="H242" s="367"/>
      <c r="I242" s="367"/>
      <c r="J242" s="367"/>
      <c r="K242" s="367"/>
      <c r="L242" s="367"/>
      <c r="M242" s="367"/>
      <c r="N242" s="367"/>
      <c r="O242" s="367"/>
      <c r="P242" s="364"/>
      <c r="Q242" s="365"/>
      <c r="R242" s="365"/>
      <c r="S242" s="365"/>
      <c r="T242" s="365"/>
      <c r="U242" s="366"/>
      <c r="V242" s="367"/>
      <c r="W242" s="367"/>
      <c r="X242" s="367"/>
      <c r="Y242" s="367"/>
      <c r="Z242" s="367"/>
      <c r="AA242" s="367"/>
      <c r="AB242" s="367"/>
      <c r="AC242" s="367"/>
      <c r="AD242" s="367"/>
      <c r="AE242" s="367"/>
      <c r="AF242" s="367"/>
      <c r="AG242" s="367"/>
      <c r="AH242" s="367"/>
      <c r="AI242" s="367"/>
      <c r="AJ242" s="367"/>
      <c r="AK242" s="367"/>
      <c r="AL242" s="367"/>
      <c r="AM242" s="367"/>
      <c r="AN242" s="367"/>
      <c r="AO242" s="367"/>
      <c r="AP242" s="367"/>
      <c r="AQ242" s="367"/>
      <c r="AR242" s="367"/>
      <c r="AS242" s="367"/>
      <c r="AT242" s="368"/>
      <c r="AU242" s="367"/>
    </row>
    <row r="243" spans="1:47" ht="12.75">
      <c r="A243" s="367"/>
      <c r="B243" s="367"/>
      <c r="C243" s="367"/>
      <c r="D243" s="367"/>
      <c r="E243" s="367"/>
      <c r="F243" s="367"/>
      <c r="G243" s="367"/>
      <c r="H243" s="367"/>
      <c r="I243" s="367"/>
      <c r="J243" s="367"/>
      <c r="K243" s="367"/>
      <c r="L243" s="367"/>
      <c r="M243" s="367"/>
      <c r="N243" s="367"/>
      <c r="O243" s="367"/>
      <c r="P243" s="364"/>
      <c r="Q243" s="365"/>
      <c r="R243" s="365"/>
      <c r="S243" s="365"/>
      <c r="T243" s="365"/>
      <c r="U243" s="366"/>
      <c r="V243" s="367"/>
      <c r="W243" s="367"/>
      <c r="X243" s="367"/>
      <c r="Y243" s="367"/>
      <c r="Z243" s="367"/>
      <c r="AA243" s="367"/>
      <c r="AB243" s="367"/>
      <c r="AC243" s="367"/>
      <c r="AD243" s="367"/>
      <c r="AE243" s="367"/>
      <c r="AF243" s="367"/>
      <c r="AG243" s="367"/>
      <c r="AH243" s="367"/>
      <c r="AI243" s="367"/>
      <c r="AJ243" s="367"/>
      <c r="AK243" s="367"/>
      <c r="AL243" s="367"/>
      <c r="AM243" s="367"/>
      <c r="AN243" s="367"/>
      <c r="AO243" s="367"/>
      <c r="AP243" s="367"/>
      <c r="AQ243" s="367"/>
      <c r="AR243" s="367"/>
      <c r="AS243" s="367"/>
      <c r="AT243" s="368"/>
      <c r="AU243" s="367"/>
    </row>
    <row r="244" spans="1:47" ht="12.75">
      <c r="A244" s="367"/>
      <c r="B244" s="367"/>
      <c r="C244" s="367"/>
      <c r="D244" s="367"/>
      <c r="E244" s="367"/>
      <c r="F244" s="367"/>
      <c r="G244" s="367"/>
      <c r="H244" s="367"/>
      <c r="I244" s="367"/>
      <c r="J244" s="367"/>
      <c r="K244" s="367"/>
      <c r="L244" s="367"/>
      <c r="M244" s="367"/>
      <c r="N244" s="367"/>
      <c r="O244" s="367"/>
      <c r="P244" s="364"/>
      <c r="Q244" s="365"/>
      <c r="R244" s="365"/>
      <c r="S244" s="365"/>
      <c r="T244" s="365"/>
      <c r="U244" s="366"/>
      <c r="V244" s="367"/>
      <c r="W244" s="367"/>
      <c r="X244" s="367"/>
      <c r="Y244" s="367"/>
      <c r="Z244" s="367"/>
      <c r="AA244" s="367"/>
      <c r="AB244" s="367"/>
      <c r="AC244" s="367"/>
      <c r="AD244" s="367"/>
      <c r="AE244" s="367"/>
      <c r="AF244" s="367"/>
      <c r="AG244" s="367"/>
      <c r="AH244" s="367"/>
      <c r="AI244" s="367"/>
      <c r="AJ244" s="367"/>
      <c r="AK244" s="367"/>
      <c r="AL244" s="367"/>
      <c r="AM244" s="367"/>
      <c r="AN244" s="367"/>
      <c r="AO244" s="367"/>
      <c r="AP244" s="367"/>
      <c r="AQ244" s="367"/>
      <c r="AR244" s="367"/>
      <c r="AS244" s="367"/>
      <c r="AT244" s="368"/>
      <c r="AU244" s="367"/>
    </row>
    <row r="245" spans="1:47" ht="12.75">
      <c r="A245" s="367"/>
      <c r="B245" s="367"/>
      <c r="C245" s="367"/>
      <c r="D245" s="367"/>
      <c r="E245" s="367"/>
      <c r="F245" s="367"/>
      <c r="G245" s="367"/>
      <c r="H245" s="367"/>
      <c r="I245" s="367"/>
      <c r="J245" s="367"/>
      <c r="K245" s="367"/>
      <c r="L245" s="367"/>
      <c r="M245" s="367"/>
      <c r="N245" s="367"/>
      <c r="O245" s="367"/>
      <c r="P245" s="364"/>
      <c r="Q245" s="365"/>
      <c r="R245" s="365"/>
      <c r="S245" s="365"/>
      <c r="T245" s="365"/>
      <c r="U245" s="366"/>
      <c r="V245" s="367"/>
      <c r="W245" s="367"/>
      <c r="X245" s="367"/>
      <c r="Y245" s="367"/>
      <c r="Z245" s="367"/>
      <c r="AA245" s="367"/>
      <c r="AB245" s="367"/>
      <c r="AC245" s="367"/>
      <c r="AD245" s="367"/>
      <c r="AE245" s="367"/>
      <c r="AF245" s="367"/>
      <c r="AG245" s="367"/>
      <c r="AH245" s="367"/>
      <c r="AI245" s="367"/>
      <c r="AJ245" s="367"/>
      <c r="AK245" s="367"/>
      <c r="AL245" s="367"/>
      <c r="AM245" s="367"/>
      <c r="AN245" s="367"/>
      <c r="AO245" s="367"/>
      <c r="AP245" s="367"/>
      <c r="AQ245" s="367"/>
      <c r="AR245" s="367"/>
      <c r="AS245" s="367"/>
      <c r="AT245" s="368"/>
      <c r="AU245" s="367"/>
    </row>
    <row r="246" spans="1:47" ht="12.75">
      <c r="A246" s="367"/>
      <c r="B246" s="367"/>
      <c r="C246" s="367"/>
      <c r="D246" s="367"/>
      <c r="E246" s="367"/>
      <c r="F246" s="367"/>
      <c r="G246" s="367"/>
      <c r="H246" s="367"/>
      <c r="I246" s="367"/>
      <c r="J246" s="367"/>
      <c r="K246" s="367"/>
      <c r="L246" s="367"/>
      <c r="M246" s="367"/>
      <c r="N246" s="367"/>
      <c r="O246" s="367"/>
      <c r="P246" s="364"/>
      <c r="Q246" s="365"/>
      <c r="R246" s="365"/>
      <c r="S246" s="365"/>
      <c r="T246" s="365"/>
      <c r="U246" s="366"/>
      <c r="V246" s="367"/>
      <c r="W246" s="367"/>
      <c r="X246" s="367"/>
      <c r="Y246" s="367"/>
      <c r="Z246" s="367"/>
      <c r="AA246" s="367"/>
      <c r="AB246" s="367"/>
      <c r="AC246" s="367"/>
      <c r="AD246" s="367"/>
      <c r="AE246" s="367"/>
      <c r="AF246" s="367"/>
      <c r="AG246" s="367"/>
      <c r="AH246" s="367"/>
      <c r="AI246" s="367"/>
      <c r="AJ246" s="367"/>
      <c r="AK246" s="367"/>
      <c r="AL246" s="367"/>
      <c r="AM246" s="367"/>
      <c r="AN246" s="367"/>
      <c r="AO246" s="367"/>
      <c r="AP246" s="367"/>
      <c r="AQ246" s="367"/>
      <c r="AR246" s="367"/>
      <c r="AS246" s="367"/>
      <c r="AT246" s="368"/>
      <c r="AU246" s="367"/>
    </row>
    <row r="247" spans="1:47" ht="12.75">
      <c r="A247" s="367"/>
      <c r="B247" s="367"/>
      <c r="C247" s="367"/>
      <c r="D247" s="367"/>
      <c r="E247" s="367"/>
      <c r="F247" s="367"/>
      <c r="G247" s="367"/>
      <c r="H247" s="367"/>
      <c r="I247" s="367"/>
      <c r="J247" s="367"/>
      <c r="K247" s="367"/>
      <c r="L247" s="367"/>
      <c r="M247" s="367"/>
      <c r="N247" s="367"/>
      <c r="O247" s="367"/>
      <c r="P247" s="364"/>
      <c r="Q247" s="365"/>
      <c r="R247" s="365"/>
      <c r="S247" s="365"/>
      <c r="T247" s="365"/>
      <c r="U247" s="366"/>
      <c r="V247" s="367"/>
      <c r="W247" s="367"/>
      <c r="X247" s="367"/>
      <c r="Y247" s="367"/>
      <c r="Z247" s="367"/>
      <c r="AA247" s="367"/>
      <c r="AB247" s="367"/>
      <c r="AC247" s="367"/>
      <c r="AD247" s="367"/>
      <c r="AE247" s="367"/>
      <c r="AF247" s="367"/>
      <c r="AG247" s="367"/>
      <c r="AH247" s="367"/>
      <c r="AI247" s="367"/>
      <c r="AJ247" s="367"/>
      <c r="AK247" s="367"/>
      <c r="AL247" s="367"/>
      <c r="AM247" s="367"/>
      <c r="AN247" s="367"/>
      <c r="AO247" s="367"/>
      <c r="AP247" s="367"/>
      <c r="AQ247" s="367"/>
      <c r="AR247" s="367"/>
      <c r="AS247" s="367"/>
      <c r="AT247" s="368"/>
      <c r="AU247" s="367"/>
    </row>
    <row r="248" spans="1:47" ht="12.75">
      <c r="A248" s="367"/>
      <c r="B248" s="367"/>
      <c r="C248" s="367"/>
      <c r="D248" s="367"/>
      <c r="E248" s="367"/>
      <c r="F248" s="367"/>
      <c r="G248" s="367"/>
      <c r="H248" s="367"/>
      <c r="I248" s="367"/>
      <c r="J248" s="367"/>
      <c r="K248" s="367"/>
      <c r="L248" s="367"/>
      <c r="M248" s="367"/>
      <c r="N248" s="367"/>
      <c r="O248" s="367"/>
      <c r="P248" s="364"/>
      <c r="Q248" s="365"/>
      <c r="R248" s="365"/>
      <c r="S248" s="365"/>
      <c r="T248" s="365"/>
      <c r="U248" s="366"/>
      <c r="V248" s="367"/>
      <c r="W248" s="367"/>
      <c r="X248" s="367"/>
      <c r="Y248" s="367"/>
      <c r="Z248" s="367"/>
      <c r="AA248" s="367"/>
      <c r="AB248" s="367"/>
      <c r="AC248" s="367"/>
      <c r="AD248" s="367"/>
      <c r="AE248" s="367"/>
      <c r="AF248" s="367"/>
      <c r="AG248" s="367"/>
      <c r="AH248" s="367"/>
      <c r="AI248" s="367"/>
      <c r="AJ248" s="367"/>
      <c r="AK248" s="367"/>
      <c r="AL248" s="367"/>
      <c r="AM248" s="367"/>
      <c r="AN248" s="367"/>
      <c r="AO248" s="367"/>
      <c r="AP248" s="367"/>
      <c r="AQ248" s="367"/>
      <c r="AR248" s="367"/>
      <c r="AS248" s="367"/>
      <c r="AT248" s="368"/>
      <c r="AU248" s="367"/>
    </row>
    <row r="249" spans="1:47" ht="12.75">
      <c r="A249" s="367"/>
      <c r="B249" s="367"/>
      <c r="C249" s="367"/>
      <c r="D249" s="367"/>
      <c r="E249" s="367"/>
      <c r="F249" s="367"/>
      <c r="G249" s="367"/>
      <c r="H249" s="367"/>
      <c r="I249" s="367"/>
      <c r="J249" s="367"/>
      <c r="K249" s="367"/>
      <c r="L249" s="367"/>
      <c r="M249" s="367"/>
      <c r="N249" s="367"/>
      <c r="O249" s="367"/>
      <c r="P249" s="364"/>
      <c r="Q249" s="365"/>
      <c r="R249" s="365"/>
      <c r="S249" s="365"/>
      <c r="T249" s="365"/>
      <c r="U249" s="366"/>
      <c r="V249" s="367"/>
      <c r="W249" s="367"/>
      <c r="X249" s="367"/>
      <c r="Y249" s="367"/>
      <c r="Z249" s="367"/>
      <c r="AA249" s="367"/>
      <c r="AB249" s="367"/>
      <c r="AC249" s="367"/>
      <c r="AD249" s="367"/>
      <c r="AE249" s="367"/>
      <c r="AF249" s="367"/>
      <c r="AG249" s="367"/>
      <c r="AH249" s="367"/>
      <c r="AI249" s="367"/>
      <c r="AJ249" s="367"/>
      <c r="AK249" s="367"/>
      <c r="AL249" s="367"/>
      <c r="AM249" s="367"/>
      <c r="AN249" s="367"/>
      <c r="AO249" s="367"/>
      <c r="AP249" s="367"/>
      <c r="AQ249" s="367"/>
      <c r="AR249" s="367"/>
      <c r="AS249" s="367"/>
      <c r="AT249" s="368"/>
      <c r="AU249" s="367"/>
    </row>
    <row r="250" spans="1:47" ht="12.75">
      <c r="A250" s="367"/>
      <c r="B250" s="367"/>
      <c r="C250" s="367"/>
      <c r="D250" s="367"/>
      <c r="E250" s="367"/>
      <c r="F250" s="367"/>
      <c r="G250" s="367"/>
      <c r="H250" s="367"/>
      <c r="I250" s="367"/>
      <c r="J250" s="367"/>
      <c r="K250" s="367"/>
      <c r="L250" s="367"/>
      <c r="M250" s="367"/>
      <c r="N250" s="367"/>
      <c r="O250" s="367"/>
      <c r="P250" s="364"/>
      <c r="Q250" s="365"/>
      <c r="R250" s="365"/>
      <c r="S250" s="365"/>
      <c r="T250" s="365"/>
      <c r="U250" s="366"/>
      <c r="V250" s="367"/>
      <c r="W250" s="367"/>
      <c r="X250" s="367"/>
      <c r="Y250" s="367"/>
      <c r="Z250" s="367"/>
      <c r="AA250" s="367"/>
      <c r="AB250" s="367"/>
      <c r="AC250" s="367"/>
      <c r="AD250" s="367"/>
      <c r="AE250" s="367"/>
      <c r="AF250" s="367"/>
      <c r="AG250" s="367"/>
      <c r="AH250" s="367"/>
      <c r="AI250" s="367"/>
      <c r="AJ250" s="367"/>
      <c r="AK250" s="367"/>
      <c r="AL250" s="367"/>
      <c r="AM250" s="367"/>
      <c r="AN250" s="367"/>
      <c r="AO250" s="367"/>
      <c r="AP250" s="367"/>
      <c r="AQ250" s="367"/>
      <c r="AR250" s="367"/>
      <c r="AS250" s="367"/>
      <c r="AT250" s="368"/>
      <c r="AU250" s="367"/>
    </row>
    <row r="251" spans="1:47" ht="12.75">
      <c r="A251" s="367"/>
      <c r="B251" s="367"/>
      <c r="C251" s="367"/>
      <c r="D251" s="367"/>
      <c r="E251" s="367"/>
      <c r="F251" s="367"/>
      <c r="G251" s="367"/>
      <c r="H251" s="367"/>
      <c r="I251" s="367"/>
      <c r="J251" s="367"/>
      <c r="K251" s="367"/>
      <c r="L251" s="367"/>
      <c r="M251" s="367"/>
      <c r="N251" s="367"/>
      <c r="O251" s="367"/>
      <c r="P251" s="364"/>
      <c r="Q251" s="365"/>
      <c r="R251" s="365"/>
      <c r="S251" s="365"/>
      <c r="T251" s="365"/>
      <c r="U251" s="366"/>
      <c r="V251" s="367"/>
      <c r="W251" s="367"/>
      <c r="X251" s="367"/>
      <c r="Y251" s="367"/>
      <c r="Z251" s="367"/>
      <c r="AA251" s="367"/>
      <c r="AB251" s="367"/>
      <c r="AC251" s="367"/>
      <c r="AD251" s="367"/>
      <c r="AE251" s="367"/>
      <c r="AF251" s="367"/>
      <c r="AG251" s="367"/>
      <c r="AH251" s="367"/>
      <c r="AI251" s="367"/>
      <c r="AJ251" s="367"/>
      <c r="AK251" s="367"/>
      <c r="AL251" s="367"/>
      <c r="AM251" s="367"/>
      <c r="AN251" s="367"/>
      <c r="AO251" s="367"/>
      <c r="AP251" s="367"/>
      <c r="AQ251" s="367"/>
      <c r="AR251" s="367"/>
      <c r="AS251" s="367"/>
      <c r="AT251" s="368"/>
      <c r="AU251" s="367"/>
    </row>
    <row r="252" spans="1:47" ht="12.75">
      <c r="A252" s="367"/>
      <c r="B252" s="367"/>
      <c r="C252" s="367"/>
      <c r="D252" s="367"/>
      <c r="E252" s="367"/>
      <c r="F252" s="367"/>
      <c r="G252" s="367"/>
      <c r="H252" s="367"/>
      <c r="I252" s="367"/>
      <c r="J252" s="367"/>
      <c r="K252" s="367"/>
      <c r="L252" s="367"/>
      <c r="M252" s="367"/>
      <c r="N252" s="367"/>
      <c r="O252" s="367"/>
      <c r="P252" s="364"/>
      <c r="Q252" s="365"/>
      <c r="R252" s="365"/>
      <c r="S252" s="365"/>
      <c r="T252" s="365"/>
      <c r="U252" s="366"/>
      <c r="V252" s="367"/>
      <c r="W252" s="367"/>
      <c r="X252" s="367"/>
      <c r="Y252" s="367"/>
      <c r="Z252" s="367"/>
      <c r="AA252" s="367"/>
      <c r="AB252" s="367"/>
      <c r="AC252" s="367"/>
      <c r="AD252" s="367"/>
      <c r="AE252" s="367"/>
      <c r="AF252" s="367"/>
      <c r="AG252" s="367"/>
      <c r="AH252" s="367"/>
      <c r="AI252" s="367"/>
      <c r="AJ252" s="367"/>
      <c r="AK252" s="367"/>
      <c r="AL252" s="367"/>
      <c r="AM252" s="367"/>
      <c r="AN252" s="367"/>
      <c r="AO252" s="367"/>
      <c r="AP252" s="367"/>
      <c r="AQ252" s="367"/>
      <c r="AR252" s="367"/>
      <c r="AS252" s="367"/>
      <c r="AT252" s="368"/>
      <c r="AU252" s="367"/>
    </row>
    <row r="253" spans="1:47" ht="12.75">
      <c r="A253" s="367"/>
      <c r="B253" s="367"/>
      <c r="C253" s="367"/>
      <c r="D253" s="367"/>
      <c r="E253" s="367"/>
      <c r="F253" s="367"/>
      <c r="G253" s="367"/>
      <c r="H253" s="367"/>
      <c r="I253" s="367"/>
      <c r="J253" s="367"/>
      <c r="K253" s="367"/>
      <c r="L253" s="367"/>
      <c r="M253" s="367"/>
      <c r="N253" s="367"/>
      <c r="O253" s="367"/>
      <c r="P253" s="364"/>
      <c r="Q253" s="365"/>
      <c r="R253" s="365"/>
      <c r="S253" s="365"/>
      <c r="T253" s="365"/>
      <c r="U253" s="366"/>
      <c r="V253" s="367"/>
      <c r="W253" s="367"/>
      <c r="X253" s="367"/>
      <c r="Y253" s="367"/>
      <c r="Z253" s="367"/>
      <c r="AA253" s="367"/>
      <c r="AB253" s="367"/>
      <c r="AC253" s="367"/>
      <c r="AD253" s="367"/>
      <c r="AE253" s="367"/>
      <c r="AF253" s="367"/>
      <c r="AG253" s="367"/>
      <c r="AH253" s="367"/>
      <c r="AI253" s="367"/>
      <c r="AJ253" s="367"/>
      <c r="AK253" s="367"/>
      <c r="AL253" s="367"/>
      <c r="AM253" s="367"/>
      <c r="AN253" s="367"/>
      <c r="AO253" s="367"/>
      <c r="AP253" s="367"/>
      <c r="AQ253" s="367"/>
      <c r="AR253" s="367"/>
      <c r="AS253" s="367"/>
      <c r="AT253" s="368"/>
      <c r="AU253" s="367"/>
    </row>
    <row r="254" spans="1:47" ht="12.75">
      <c r="A254" s="367"/>
      <c r="B254" s="367"/>
      <c r="C254" s="367"/>
      <c r="D254" s="367"/>
      <c r="E254" s="367"/>
      <c r="F254" s="367"/>
      <c r="G254" s="367"/>
      <c r="H254" s="367"/>
      <c r="I254" s="367"/>
      <c r="J254" s="367"/>
      <c r="K254" s="367"/>
      <c r="L254" s="367"/>
      <c r="M254" s="367"/>
      <c r="N254" s="367"/>
      <c r="O254" s="367"/>
      <c r="P254" s="364"/>
      <c r="Q254" s="365"/>
      <c r="R254" s="365"/>
      <c r="S254" s="365"/>
      <c r="T254" s="365"/>
      <c r="U254" s="366"/>
      <c r="V254" s="367"/>
      <c r="W254" s="367"/>
      <c r="X254" s="367"/>
      <c r="Y254" s="367"/>
      <c r="Z254" s="367"/>
      <c r="AA254" s="367"/>
      <c r="AB254" s="367"/>
      <c r="AC254" s="367"/>
      <c r="AD254" s="367"/>
      <c r="AE254" s="367"/>
      <c r="AF254" s="367"/>
      <c r="AG254" s="367"/>
      <c r="AH254" s="367"/>
      <c r="AI254" s="367"/>
      <c r="AJ254" s="367"/>
      <c r="AK254" s="367"/>
      <c r="AL254" s="367"/>
      <c r="AM254" s="367"/>
      <c r="AN254" s="367"/>
      <c r="AO254" s="367"/>
      <c r="AP254" s="367"/>
      <c r="AQ254" s="367"/>
      <c r="AR254" s="367"/>
      <c r="AS254" s="367"/>
      <c r="AT254" s="368"/>
      <c r="AU254" s="367"/>
    </row>
    <row r="255" spans="1:47" ht="12.75">
      <c r="A255" s="367"/>
      <c r="B255" s="367"/>
      <c r="C255" s="367"/>
      <c r="D255" s="367"/>
      <c r="E255" s="367"/>
      <c r="F255" s="367"/>
      <c r="G255" s="367"/>
      <c r="H255" s="367"/>
      <c r="I255" s="367"/>
      <c r="J255" s="367"/>
      <c r="K255" s="367"/>
      <c r="L255" s="367"/>
      <c r="M255" s="367"/>
      <c r="N255" s="367"/>
      <c r="O255" s="367"/>
      <c r="P255" s="364"/>
      <c r="Q255" s="365"/>
      <c r="R255" s="365"/>
      <c r="S255" s="365"/>
      <c r="T255" s="365"/>
      <c r="U255" s="366"/>
      <c r="V255" s="367"/>
      <c r="W255" s="367"/>
      <c r="X255" s="367"/>
      <c r="Y255" s="367"/>
      <c r="Z255" s="367"/>
      <c r="AA255" s="367"/>
      <c r="AB255" s="367"/>
      <c r="AC255" s="367"/>
      <c r="AD255" s="367"/>
      <c r="AE255" s="367"/>
      <c r="AF255" s="367"/>
      <c r="AG255" s="367"/>
      <c r="AH255" s="367"/>
      <c r="AI255" s="367"/>
      <c r="AJ255" s="367"/>
      <c r="AK255" s="367"/>
      <c r="AL255" s="367"/>
      <c r="AM255" s="367"/>
      <c r="AN255" s="367"/>
      <c r="AO255" s="367"/>
      <c r="AP255" s="367"/>
      <c r="AQ255" s="367"/>
      <c r="AR255" s="367"/>
      <c r="AS255" s="367"/>
      <c r="AT255" s="368"/>
      <c r="AU255" s="367"/>
    </row>
    <row r="256" spans="1:47" ht="12.75">
      <c r="A256" s="367"/>
      <c r="B256" s="367"/>
      <c r="C256" s="367"/>
      <c r="D256" s="367"/>
      <c r="E256" s="367"/>
      <c r="F256" s="367"/>
      <c r="G256" s="367"/>
      <c r="H256" s="367"/>
      <c r="I256" s="367"/>
      <c r="J256" s="367"/>
      <c r="K256" s="367"/>
      <c r="L256" s="367"/>
      <c r="M256" s="367"/>
      <c r="N256" s="367"/>
      <c r="O256" s="367"/>
      <c r="P256" s="364"/>
      <c r="Q256" s="365"/>
      <c r="R256" s="365"/>
      <c r="S256" s="365"/>
      <c r="T256" s="365"/>
      <c r="U256" s="366"/>
      <c r="V256" s="367"/>
      <c r="W256" s="367"/>
      <c r="X256" s="367"/>
      <c r="Y256" s="367"/>
      <c r="Z256" s="367"/>
      <c r="AA256" s="367"/>
      <c r="AB256" s="367"/>
      <c r="AC256" s="367"/>
      <c r="AD256" s="367"/>
      <c r="AE256" s="367"/>
      <c r="AF256" s="367"/>
      <c r="AG256" s="367"/>
      <c r="AH256" s="367"/>
      <c r="AI256" s="367"/>
      <c r="AJ256" s="367"/>
      <c r="AK256" s="367"/>
      <c r="AL256" s="367"/>
      <c r="AM256" s="367"/>
      <c r="AN256" s="367"/>
      <c r="AO256" s="367"/>
      <c r="AP256" s="367"/>
      <c r="AQ256" s="367"/>
      <c r="AR256" s="367"/>
      <c r="AS256" s="367"/>
      <c r="AT256" s="368"/>
      <c r="AU256" s="367"/>
    </row>
    <row r="257" spans="1:47" ht="12.75">
      <c r="A257" s="367"/>
      <c r="B257" s="367"/>
      <c r="C257" s="367"/>
      <c r="D257" s="367"/>
      <c r="E257" s="367"/>
      <c r="F257" s="367"/>
      <c r="G257" s="367"/>
      <c r="H257" s="367"/>
      <c r="I257" s="367"/>
      <c r="J257" s="367"/>
      <c r="K257" s="367"/>
      <c r="L257" s="367"/>
      <c r="M257" s="367"/>
      <c r="N257" s="367"/>
      <c r="O257" s="367"/>
      <c r="P257" s="364"/>
      <c r="Q257" s="365"/>
      <c r="R257" s="365"/>
      <c r="S257" s="365"/>
      <c r="T257" s="365"/>
      <c r="U257" s="366"/>
      <c r="V257" s="367"/>
      <c r="W257" s="367"/>
      <c r="X257" s="367"/>
      <c r="Y257" s="367"/>
      <c r="Z257" s="367"/>
      <c r="AA257" s="367"/>
      <c r="AB257" s="367"/>
      <c r="AC257" s="367"/>
      <c r="AD257" s="367"/>
      <c r="AE257" s="367"/>
      <c r="AF257" s="367"/>
      <c r="AG257" s="367"/>
      <c r="AH257" s="367"/>
      <c r="AI257" s="367"/>
      <c r="AJ257" s="367"/>
      <c r="AK257" s="367"/>
      <c r="AL257" s="367"/>
      <c r="AM257" s="367"/>
      <c r="AN257" s="367"/>
      <c r="AO257" s="367"/>
      <c r="AP257" s="367"/>
      <c r="AQ257" s="367"/>
      <c r="AR257" s="367"/>
      <c r="AS257" s="367"/>
      <c r="AT257" s="368"/>
      <c r="AU257" s="367"/>
    </row>
    <row r="258" spans="1:47" ht="12.75">
      <c r="A258" s="367"/>
      <c r="B258" s="367"/>
      <c r="C258" s="367"/>
      <c r="D258" s="367"/>
      <c r="E258" s="367"/>
      <c r="F258" s="367"/>
      <c r="G258" s="367"/>
      <c r="H258" s="367"/>
      <c r="I258" s="367"/>
      <c r="J258" s="367"/>
      <c r="K258" s="367"/>
      <c r="L258" s="367"/>
      <c r="M258" s="367"/>
      <c r="N258" s="367"/>
      <c r="O258" s="367"/>
      <c r="P258" s="364"/>
      <c r="Q258" s="365"/>
      <c r="R258" s="365"/>
      <c r="S258" s="365"/>
      <c r="T258" s="365"/>
      <c r="U258" s="366"/>
      <c r="V258" s="367"/>
      <c r="W258" s="367"/>
      <c r="X258" s="367"/>
      <c r="Y258" s="367"/>
      <c r="Z258" s="367"/>
      <c r="AA258" s="367"/>
      <c r="AB258" s="367"/>
      <c r="AC258" s="367"/>
      <c r="AD258" s="367"/>
      <c r="AE258" s="367"/>
      <c r="AF258" s="367"/>
      <c r="AG258" s="367"/>
      <c r="AH258" s="367"/>
      <c r="AI258" s="367"/>
      <c r="AJ258" s="367"/>
      <c r="AK258" s="367"/>
      <c r="AL258" s="367"/>
      <c r="AM258" s="367"/>
      <c r="AN258" s="367"/>
      <c r="AO258" s="367"/>
      <c r="AP258" s="367"/>
      <c r="AQ258" s="367"/>
      <c r="AR258" s="367"/>
      <c r="AS258" s="367"/>
      <c r="AT258" s="368"/>
      <c r="AU258" s="367"/>
    </row>
    <row r="259" spans="1:47" ht="12.75">
      <c r="A259" s="367"/>
      <c r="B259" s="367"/>
      <c r="C259" s="367"/>
      <c r="D259" s="367"/>
      <c r="E259" s="367"/>
      <c r="F259" s="367"/>
      <c r="G259" s="367"/>
      <c r="H259" s="367"/>
      <c r="I259" s="367"/>
      <c r="J259" s="367"/>
      <c r="K259" s="367"/>
      <c r="L259" s="367"/>
      <c r="M259" s="367"/>
      <c r="N259" s="367"/>
      <c r="O259" s="367"/>
      <c r="P259" s="364"/>
      <c r="Q259" s="365"/>
      <c r="R259" s="365"/>
      <c r="S259" s="365"/>
      <c r="T259" s="365"/>
      <c r="U259" s="366"/>
      <c r="V259" s="367"/>
      <c r="W259" s="367"/>
      <c r="X259" s="367"/>
      <c r="Y259" s="367"/>
      <c r="Z259" s="367"/>
      <c r="AA259" s="367"/>
      <c r="AB259" s="367"/>
      <c r="AC259" s="367"/>
      <c r="AD259" s="367"/>
      <c r="AE259" s="367"/>
      <c r="AF259" s="367"/>
      <c r="AG259" s="367"/>
      <c r="AH259" s="367"/>
      <c r="AI259" s="367"/>
      <c r="AJ259" s="367"/>
      <c r="AK259" s="367"/>
      <c r="AL259" s="367"/>
      <c r="AM259" s="367"/>
      <c r="AN259" s="367"/>
      <c r="AO259" s="367"/>
      <c r="AP259" s="367"/>
      <c r="AQ259" s="367"/>
      <c r="AR259" s="367"/>
      <c r="AS259" s="367"/>
      <c r="AT259" s="368"/>
      <c r="AU259" s="367"/>
    </row>
    <row r="260" spans="1:47" ht="12.75">
      <c r="A260" s="367"/>
      <c r="B260" s="367"/>
      <c r="C260" s="367"/>
      <c r="D260" s="367"/>
      <c r="E260" s="367"/>
      <c r="F260" s="367"/>
      <c r="G260" s="367"/>
      <c r="H260" s="367"/>
      <c r="I260" s="367"/>
      <c r="J260" s="367"/>
      <c r="K260" s="367"/>
      <c r="L260" s="367"/>
      <c r="M260" s="367"/>
      <c r="N260" s="367"/>
      <c r="O260" s="367"/>
      <c r="P260" s="364"/>
      <c r="Q260" s="365"/>
      <c r="R260" s="365"/>
      <c r="S260" s="365"/>
      <c r="T260" s="365"/>
      <c r="U260" s="366"/>
      <c r="V260" s="367"/>
      <c r="W260" s="367"/>
      <c r="X260" s="367"/>
      <c r="Y260" s="367"/>
      <c r="Z260" s="367"/>
      <c r="AA260" s="367"/>
      <c r="AB260" s="367"/>
      <c r="AC260" s="367"/>
      <c r="AD260" s="367"/>
      <c r="AE260" s="367"/>
      <c r="AF260" s="367"/>
      <c r="AG260" s="367"/>
      <c r="AH260" s="367"/>
      <c r="AI260" s="367"/>
      <c r="AJ260" s="367"/>
      <c r="AK260" s="367"/>
      <c r="AL260" s="367"/>
      <c r="AM260" s="367"/>
      <c r="AN260" s="367"/>
      <c r="AO260" s="367"/>
      <c r="AP260" s="367"/>
      <c r="AQ260" s="367"/>
      <c r="AR260" s="367"/>
      <c r="AS260" s="367"/>
      <c r="AT260" s="368"/>
      <c r="AU260" s="367"/>
    </row>
    <row r="261" spans="1:47" ht="12.75">
      <c r="A261" s="367"/>
      <c r="B261" s="367"/>
      <c r="C261" s="367"/>
      <c r="D261" s="367"/>
      <c r="E261" s="367"/>
      <c r="F261" s="367"/>
      <c r="G261" s="367"/>
      <c r="H261" s="367"/>
      <c r="I261" s="367"/>
      <c r="J261" s="367"/>
      <c r="K261" s="367"/>
      <c r="L261" s="367"/>
      <c r="M261" s="367"/>
      <c r="N261" s="367"/>
      <c r="O261" s="367"/>
      <c r="P261" s="364"/>
      <c r="Q261" s="365"/>
      <c r="R261" s="365"/>
      <c r="S261" s="365"/>
      <c r="T261" s="365"/>
      <c r="U261" s="366"/>
      <c r="V261" s="367"/>
      <c r="W261" s="367"/>
      <c r="X261" s="367"/>
      <c r="Y261" s="367"/>
      <c r="Z261" s="367"/>
      <c r="AA261" s="367"/>
      <c r="AB261" s="367"/>
      <c r="AC261" s="367"/>
      <c r="AD261" s="367"/>
      <c r="AE261" s="367"/>
      <c r="AF261" s="367"/>
      <c r="AG261" s="367"/>
      <c r="AH261" s="367"/>
      <c r="AI261" s="367"/>
      <c r="AJ261" s="367"/>
      <c r="AK261" s="367"/>
      <c r="AL261" s="367"/>
      <c r="AM261" s="367"/>
      <c r="AN261" s="367"/>
      <c r="AO261" s="367"/>
      <c r="AP261" s="367"/>
      <c r="AQ261" s="367"/>
      <c r="AR261" s="367"/>
      <c r="AS261" s="367"/>
      <c r="AT261" s="368"/>
      <c r="AU261" s="367"/>
    </row>
    <row r="262" spans="1:47" ht="12.75">
      <c r="A262" s="367"/>
      <c r="B262" s="367"/>
      <c r="C262" s="367"/>
      <c r="D262" s="367"/>
      <c r="E262" s="367"/>
      <c r="F262" s="367"/>
      <c r="G262" s="367"/>
      <c r="H262" s="367"/>
      <c r="I262" s="367"/>
      <c r="J262" s="367"/>
      <c r="K262" s="367"/>
      <c r="L262" s="367"/>
      <c r="M262" s="367"/>
      <c r="N262" s="367"/>
      <c r="O262" s="367"/>
      <c r="P262" s="364"/>
      <c r="Q262" s="365"/>
      <c r="R262" s="365"/>
      <c r="S262" s="365"/>
      <c r="T262" s="365"/>
      <c r="U262" s="366"/>
      <c r="V262" s="367"/>
      <c r="W262" s="367"/>
      <c r="X262" s="367"/>
      <c r="Y262" s="367"/>
      <c r="Z262" s="367"/>
      <c r="AA262" s="367"/>
      <c r="AB262" s="367"/>
      <c r="AC262" s="367"/>
      <c r="AD262" s="367"/>
      <c r="AE262" s="367"/>
      <c r="AF262" s="367"/>
      <c r="AG262" s="367"/>
      <c r="AH262" s="367"/>
      <c r="AI262" s="367"/>
      <c r="AJ262" s="367"/>
      <c r="AK262" s="367"/>
      <c r="AL262" s="367"/>
      <c r="AM262" s="367"/>
      <c r="AN262" s="367"/>
      <c r="AO262" s="367"/>
      <c r="AP262" s="367"/>
      <c r="AQ262" s="367"/>
      <c r="AR262" s="367"/>
      <c r="AS262" s="367"/>
      <c r="AT262" s="368"/>
      <c r="AU262" s="367"/>
    </row>
    <row r="263" spans="1:47" ht="12.75">
      <c r="A263" s="367"/>
      <c r="B263" s="367"/>
      <c r="C263" s="367"/>
      <c r="D263" s="367"/>
      <c r="E263" s="367"/>
      <c r="F263" s="367"/>
      <c r="G263" s="367"/>
      <c r="H263" s="367"/>
      <c r="I263" s="367"/>
      <c r="J263" s="367"/>
      <c r="K263" s="367"/>
      <c r="L263" s="367"/>
      <c r="M263" s="367"/>
      <c r="N263" s="367"/>
      <c r="O263" s="367"/>
      <c r="P263" s="364"/>
      <c r="Q263" s="365"/>
      <c r="R263" s="365"/>
      <c r="S263" s="365"/>
      <c r="T263" s="365"/>
      <c r="U263" s="366"/>
      <c r="V263" s="367"/>
      <c r="W263" s="367"/>
      <c r="X263" s="367"/>
      <c r="Y263" s="367"/>
      <c r="Z263" s="367"/>
      <c r="AA263" s="367"/>
      <c r="AB263" s="367"/>
      <c r="AC263" s="367"/>
      <c r="AD263" s="367"/>
      <c r="AE263" s="367"/>
      <c r="AF263" s="367"/>
      <c r="AG263" s="367"/>
      <c r="AH263" s="367"/>
      <c r="AI263" s="367"/>
      <c r="AJ263" s="367"/>
      <c r="AK263" s="367"/>
      <c r="AL263" s="367"/>
      <c r="AM263" s="367"/>
      <c r="AN263" s="367"/>
      <c r="AO263" s="367"/>
      <c r="AP263" s="367"/>
      <c r="AQ263" s="367"/>
      <c r="AR263" s="367"/>
      <c r="AS263" s="367"/>
      <c r="AT263" s="368"/>
      <c r="AU263" s="367"/>
    </row>
    <row r="264" spans="1:47" ht="12.75">
      <c r="A264" s="367"/>
      <c r="B264" s="367"/>
      <c r="C264" s="367"/>
      <c r="D264" s="367"/>
      <c r="E264" s="367"/>
      <c r="F264" s="367"/>
      <c r="G264" s="367"/>
      <c r="H264" s="367"/>
      <c r="I264" s="367"/>
      <c r="J264" s="367"/>
      <c r="K264" s="367"/>
      <c r="L264" s="367"/>
      <c r="M264" s="367"/>
      <c r="N264" s="367"/>
      <c r="O264" s="367"/>
      <c r="P264" s="364"/>
      <c r="Q264" s="365"/>
      <c r="R264" s="365"/>
      <c r="S264" s="365"/>
      <c r="T264" s="365"/>
      <c r="U264" s="366"/>
      <c r="V264" s="367"/>
      <c r="W264" s="367"/>
      <c r="X264" s="367"/>
      <c r="Y264" s="367"/>
      <c r="Z264" s="367"/>
      <c r="AA264" s="367"/>
      <c r="AB264" s="367"/>
      <c r="AC264" s="367"/>
      <c r="AD264" s="367"/>
      <c r="AE264" s="367"/>
      <c r="AF264" s="367"/>
      <c r="AG264" s="367"/>
      <c r="AH264" s="367"/>
      <c r="AI264" s="367"/>
      <c r="AJ264" s="367"/>
      <c r="AK264" s="367"/>
      <c r="AL264" s="367"/>
      <c r="AM264" s="367"/>
      <c r="AN264" s="367"/>
      <c r="AO264" s="367"/>
      <c r="AP264" s="367"/>
      <c r="AQ264" s="367"/>
      <c r="AR264" s="367"/>
      <c r="AS264" s="367"/>
      <c r="AT264" s="368"/>
      <c r="AU264" s="367"/>
    </row>
    <row r="265" spans="1:47" ht="12.75">
      <c r="A265" s="367"/>
      <c r="B265" s="367"/>
      <c r="C265" s="367"/>
      <c r="D265" s="367"/>
      <c r="E265" s="367"/>
      <c r="F265" s="367"/>
      <c r="G265" s="367"/>
      <c r="H265" s="367"/>
      <c r="I265" s="367"/>
      <c r="J265" s="367"/>
      <c r="K265" s="367"/>
      <c r="L265" s="367"/>
      <c r="M265" s="367"/>
      <c r="N265" s="367"/>
      <c r="O265" s="367"/>
      <c r="P265" s="364"/>
      <c r="Q265" s="365"/>
      <c r="R265" s="365"/>
      <c r="S265" s="365"/>
      <c r="T265" s="365"/>
      <c r="U265" s="366"/>
      <c r="V265" s="367"/>
      <c r="W265" s="367"/>
      <c r="X265" s="367"/>
      <c r="Y265" s="367"/>
      <c r="Z265" s="367"/>
      <c r="AA265" s="367"/>
      <c r="AB265" s="367"/>
      <c r="AC265" s="367"/>
      <c r="AD265" s="367"/>
      <c r="AE265" s="367"/>
      <c r="AF265" s="367"/>
      <c r="AG265" s="367"/>
      <c r="AH265" s="367"/>
      <c r="AI265" s="367"/>
      <c r="AJ265" s="367"/>
      <c r="AK265" s="367"/>
      <c r="AL265" s="367"/>
      <c r="AM265" s="367"/>
      <c r="AN265" s="367"/>
      <c r="AO265" s="367"/>
      <c r="AP265" s="367"/>
      <c r="AQ265" s="367"/>
      <c r="AR265" s="367"/>
      <c r="AS265" s="367"/>
      <c r="AT265" s="368"/>
      <c r="AU265" s="367"/>
    </row>
    <row r="266" spans="1:47" ht="12.75">
      <c r="A266" s="367"/>
      <c r="B266" s="367"/>
      <c r="C266" s="367"/>
      <c r="D266" s="367"/>
      <c r="E266" s="367"/>
      <c r="F266" s="367"/>
      <c r="G266" s="367"/>
      <c r="H266" s="367"/>
      <c r="I266" s="367"/>
      <c r="J266" s="367"/>
      <c r="K266" s="367"/>
      <c r="L266" s="367"/>
      <c r="M266" s="367"/>
      <c r="N266" s="367"/>
      <c r="O266" s="367"/>
      <c r="P266" s="364"/>
      <c r="Q266" s="365"/>
      <c r="R266" s="365"/>
      <c r="S266" s="365"/>
      <c r="T266" s="365"/>
      <c r="U266" s="366"/>
      <c r="V266" s="367"/>
      <c r="W266" s="367"/>
      <c r="X266" s="367"/>
      <c r="Y266" s="367"/>
      <c r="Z266" s="367"/>
      <c r="AA266" s="367"/>
      <c r="AB266" s="367"/>
      <c r="AC266" s="367"/>
      <c r="AD266" s="367"/>
      <c r="AE266" s="367"/>
      <c r="AF266" s="367"/>
      <c r="AG266" s="367"/>
      <c r="AH266" s="367"/>
      <c r="AI266" s="367"/>
      <c r="AJ266" s="367"/>
      <c r="AK266" s="367"/>
      <c r="AL266" s="367"/>
      <c r="AM266" s="367"/>
      <c r="AN266" s="367"/>
      <c r="AO266" s="367"/>
      <c r="AP266" s="367"/>
      <c r="AQ266" s="367"/>
      <c r="AR266" s="367"/>
      <c r="AS266" s="367"/>
      <c r="AT266" s="368"/>
      <c r="AU266" s="367"/>
    </row>
    <row r="267" spans="1:47" ht="12.75">
      <c r="A267" s="367"/>
      <c r="B267" s="367"/>
      <c r="C267" s="367"/>
      <c r="D267" s="367"/>
      <c r="E267" s="367"/>
      <c r="F267" s="367"/>
      <c r="G267" s="367"/>
      <c r="H267" s="367"/>
      <c r="I267" s="367"/>
      <c r="J267" s="367"/>
      <c r="K267" s="367"/>
      <c r="L267" s="367"/>
      <c r="M267" s="367"/>
      <c r="N267" s="367"/>
      <c r="O267" s="367"/>
      <c r="P267" s="364"/>
      <c r="Q267" s="365"/>
      <c r="R267" s="365"/>
      <c r="S267" s="365"/>
      <c r="T267" s="365"/>
      <c r="U267" s="366"/>
      <c r="V267" s="367"/>
      <c r="W267" s="367"/>
      <c r="X267" s="367"/>
      <c r="Y267" s="367"/>
      <c r="Z267" s="367"/>
      <c r="AA267" s="367"/>
      <c r="AB267" s="367"/>
      <c r="AC267" s="367"/>
      <c r="AD267" s="367"/>
      <c r="AE267" s="367"/>
      <c r="AF267" s="367"/>
      <c r="AG267" s="367"/>
      <c r="AH267" s="367"/>
      <c r="AI267" s="367"/>
      <c r="AJ267" s="367"/>
      <c r="AK267" s="367"/>
      <c r="AL267" s="367"/>
      <c r="AM267" s="367"/>
      <c r="AN267" s="367"/>
      <c r="AO267" s="367"/>
      <c r="AP267" s="367"/>
      <c r="AQ267" s="367"/>
      <c r="AR267" s="367"/>
      <c r="AS267" s="367"/>
      <c r="AT267" s="368"/>
      <c r="AU267" s="367"/>
    </row>
    <row r="268" spans="1:47" ht="12.75">
      <c r="A268" s="367"/>
      <c r="B268" s="367"/>
      <c r="C268" s="367"/>
      <c r="D268" s="367"/>
      <c r="E268" s="367"/>
      <c r="F268" s="367"/>
      <c r="G268" s="367"/>
      <c r="H268" s="367"/>
      <c r="I268" s="367"/>
      <c r="J268" s="367"/>
      <c r="K268" s="367"/>
      <c r="L268" s="367"/>
      <c r="M268" s="367"/>
      <c r="N268" s="367"/>
      <c r="O268" s="367"/>
      <c r="P268" s="364"/>
      <c r="Q268" s="365"/>
      <c r="R268" s="365"/>
      <c r="S268" s="365"/>
      <c r="T268" s="365"/>
      <c r="U268" s="366"/>
      <c r="V268" s="367"/>
      <c r="W268" s="367"/>
      <c r="X268" s="367"/>
      <c r="Y268" s="367"/>
      <c r="Z268" s="367"/>
      <c r="AA268" s="367"/>
      <c r="AB268" s="367"/>
      <c r="AC268" s="367"/>
      <c r="AD268" s="367"/>
      <c r="AE268" s="367"/>
      <c r="AF268" s="367"/>
      <c r="AG268" s="367"/>
      <c r="AH268" s="367"/>
      <c r="AI268" s="367"/>
      <c r="AJ268" s="367"/>
      <c r="AK268" s="367"/>
      <c r="AL268" s="367"/>
      <c r="AM268" s="367"/>
      <c r="AN268" s="367"/>
      <c r="AO268" s="367"/>
      <c r="AP268" s="367"/>
      <c r="AQ268" s="367"/>
      <c r="AR268" s="367"/>
      <c r="AS268" s="367"/>
      <c r="AT268" s="368"/>
      <c r="AU268" s="367"/>
    </row>
    <row r="269" spans="1:47" ht="12.75">
      <c r="A269" s="367"/>
      <c r="B269" s="367"/>
      <c r="C269" s="367"/>
      <c r="D269" s="367"/>
      <c r="E269" s="367"/>
      <c r="F269" s="367"/>
      <c r="G269" s="367"/>
      <c r="H269" s="367"/>
      <c r="I269" s="367"/>
      <c r="J269" s="367"/>
      <c r="K269" s="367"/>
      <c r="L269" s="367"/>
      <c r="M269" s="367"/>
      <c r="N269" s="367"/>
      <c r="O269" s="367"/>
      <c r="P269" s="364"/>
      <c r="Q269" s="365"/>
      <c r="R269" s="365"/>
      <c r="S269" s="365"/>
      <c r="T269" s="365"/>
      <c r="U269" s="366"/>
      <c r="V269" s="367"/>
      <c r="W269" s="367"/>
      <c r="X269" s="367"/>
      <c r="Y269" s="367"/>
      <c r="Z269" s="367"/>
      <c r="AA269" s="367"/>
      <c r="AB269" s="367"/>
      <c r="AC269" s="367"/>
      <c r="AD269" s="367"/>
      <c r="AE269" s="367"/>
      <c r="AF269" s="367"/>
      <c r="AG269" s="367"/>
      <c r="AH269" s="367"/>
      <c r="AI269" s="367"/>
      <c r="AJ269" s="367"/>
      <c r="AK269" s="367"/>
      <c r="AL269" s="367"/>
      <c r="AM269" s="367"/>
      <c r="AN269" s="367"/>
      <c r="AO269" s="367"/>
      <c r="AP269" s="367"/>
      <c r="AQ269" s="367"/>
      <c r="AR269" s="367"/>
      <c r="AS269" s="367"/>
      <c r="AT269" s="368"/>
      <c r="AU269" s="367"/>
    </row>
    <row r="270" spans="1:47" ht="12.75">
      <c r="A270" s="367"/>
      <c r="B270" s="367"/>
      <c r="C270" s="367"/>
      <c r="D270" s="367"/>
      <c r="E270" s="367"/>
      <c r="F270" s="367"/>
      <c r="G270" s="367"/>
      <c r="H270" s="367"/>
      <c r="I270" s="367"/>
      <c r="J270" s="367"/>
      <c r="K270" s="367"/>
      <c r="L270" s="367"/>
      <c r="M270" s="367"/>
      <c r="N270" s="367"/>
      <c r="O270" s="367"/>
      <c r="P270" s="364"/>
      <c r="Q270" s="365"/>
      <c r="R270" s="365"/>
      <c r="S270" s="365"/>
      <c r="T270" s="365"/>
      <c r="U270" s="366"/>
      <c r="V270" s="367"/>
      <c r="W270" s="367"/>
      <c r="X270" s="367"/>
      <c r="Y270" s="367"/>
      <c r="Z270" s="367"/>
      <c r="AA270" s="367"/>
      <c r="AB270" s="367"/>
      <c r="AC270" s="367"/>
      <c r="AD270" s="367"/>
      <c r="AE270" s="367"/>
      <c r="AF270" s="367"/>
      <c r="AG270" s="367"/>
      <c r="AH270" s="367"/>
      <c r="AI270" s="367"/>
      <c r="AJ270" s="367"/>
      <c r="AK270" s="367"/>
      <c r="AL270" s="367"/>
      <c r="AM270" s="367"/>
      <c r="AN270" s="367"/>
      <c r="AO270" s="367"/>
      <c r="AP270" s="367"/>
      <c r="AQ270" s="367"/>
      <c r="AR270" s="367"/>
      <c r="AS270" s="367"/>
      <c r="AT270" s="368"/>
      <c r="AU270" s="367"/>
    </row>
    <row r="271" spans="1:47" ht="12.75">
      <c r="A271" s="367"/>
      <c r="B271" s="367"/>
      <c r="C271" s="367"/>
      <c r="D271" s="367"/>
      <c r="E271" s="367"/>
      <c r="F271" s="367"/>
      <c r="G271" s="367"/>
      <c r="H271" s="367"/>
      <c r="I271" s="367"/>
      <c r="J271" s="367"/>
      <c r="K271" s="367"/>
      <c r="L271" s="367"/>
      <c r="M271" s="367"/>
      <c r="N271" s="367"/>
      <c r="O271" s="367"/>
      <c r="P271" s="364"/>
      <c r="Q271" s="365"/>
      <c r="R271" s="365"/>
      <c r="S271" s="365"/>
      <c r="T271" s="365"/>
      <c r="U271" s="366"/>
      <c r="V271" s="367"/>
      <c r="W271" s="367"/>
      <c r="X271" s="367"/>
      <c r="Y271" s="367"/>
      <c r="Z271" s="367"/>
      <c r="AA271" s="367"/>
      <c r="AB271" s="367"/>
      <c r="AC271" s="367"/>
      <c r="AD271" s="367"/>
      <c r="AE271" s="367"/>
      <c r="AF271" s="367"/>
      <c r="AG271" s="367"/>
      <c r="AH271" s="367"/>
      <c r="AI271" s="367"/>
      <c r="AJ271" s="367"/>
      <c r="AK271" s="367"/>
      <c r="AL271" s="367"/>
      <c r="AM271" s="367"/>
      <c r="AN271" s="367"/>
      <c r="AO271" s="367"/>
      <c r="AP271" s="367"/>
      <c r="AQ271" s="367"/>
      <c r="AR271" s="367"/>
      <c r="AS271" s="367"/>
      <c r="AT271" s="368"/>
      <c r="AU271" s="367"/>
    </row>
    <row r="272" spans="1:47" ht="12.75">
      <c r="A272" s="367"/>
      <c r="B272" s="367"/>
      <c r="C272" s="367"/>
      <c r="D272" s="367"/>
      <c r="E272" s="367"/>
      <c r="F272" s="367"/>
      <c r="G272" s="367"/>
      <c r="H272" s="367"/>
      <c r="I272" s="367"/>
      <c r="J272" s="367"/>
      <c r="K272" s="367"/>
      <c r="L272" s="367"/>
      <c r="M272" s="367"/>
      <c r="N272" s="367"/>
      <c r="O272" s="367"/>
      <c r="P272" s="364"/>
      <c r="Q272" s="365"/>
      <c r="R272" s="365"/>
      <c r="S272" s="365"/>
      <c r="T272" s="365"/>
      <c r="U272" s="366"/>
      <c r="V272" s="367"/>
      <c r="W272" s="367"/>
      <c r="X272" s="367"/>
      <c r="Y272" s="367"/>
      <c r="Z272" s="367"/>
      <c r="AA272" s="367"/>
      <c r="AB272" s="367"/>
      <c r="AC272" s="367"/>
      <c r="AD272" s="367"/>
      <c r="AE272" s="367"/>
      <c r="AF272" s="367"/>
      <c r="AG272" s="367"/>
      <c r="AH272" s="367"/>
      <c r="AI272" s="367"/>
      <c r="AJ272" s="367"/>
      <c r="AK272" s="367"/>
      <c r="AL272" s="367"/>
      <c r="AM272" s="367"/>
      <c r="AN272" s="367"/>
      <c r="AO272" s="367"/>
      <c r="AP272" s="367"/>
      <c r="AQ272" s="367"/>
      <c r="AR272" s="367"/>
      <c r="AS272" s="367"/>
      <c r="AT272" s="368"/>
      <c r="AU272" s="367"/>
    </row>
    <row r="273" spans="1:47" ht="12.75">
      <c r="A273" s="367"/>
      <c r="B273" s="367"/>
      <c r="C273" s="367"/>
      <c r="D273" s="367"/>
      <c r="E273" s="367"/>
      <c r="F273" s="367"/>
      <c r="G273" s="367"/>
      <c r="H273" s="367"/>
      <c r="I273" s="367"/>
      <c r="J273" s="367"/>
      <c r="K273" s="367"/>
      <c r="L273" s="367"/>
      <c r="M273" s="367"/>
      <c r="N273" s="367"/>
      <c r="O273" s="367"/>
      <c r="P273" s="364"/>
      <c r="Q273" s="365"/>
      <c r="R273" s="365"/>
      <c r="S273" s="365"/>
      <c r="T273" s="365"/>
      <c r="U273" s="366"/>
      <c r="V273" s="367"/>
      <c r="W273" s="367"/>
      <c r="X273" s="367"/>
      <c r="Y273" s="367"/>
      <c r="Z273" s="367"/>
      <c r="AA273" s="367"/>
      <c r="AB273" s="367"/>
      <c r="AC273" s="367"/>
      <c r="AD273" s="367"/>
      <c r="AE273" s="367"/>
      <c r="AF273" s="367"/>
      <c r="AG273" s="367"/>
      <c r="AH273" s="367"/>
      <c r="AI273" s="367"/>
      <c r="AJ273" s="367"/>
      <c r="AK273" s="367"/>
      <c r="AL273" s="367"/>
      <c r="AM273" s="367"/>
      <c r="AN273" s="367"/>
      <c r="AO273" s="367"/>
      <c r="AP273" s="367"/>
      <c r="AQ273" s="367"/>
      <c r="AR273" s="367"/>
      <c r="AS273" s="367"/>
      <c r="AT273" s="368"/>
      <c r="AU273" s="367"/>
    </row>
    <row r="274" spans="1:47" ht="12.75">
      <c r="A274" s="367"/>
      <c r="B274" s="367"/>
      <c r="C274" s="367"/>
      <c r="D274" s="367"/>
      <c r="E274" s="367"/>
      <c r="F274" s="367"/>
      <c r="G274" s="367"/>
      <c r="H274" s="367"/>
      <c r="I274" s="367"/>
      <c r="J274" s="367"/>
      <c r="K274" s="367"/>
      <c r="L274" s="367"/>
      <c r="M274" s="367"/>
      <c r="N274" s="367"/>
      <c r="O274" s="367"/>
      <c r="P274" s="364"/>
      <c r="Q274" s="365"/>
      <c r="R274" s="365"/>
      <c r="S274" s="365"/>
      <c r="T274" s="365"/>
      <c r="U274" s="366"/>
      <c r="V274" s="367"/>
      <c r="W274" s="367"/>
      <c r="X274" s="367"/>
      <c r="Y274" s="367"/>
      <c r="Z274" s="367"/>
      <c r="AA274" s="367"/>
      <c r="AB274" s="367"/>
      <c r="AC274" s="367"/>
      <c r="AD274" s="367"/>
      <c r="AE274" s="367"/>
      <c r="AF274" s="367"/>
      <c r="AG274" s="367"/>
      <c r="AH274" s="367"/>
      <c r="AI274" s="367"/>
      <c r="AJ274" s="367"/>
      <c r="AK274" s="367"/>
      <c r="AL274" s="367"/>
      <c r="AM274" s="367"/>
      <c r="AN274" s="367"/>
      <c r="AO274" s="367"/>
      <c r="AP274" s="367"/>
      <c r="AQ274" s="367"/>
      <c r="AR274" s="367"/>
      <c r="AS274" s="367"/>
      <c r="AT274" s="368"/>
      <c r="AU274" s="367"/>
    </row>
    <row r="275" spans="1:47" ht="12.75">
      <c r="A275" s="367"/>
      <c r="B275" s="367"/>
      <c r="C275" s="367"/>
      <c r="D275" s="367"/>
      <c r="E275" s="367"/>
      <c r="F275" s="367"/>
      <c r="G275" s="367"/>
      <c r="H275" s="367"/>
      <c r="I275" s="367"/>
      <c r="J275" s="367"/>
      <c r="K275" s="367"/>
      <c r="L275" s="367"/>
      <c r="M275" s="367"/>
      <c r="N275" s="367"/>
      <c r="O275" s="367"/>
      <c r="P275" s="364"/>
      <c r="Q275" s="365"/>
      <c r="R275" s="365"/>
      <c r="S275" s="365"/>
      <c r="T275" s="365"/>
      <c r="U275" s="366"/>
      <c r="V275" s="367"/>
      <c r="W275" s="367"/>
      <c r="X275" s="367"/>
      <c r="Y275" s="367"/>
      <c r="Z275" s="367"/>
      <c r="AA275" s="367"/>
      <c r="AB275" s="367"/>
      <c r="AC275" s="367"/>
      <c r="AD275" s="367"/>
      <c r="AE275" s="367"/>
      <c r="AF275" s="367"/>
      <c r="AG275" s="367"/>
      <c r="AH275" s="367"/>
      <c r="AI275" s="367"/>
      <c r="AJ275" s="367"/>
      <c r="AK275" s="367"/>
      <c r="AL275" s="367"/>
      <c r="AM275" s="367"/>
      <c r="AN275" s="367"/>
      <c r="AO275" s="367"/>
      <c r="AP275" s="367"/>
      <c r="AQ275" s="367"/>
      <c r="AR275" s="367"/>
      <c r="AS275" s="367"/>
      <c r="AT275" s="368"/>
      <c r="AU275" s="367"/>
    </row>
    <row r="276" spans="1:47" ht="12.75">
      <c r="A276" s="367"/>
      <c r="B276" s="367"/>
      <c r="C276" s="367"/>
      <c r="D276" s="367"/>
      <c r="E276" s="367"/>
      <c r="F276" s="367"/>
      <c r="G276" s="367"/>
      <c r="H276" s="367"/>
      <c r="I276" s="367"/>
      <c r="J276" s="367"/>
      <c r="K276" s="367"/>
      <c r="L276" s="367"/>
      <c r="M276" s="367"/>
      <c r="N276" s="367"/>
      <c r="O276" s="367"/>
      <c r="P276" s="364"/>
      <c r="Q276" s="365"/>
      <c r="R276" s="365"/>
      <c r="S276" s="365"/>
      <c r="T276" s="365"/>
      <c r="U276" s="366"/>
      <c r="V276" s="367"/>
      <c r="W276" s="367"/>
      <c r="X276" s="367"/>
      <c r="Y276" s="367"/>
      <c r="Z276" s="367"/>
      <c r="AA276" s="367"/>
      <c r="AB276" s="367"/>
      <c r="AC276" s="367"/>
      <c r="AD276" s="367"/>
      <c r="AE276" s="367"/>
      <c r="AF276" s="367"/>
      <c r="AG276" s="367"/>
      <c r="AH276" s="367"/>
      <c r="AI276" s="367"/>
      <c r="AJ276" s="367"/>
      <c r="AK276" s="367"/>
      <c r="AL276" s="367"/>
      <c r="AM276" s="367"/>
      <c r="AN276" s="367"/>
      <c r="AO276" s="367"/>
      <c r="AP276" s="367"/>
      <c r="AQ276" s="367"/>
      <c r="AR276" s="367"/>
      <c r="AS276" s="367"/>
      <c r="AT276" s="368"/>
      <c r="AU276" s="367"/>
    </row>
    <row r="277" spans="1:47" ht="12.75">
      <c r="A277" s="367"/>
      <c r="B277" s="367"/>
      <c r="C277" s="367"/>
      <c r="D277" s="367"/>
      <c r="E277" s="367"/>
      <c r="F277" s="367"/>
      <c r="G277" s="367"/>
      <c r="H277" s="367"/>
      <c r="I277" s="367"/>
      <c r="J277" s="367"/>
      <c r="K277" s="367"/>
      <c r="L277" s="367"/>
      <c r="M277" s="367"/>
      <c r="N277" s="367"/>
      <c r="O277" s="367"/>
      <c r="P277" s="364"/>
      <c r="Q277" s="365"/>
      <c r="R277" s="365"/>
      <c r="S277" s="365"/>
      <c r="T277" s="365"/>
      <c r="U277" s="366"/>
      <c r="V277" s="367"/>
      <c r="W277" s="367"/>
      <c r="X277" s="367"/>
      <c r="Y277" s="367"/>
      <c r="Z277" s="367"/>
      <c r="AA277" s="367"/>
      <c r="AB277" s="367"/>
      <c r="AC277" s="367"/>
      <c r="AD277" s="367"/>
      <c r="AE277" s="367"/>
      <c r="AF277" s="367"/>
      <c r="AG277" s="367"/>
      <c r="AH277" s="367"/>
      <c r="AI277" s="367"/>
      <c r="AJ277" s="367"/>
      <c r="AK277" s="367"/>
      <c r="AL277" s="367"/>
      <c r="AM277" s="367"/>
      <c r="AN277" s="367"/>
      <c r="AO277" s="367"/>
      <c r="AP277" s="367"/>
      <c r="AQ277" s="367"/>
      <c r="AR277" s="367"/>
      <c r="AS277" s="367"/>
      <c r="AT277" s="368"/>
      <c r="AU277" s="367"/>
    </row>
    <row r="278" spans="1:47" ht="12.75">
      <c r="A278" s="367"/>
      <c r="B278" s="367"/>
      <c r="C278" s="367"/>
      <c r="D278" s="367"/>
      <c r="E278" s="367"/>
      <c r="F278" s="367"/>
      <c r="G278" s="367"/>
      <c r="H278" s="367"/>
      <c r="I278" s="367"/>
      <c r="J278" s="367"/>
      <c r="K278" s="367"/>
      <c r="L278" s="367"/>
      <c r="M278" s="367"/>
      <c r="N278" s="367"/>
      <c r="O278" s="367"/>
      <c r="P278" s="364"/>
      <c r="Q278" s="365"/>
      <c r="R278" s="365"/>
      <c r="S278" s="365"/>
      <c r="T278" s="365"/>
      <c r="U278" s="366"/>
      <c r="V278" s="367"/>
      <c r="W278" s="367"/>
      <c r="X278" s="367"/>
      <c r="Y278" s="367"/>
      <c r="Z278" s="367"/>
      <c r="AA278" s="367"/>
      <c r="AB278" s="367"/>
      <c r="AC278" s="367"/>
      <c r="AD278" s="367"/>
      <c r="AE278" s="367"/>
      <c r="AF278" s="367"/>
      <c r="AG278" s="367"/>
      <c r="AH278" s="367"/>
      <c r="AI278" s="367"/>
      <c r="AJ278" s="367"/>
      <c r="AK278" s="367"/>
      <c r="AL278" s="367"/>
      <c r="AM278" s="367"/>
      <c r="AN278" s="367"/>
      <c r="AO278" s="367"/>
      <c r="AP278" s="367"/>
      <c r="AQ278" s="367"/>
      <c r="AR278" s="367"/>
      <c r="AS278" s="367"/>
      <c r="AT278" s="368"/>
      <c r="AU278" s="367"/>
    </row>
    <row r="279" spans="1:47" ht="12.75">
      <c r="A279" s="367"/>
      <c r="B279" s="367"/>
      <c r="C279" s="367"/>
      <c r="D279" s="367"/>
      <c r="E279" s="367"/>
      <c r="F279" s="367"/>
      <c r="G279" s="367"/>
      <c r="H279" s="367"/>
      <c r="I279" s="367"/>
      <c r="J279" s="367"/>
      <c r="K279" s="367"/>
      <c r="L279" s="367"/>
      <c r="M279" s="367"/>
      <c r="N279" s="367"/>
      <c r="O279" s="367"/>
      <c r="P279" s="364"/>
      <c r="Q279" s="365"/>
      <c r="R279" s="365"/>
      <c r="S279" s="365"/>
      <c r="T279" s="365"/>
      <c r="U279" s="366"/>
      <c r="V279" s="367"/>
      <c r="W279" s="367"/>
      <c r="X279" s="367"/>
      <c r="Y279" s="367"/>
      <c r="Z279" s="367"/>
      <c r="AA279" s="367"/>
      <c r="AB279" s="367"/>
      <c r="AC279" s="367"/>
      <c r="AD279" s="367"/>
      <c r="AE279" s="367"/>
      <c r="AF279" s="367"/>
      <c r="AG279" s="367"/>
      <c r="AH279" s="367"/>
      <c r="AI279" s="367"/>
      <c r="AJ279" s="367"/>
      <c r="AK279" s="367"/>
      <c r="AL279" s="367"/>
      <c r="AM279" s="367"/>
      <c r="AN279" s="367"/>
      <c r="AO279" s="367"/>
      <c r="AP279" s="367"/>
      <c r="AQ279" s="367"/>
      <c r="AR279" s="367"/>
      <c r="AS279" s="367"/>
      <c r="AT279" s="368"/>
      <c r="AU279" s="367"/>
    </row>
    <row r="280" spans="1:47" ht="12.75">
      <c r="A280" s="367"/>
      <c r="B280" s="367"/>
      <c r="C280" s="367"/>
      <c r="D280" s="367"/>
      <c r="E280" s="367"/>
      <c r="F280" s="367"/>
      <c r="G280" s="367"/>
      <c r="H280" s="367"/>
      <c r="I280" s="367"/>
      <c r="J280" s="367"/>
      <c r="K280" s="367"/>
      <c r="L280" s="367"/>
      <c r="M280" s="367"/>
      <c r="N280" s="367"/>
      <c r="O280" s="367"/>
      <c r="P280" s="364"/>
      <c r="Q280" s="365"/>
      <c r="R280" s="365"/>
      <c r="S280" s="365"/>
      <c r="T280" s="365"/>
      <c r="U280" s="366"/>
      <c r="V280" s="367"/>
      <c r="W280" s="367"/>
      <c r="X280" s="367"/>
      <c r="Y280" s="367"/>
      <c r="Z280" s="367"/>
      <c r="AA280" s="367"/>
      <c r="AB280" s="367"/>
      <c r="AC280" s="367"/>
      <c r="AD280" s="367"/>
      <c r="AE280" s="367"/>
      <c r="AF280" s="367"/>
      <c r="AG280" s="367"/>
      <c r="AH280" s="367"/>
      <c r="AI280" s="367"/>
      <c r="AJ280" s="367"/>
      <c r="AK280" s="367"/>
      <c r="AL280" s="367"/>
      <c r="AM280" s="367"/>
      <c r="AN280" s="367"/>
      <c r="AO280" s="367"/>
      <c r="AP280" s="367"/>
      <c r="AQ280" s="367"/>
      <c r="AR280" s="367"/>
      <c r="AS280" s="367"/>
      <c r="AT280" s="368"/>
      <c r="AU280" s="367"/>
    </row>
    <row r="281" spans="1:47" ht="12.75">
      <c r="A281" s="367"/>
      <c r="B281" s="367"/>
      <c r="C281" s="367"/>
      <c r="D281" s="367"/>
      <c r="E281" s="367"/>
      <c r="F281" s="367"/>
      <c r="G281" s="367"/>
      <c r="H281" s="367"/>
      <c r="I281" s="367"/>
      <c r="J281" s="367"/>
      <c r="K281" s="367"/>
      <c r="L281" s="367"/>
      <c r="M281" s="367"/>
      <c r="N281" s="367"/>
      <c r="O281" s="367"/>
      <c r="P281" s="364"/>
      <c r="Q281" s="365"/>
      <c r="R281" s="365"/>
      <c r="S281" s="365"/>
      <c r="T281" s="365"/>
      <c r="U281" s="366"/>
      <c r="V281" s="367"/>
      <c r="W281" s="367"/>
      <c r="X281" s="367"/>
      <c r="Y281" s="367"/>
      <c r="Z281" s="367"/>
      <c r="AA281" s="367"/>
      <c r="AB281" s="367"/>
      <c r="AC281" s="367"/>
      <c r="AD281" s="367"/>
      <c r="AE281" s="367"/>
      <c r="AF281" s="367"/>
      <c r="AG281" s="367"/>
      <c r="AH281" s="367"/>
      <c r="AI281" s="367"/>
      <c r="AJ281" s="367"/>
      <c r="AK281" s="367"/>
      <c r="AL281" s="367"/>
      <c r="AM281" s="367"/>
      <c r="AN281" s="367"/>
      <c r="AO281" s="367"/>
      <c r="AP281" s="367"/>
      <c r="AQ281" s="367"/>
      <c r="AR281" s="367"/>
      <c r="AS281" s="367"/>
      <c r="AT281" s="368"/>
      <c r="AU281" s="367"/>
    </row>
    <row r="282" spans="1:47" ht="12.75">
      <c r="A282" s="367"/>
      <c r="B282" s="367"/>
      <c r="C282" s="367"/>
      <c r="D282" s="367"/>
      <c r="E282" s="367"/>
      <c r="F282" s="367"/>
      <c r="G282" s="367"/>
      <c r="H282" s="367"/>
      <c r="I282" s="367"/>
      <c r="J282" s="367"/>
      <c r="K282" s="367"/>
      <c r="L282" s="367"/>
      <c r="M282" s="367"/>
      <c r="N282" s="367"/>
      <c r="O282" s="367"/>
      <c r="P282" s="364"/>
      <c r="Q282" s="365"/>
      <c r="R282" s="365"/>
      <c r="S282" s="365"/>
      <c r="T282" s="365"/>
      <c r="U282" s="366"/>
      <c r="V282" s="367"/>
      <c r="W282" s="367"/>
      <c r="X282" s="367"/>
      <c r="Y282" s="367"/>
      <c r="Z282" s="367"/>
      <c r="AA282" s="367"/>
      <c r="AB282" s="367"/>
      <c r="AC282" s="367"/>
      <c r="AD282" s="367"/>
      <c r="AE282" s="367"/>
      <c r="AF282" s="367"/>
      <c r="AG282" s="367"/>
      <c r="AH282" s="367"/>
      <c r="AI282" s="367"/>
      <c r="AJ282" s="367"/>
      <c r="AK282" s="367"/>
      <c r="AL282" s="367"/>
      <c r="AM282" s="367"/>
      <c r="AN282" s="367"/>
      <c r="AO282" s="367"/>
      <c r="AP282" s="367"/>
      <c r="AQ282" s="367"/>
      <c r="AR282" s="367"/>
      <c r="AS282" s="367"/>
      <c r="AT282" s="368"/>
      <c r="AU282" s="367"/>
    </row>
    <row r="283" spans="1:47" ht="12.75">
      <c r="A283" s="367"/>
      <c r="B283" s="367"/>
      <c r="C283" s="367"/>
      <c r="D283" s="367"/>
      <c r="E283" s="367"/>
      <c r="F283" s="367"/>
      <c r="G283" s="367"/>
      <c r="H283" s="367"/>
      <c r="I283" s="367"/>
      <c r="J283" s="367"/>
      <c r="K283" s="367"/>
      <c r="L283" s="367"/>
      <c r="M283" s="367"/>
      <c r="N283" s="367"/>
      <c r="O283" s="367"/>
      <c r="P283" s="364"/>
      <c r="Q283" s="365"/>
      <c r="R283" s="365"/>
      <c r="S283" s="365"/>
      <c r="T283" s="365"/>
      <c r="U283" s="366"/>
      <c r="V283" s="367"/>
      <c r="W283" s="367"/>
      <c r="X283" s="367"/>
      <c r="Y283" s="367"/>
      <c r="Z283" s="367"/>
      <c r="AA283" s="367"/>
      <c r="AB283" s="367"/>
      <c r="AC283" s="367"/>
      <c r="AD283" s="367"/>
      <c r="AE283" s="367"/>
      <c r="AF283" s="367"/>
      <c r="AG283" s="367"/>
      <c r="AH283" s="367"/>
      <c r="AI283" s="367"/>
      <c r="AJ283" s="367"/>
      <c r="AK283" s="367"/>
      <c r="AL283" s="367"/>
      <c r="AM283" s="367"/>
      <c r="AN283" s="367"/>
      <c r="AO283" s="367"/>
      <c r="AP283" s="367"/>
      <c r="AQ283" s="367"/>
      <c r="AR283" s="367"/>
      <c r="AS283" s="367"/>
      <c r="AT283" s="368"/>
      <c r="AU283" s="367"/>
    </row>
    <row r="284" spans="1:47" ht="12.75">
      <c r="A284" s="367"/>
      <c r="B284" s="367"/>
      <c r="C284" s="367"/>
      <c r="D284" s="367"/>
      <c r="E284" s="367"/>
      <c r="F284" s="367"/>
      <c r="G284" s="367"/>
      <c r="H284" s="367"/>
      <c r="I284" s="367"/>
      <c r="J284" s="367"/>
      <c r="K284" s="367"/>
      <c r="L284" s="367"/>
      <c r="M284" s="367"/>
      <c r="N284" s="367"/>
      <c r="O284" s="367"/>
      <c r="P284" s="364"/>
      <c r="Q284" s="365"/>
      <c r="R284" s="365"/>
      <c r="S284" s="365"/>
      <c r="T284" s="365"/>
      <c r="U284" s="366"/>
      <c r="V284" s="367"/>
      <c r="W284" s="367"/>
      <c r="X284" s="367"/>
      <c r="Y284" s="367"/>
      <c r="Z284" s="367"/>
      <c r="AA284" s="367"/>
      <c r="AB284" s="367"/>
      <c r="AC284" s="367"/>
      <c r="AD284" s="367"/>
      <c r="AE284" s="367"/>
      <c r="AF284" s="367"/>
      <c r="AG284" s="367"/>
      <c r="AH284" s="367"/>
      <c r="AI284" s="367"/>
      <c r="AJ284" s="367"/>
      <c r="AK284" s="367"/>
      <c r="AL284" s="367"/>
      <c r="AM284" s="367"/>
      <c r="AN284" s="367"/>
      <c r="AO284" s="367"/>
      <c r="AP284" s="367"/>
      <c r="AQ284" s="367"/>
      <c r="AR284" s="367"/>
      <c r="AS284" s="367"/>
      <c r="AT284" s="368"/>
      <c r="AU284" s="367"/>
    </row>
    <row r="285" spans="1:47" ht="12.75">
      <c r="A285" s="367"/>
      <c r="B285" s="367"/>
      <c r="C285" s="367"/>
      <c r="D285" s="367"/>
      <c r="E285" s="367"/>
      <c r="F285" s="367"/>
      <c r="G285" s="367"/>
      <c r="H285" s="367"/>
      <c r="I285" s="367"/>
      <c r="J285" s="367"/>
      <c r="K285" s="367"/>
      <c r="L285" s="367"/>
      <c r="M285" s="367"/>
      <c r="N285" s="367"/>
      <c r="O285" s="367"/>
      <c r="P285" s="364"/>
      <c r="Q285" s="365"/>
      <c r="R285" s="365"/>
      <c r="S285" s="365"/>
      <c r="T285" s="365"/>
      <c r="U285" s="366"/>
      <c r="V285" s="367"/>
      <c r="W285" s="367"/>
      <c r="X285" s="367"/>
      <c r="Y285" s="367"/>
      <c r="Z285" s="367"/>
      <c r="AA285" s="367"/>
      <c r="AB285" s="367"/>
      <c r="AC285" s="367"/>
      <c r="AD285" s="367"/>
      <c r="AE285" s="367"/>
      <c r="AF285" s="367"/>
      <c r="AG285" s="367"/>
      <c r="AH285" s="367"/>
      <c r="AI285" s="367"/>
      <c r="AJ285" s="367"/>
      <c r="AK285" s="367"/>
      <c r="AL285" s="367"/>
      <c r="AM285" s="367"/>
      <c r="AN285" s="367"/>
      <c r="AO285" s="367"/>
      <c r="AP285" s="367"/>
      <c r="AQ285" s="367"/>
      <c r="AR285" s="367"/>
      <c r="AS285" s="367"/>
      <c r="AT285" s="368"/>
      <c r="AU285" s="367"/>
    </row>
    <row r="286" spans="1:47" ht="12.75">
      <c r="A286" s="367"/>
      <c r="B286" s="367"/>
      <c r="C286" s="367"/>
      <c r="D286" s="367"/>
      <c r="E286" s="367"/>
      <c r="F286" s="367"/>
      <c r="G286" s="367"/>
      <c r="H286" s="367"/>
      <c r="I286" s="367"/>
      <c r="J286" s="367"/>
      <c r="K286" s="367"/>
      <c r="L286" s="367"/>
      <c r="M286" s="367"/>
      <c r="N286" s="367"/>
      <c r="O286" s="367"/>
      <c r="P286" s="364"/>
      <c r="Q286" s="365"/>
      <c r="R286" s="365"/>
      <c r="S286" s="365"/>
      <c r="T286" s="365"/>
      <c r="U286" s="366"/>
      <c r="V286" s="367"/>
      <c r="W286" s="367"/>
      <c r="X286" s="367"/>
      <c r="Y286" s="367"/>
      <c r="Z286" s="367"/>
      <c r="AA286" s="367"/>
      <c r="AB286" s="367"/>
      <c r="AC286" s="367"/>
      <c r="AD286" s="367"/>
      <c r="AE286" s="367"/>
      <c r="AF286" s="367"/>
      <c r="AG286" s="367"/>
      <c r="AH286" s="367"/>
      <c r="AI286" s="367"/>
      <c r="AJ286" s="367"/>
      <c r="AK286" s="367"/>
      <c r="AL286" s="367"/>
      <c r="AM286" s="367"/>
      <c r="AN286" s="367"/>
      <c r="AO286" s="367"/>
      <c r="AP286" s="367"/>
      <c r="AQ286" s="367"/>
      <c r="AR286" s="367"/>
      <c r="AS286" s="367"/>
      <c r="AT286" s="368"/>
      <c r="AU286" s="367"/>
    </row>
    <row r="287" spans="1:47" ht="12.75">
      <c r="A287" s="367"/>
      <c r="B287" s="367"/>
      <c r="C287" s="367"/>
      <c r="D287" s="367"/>
      <c r="E287" s="367"/>
      <c r="F287" s="367"/>
      <c r="G287" s="367"/>
      <c r="H287" s="367"/>
      <c r="I287" s="367"/>
      <c r="J287" s="367"/>
      <c r="K287" s="367"/>
      <c r="L287" s="367"/>
      <c r="M287" s="367"/>
      <c r="N287" s="367"/>
      <c r="O287" s="367"/>
      <c r="P287" s="364"/>
      <c r="Q287" s="365"/>
      <c r="R287" s="365"/>
      <c r="S287" s="365"/>
      <c r="T287" s="365"/>
      <c r="U287" s="366"/>
      <c r="V287" s="367"/>
      <c r="W287" s="367"/>
      <c r="X287" s="367"/>
      <c r="Y287" s="367"/>
      <c r="Z287" s="367"/>
      <c r="AA287" s="367"/>
      <c r="AB287" s="367"/>
      <c r="AC287" s="367"/>
      <c r="AD287" s="367"/>
      <c r="AE287" s="367"/>
      <c r="AF287" s="367"/>
      <c r="AG287" s="367"/>
      <c r="AH287" s="367"/>
      <c r="AI287" s="367"/>
      <c r="AJ287" s="367"/>
      <c r="AK287" s="367"/>
      <c r="AL287" s="367"/>
      <c r="AM287" s="367"/>
      <c r="AN287" s="367"/>
      <c r="AO287" s="367"/>
      <c r="AP287" s="367"/>
      <c r="AQ287" s="367"/>
      <c r="AR287" s="367"/>
      <c r="AS287" s="367"/>
      <c r="AT287" s="368"/>
      <c r="AU287" s="367"/>
    </row>
    <row r="288" spans="1:47" ht="12.75">
      <c r="A288" s="367"/>
      <c r="B288" s="367"/>
      <c r="C288" s="367"/>
      <c r="D288" s="367"/>
      <c r="E288" s="367"/>
      <c r="F288" s="367"/>
      <c r="G288" s="367"/>
      <c r="H288" s="367"/>
      <c r="I288" s="367"/>
      <c r="J288" s="367"/>
      <c r="K288" s="367"/>
      <c r="L288" s="367"/>
      <c r="M288" s="367"/>
      <c r="N288" s="367"/>
      <c r="O288" s="367"/>
      <c r="P288" s="364"/>
      <c r="Q288" s="365"/>
      <c r="R288" s="365"/>
      <c r="S288" s="365"/>
      <c r="T288" s="365"/>
      <c r="U288" s="366"/>
      <c r="V288" s="367"/>
      <c r="W288" s="367"/>
      <c r="X288" s="367"/>
      <c r="Y288" s="367"/>
      <c r="Z288" s="367"/>
      <c r="AA288" s="367"/>
      <c r="AB288" s="367"/>
      <c r="AC288" s="367"/>
      <c r="AD288" s="367"/>
      <c r="AE288" s="367"/>
      <c r="AF288" s="367"/>
      <c r="AG288" s="367"/>
      <c r="AH288" s="367"/>
      <c r="AI288" s="367"/>
      <c r="AJ288" s="367"/>
      <c r="AK288" s="367"/>
      <c r="AL288" s="367"/>
      <c r="AM288" s="367"/>
      <c r="AN288" s="367"/>
      <c r="AO288" s="367"/>
      <c r="AP288" s="367"/>
      <c r="AQ288" s="367"/>
      <c r="AR288" s="367"/>
      <c r="AS288" s="367"/>
      <c r="AT288" s="368"/>
      <c r="AU288" s="367"/>
    </row>
    <row r="289" spans="1:47" ht="12.75">
      <c r="A289" s="367"/>
      <c r="B289" s="367"/>
      <c r="C289" s="367"/>
      <c r="D289" s="367"/>
      <c r="E289" s="367"/>
      <c r="F289" s="367"/>
      <c r="G289" s="367"/>
      <c r="H289" s="367"/>
      <c r="I289" s="367"/>
      <c r="J289" s="367"/>
      <c r="K289" s="367"/>
      <c r="L289" s="367"/>
      <c r="M289" s="367"/>
      <c r="N289" s="367"/>
      <c r="O289" s="367"/>
      <c r="P289" s="364"/>
      <c r="Q289" s="365"/>
      <c r="R289" s="365"/>
      <c r="S289" s="365"/>
      <c r="T289" s="365"/>
      <c r="U289" s="366"/>
      <c r="V289" s="367"/>
      <c r="W289" s="367"/>
      <c r="X289" s="367"/>
      <c r="Y289" s="367"/>
      <c r="Z289" s="367"/>
      <c r="AA289" s="367"/>
      <c r="AB289" s="367"/>
      <c r="AC289" s="367"/>
      <c r="AD289" s="367"/>
      <c r="AE289" s="367"/>
      <c r="AF289" s="367"/>
      <c r="AG289" s="367"/>
      <c r="AH289" s="367"/>
      <c r="AI289" s="367"/>
      <c r="AJ289" s="367"/>
      <c r="AK289" s="367"/>
      <c r="AL289" s="367"/>
      <c r="AM289" s="367"/>
      <c r="AN289" s="367"/>
      <c r="AO289" s="367"/>
      <c r="AP289" s="367"/>
      <c r="AQ289" s="367"/>
      <c r="AR289" s="367"/>
      <c r="AS289" s="367"/>
      <c r="AT289" s="368"/>
      <c r="AU289" s="367"/>
    </row>
    <row r="290" spans="1:47" ht="12.75">
      <c r="A290" s="367"/>
      <c r="B290" s="367"/>
      <c r="C290" s="367"/>
      <c r="D290" s="367"/>
      <c r="E290" s="367"/>
      <c r="F290" s="367"/>
      <c r="G290" s="367"/>
      <c r="H290" s="367"/>
      <c r="I290" s="367"/>
      <c r="J290" s="367"/>
      <c r="K290" s="367"/>
      <c r="L290" s="367"/>
      <c r="M290" s="367"/>
      <c r="N290" s="367"/>
      <c r="O290" s="367"/>
      <c r="P290" s="364"/>
      <c r="Q290" s="365"/>
      <c r="R290" s="365"/>
      <c r="S290" s="365"/>
      <c r="T290" s="365"/>
      <c r="U290" s="366"/>
      <c r="V290" s="367"/>
      <c r="W290" s="367"/>
      <c r="X290" s="367"/>
      <c r="Y290" s="367"/>
      <c r="Z290" s="367"/>
      <c r="AA290" s="367"/>
      <c r="AB290" s="367"/>
      <c r="AC290" s="367"/>
      <c r="AD290" s="367"/>
      <c r="AE290" s="367"/>
      <c r="AF290" s="367"/>
      <c r="AG290" s="367"/>
      <c r="AH290" s="367"/>
      <c r="AI290" s="367"/>
      <c r="AJ290" s="367"/>
      <c r="AK290" s="367"/>
      <c r="AL290" s="367"/>
      <c r="AM290" s="367"/>
      <c r="AN290" s="367"/>
      <c r="AO290" s="367"/>
      <c r="AP290" s="367"/>
      <c r="AQ290" s="367"/>
      <c r="AR290" s="367"/>
      <c r="AS290" s="367"/>
      <c r="AT290" s="368"/>
      <c r="AU290" s="367"/>
    </row>
    <row r="291" spans="1:47" ht="12.75">
      <c r="A291" s="367"/>
      <c r="B291" s="367"/>
      <c r="C291" s="367"/>
      <c r="D291" s="367"/>
      <c r="E291" s="367"/>
      <c r="F291" s="367"/>
      <c r="G291" s="367"/>
      <c r="H291" s="367"/>
      <c r="I291" s="367"/>
      <c r="J291" s="367"/>
      <c r="K291" s="367"/>
      <c r="L291" s="367"/>
      <c r="M291" s="367"/>
      <c r="N291" s="367"/>
      <c r="O291" s="367"/>
      <c r="P291" s="364"/>
      <c r="Q291" s="365"/>
      <c r="R291" s="365"/>
      <c r="S291" s="365"/>
      <c r="T291" s="365"/>
      <c r="U291" s="366"/>
      <c r="V291" s="367"/>
      <c r="W291" s="367"/>
      <c r="X291" s="367"/>
      <c r="Y291" s="367"/>
      <c r="Z291" s="367"/>
      <c r="AA291" s="367"/>
      <c r="AB291" s="367"/>
      <c r="AC291" s="367"/>
      <c r="AD291" s="367"/>
      <c r="AE291" s="367"/>
      <c r="AF291" s="367"/>
      <c r="AG291" s="367"/>
      <c r="AH291" s="367"/>
      <c r="AI291" s="367"/>
      <c r="AJ291" s="367"/>
      <c r="AK291" s="367"/>
      <c r="AL291" s="367"/>
      <c r="AM291" s="367"/>
      <c r="AN291" s="367"/>
      <c r="AO291" s="367"/>
      <c r="AP291" s="367"/>
      <c r="AQ291" s="367"/>
      <c r="AR291" s="367"/>
      <c r="AS291" s="367"/>
      <c r="AT291" s="368"/>
      <c r="AU291" s="367"/>
    </row>
    <row r="292" spans="1:47" ht="12.75">
      <c r="A292" s="367"/>
      <c r="B292" s="367"/>
      <c r="C292" s="367"/>
      <c r="D292" s="367"/>
      <c r="E292" s="367"/>
      <c r="F292" s="367"/>
      <c r="G292" s="367"/>
      <c r="H292" s="367"/>
      <c r="I292" s="367"/>
      <c r="J292" s="367"/>
      <c r="K292" s="367"/>
      <c r="L292" s="367"/>
      <c r="M292" s="367"/>
      <c r="N292" s="367"/>
      <c r="O292" s="367"/>
      <c r="P292" s="364"/>
      <c r="Q292" s="365"/>
      <c r="R292" s="365"/>
      <c r="S292" s="365"/>
      <c r="T292" s="365"/>
      <c r="U292" s="366"/>
      <c r="V292" s="367"/>
      <c r="W292" s="367"/>
      <c r="X292" s="367"/>
      <c r="Y292" s="367"/>
      <c r="Z292" s="367"/>
      <c r="AA292" s="367"/>
      <c r="AB292" s="367"/>
      <c r="AC292" s="367"/>
      <c r="AD292" s="367"/>
      <c r="AE292" s="367"/>
      <c r="AF292" s="367"/>
      <c r="AG292" s="367"/>
      <c r="AH292" s="367"/>
      <c r="AI292" s="367"/>
      <c r="AJ292" s="367"/>
      <c r="AK292" s="367"/>
      <c r="AL292" s="367"/>
      <c r="AM292" s="367"/>
      <c r="AN292" s="367"/>
      <c r="AO292" s="367"/>
      <c r="AP292" s="367"/>
      <c r="AQ292" s="367"/>
      <c r="AR292" s="367"/>
      <c r="AS292" s="367"/>
      <c r="AT292" s="368"/>
      <c r="AU292" s="367"/>
    </row>
    <row r="293" spans="1:47" ht="12.75">
      <c r="A293" s="367"/>
      <c r="B293" s="367"/>
      <c r="C293" s="367"/>
      <c r="D293" s="367"/>
      <c r="E293" s="367"/>
      <c r="F293" s="367"/>
      <c r="G293" s="367"/>
      <c r="H293" s="367"/>
      <c r="I293" s="367"/>
      <c r="J293" s="367"/>
      <c r="K293" s="367"/>
      <c r="L293" s="367"/>
      <c r="M293" s="367"/>
      <c r="N293" s="367"/>
      <c r="O293" s="367"/>
      <c r="P293" s="364"/>
      <c r="Q293" s="365"/>
      <c r="R293" s="365"/>
      <c r="S293" s="365"/>
      <c r="T293" s="365"/>
      <c r="U293" s="366"/>
      <c r="V293" s="367"/>
      <c r="W293" s="367"/>
      <c r="X293" s="367"/>
      <c r="Y293" s="367"/>
      <c r="Z293" s="367"/>
      <c r="AA293" s="367"/>
      <c r="AB293" s="367"/>
      <c r="AC293" s="367"/>
      <c r="AD293" s="367"/>
      <c r="AE293" s="367"/>
      <c r="AF293" s="367"/>
      <c r="AG293" s="367"/>
      <c r="AH293" s="367"/>
      <c r="AI293" s="367"/>
      <c r="AJ293" s="367"/>
      <c r="AK293" s="367"/>
      <c r="AL293" s="367"/>
      <c r="AM293" s="367"/>
      <c r="AN293" s="367"/>
      <c r="AO293" s="367"/>
      <c r="AP293" s="367"/>
      <c r="AQ293" s="367"/>
      <c r="AR293" s="367"/>
      <c r="AS293" s="367"/>
      <c r="AT293" s="368"/>
      <c r="AU293" s="367"/>
    </row>
    <row r="294" spans="1:47" ht="12.75">
      <c r="A294" s="367"/>
      <c r="B294" s="367"/>
      <c r="C294" s="367"/>
      <c r="D294" s="367"/>
      <c r="E294" s="367"/>
      <c r="F294" s="367"/>
      <c r="G294" s="367"/>
      <c r="H294" s="367"/>
      <c r="I294" s="367"/>
      <c r="J294" s="367"/>
      <c r="K294" s="367"/>
      <c r="L294" s="367"/>
      <c r="M294" s="367"/>
      <c r="N294" s="367"/>
      <c r="O294" s="367"/>
      <c r="P294" s="364"/>
      <c r="Q294" s="365"/>
      <c r="R294" s="365"/>
      <c r="S294" s="365"/>
      <c r="T294" s="365"/>
      <c r="U294" s="366"/>
      <c r="V294" s="367"/>
      <c r="W294" s="367"/>
      <c r="X294" s="367"/>
      <c r="Y294" s="367"/>
      <c r="Z294" s="367"/>
      <c r="AA294" s="367"/>
      <c r="AB294" s="367"/>
      <c r="AC294" s="367"/>
      <c r="AD294" s="367"/>
      <c r="AE294" s="367"/>
      <c r="AF294" s="367"/>
      <c r="AG294" s="367"/>
      <c r="AH294" s="367"/>
      <c r="AI294" s="367"/>
      <c r="AJ294" s="367"/>
      <c r="AK294" s="367"/>
      <c r="AL294" s="367"/>
      <c r="AM294" s="367"/>
      <c r="AN294" s="367"/>
      <c r="AO294" s="367"/>
      <c r="AP294" s="367"/>
      <c r="AQ294" s="367"/>
      <c r="AR294" s="367"/>
      <c r="AS294" s="367"/>
      <c r="AT294" s="368"/>
      <c r="AU294" s="367"/>
    </row>
    <row r="295" spans="1:47" ht="12.75">
      <c r="A295" s="367"/>
      <c r="B295" s="367"/>
      <c r="C295" s="367"/>
      <c r="D295" s="367"/>
      <c r="E295" s="367"/>
      <c r="F295" s="367"/>
      <c r="G295" s="367"/>
      <c r="H295" s="367"/>
      <c r="I295" s="367"/>
      <c r="J295" s="367"/>
      <c r="K295" s="367"/>
      <c r="L295" s="367"/>
      <c r="M295" s="367"/>
      <c r="N295" s="367"/>
      <c r="O295" s="367"/>
      <c r="P295" s="364"/>
      <c r="Q295" s="365"/>
      <c r="R295" s="365"/>
      <c r="S295" s="365"/>
      <c r="T295" s="365"/>
      <c r="U295" s="366"/>
      <c r="V295" s="367"/>
      <c r="W295" s="367"/>
      <c r="X295" s="367"/>
      <c r="Y295" s="367"/>
      <c r="Z295" s="367"/>
      <c r="AA295" s="367"/>
      <c r="AB295" s="367"/>
      <c r="AC295" s="367"/>
      <c r="AD295" s="367"/>
      <c r="AE295" s="367"/>
      <c r="AF295" s="367"/>
      <c r="AG295" s="367"/>
      <c r="AH295" s="367"/>
      <c r="AI295" s="367"/>
      <c r="AJ295" s="367"/>
      <c r="AK295" s="367"/>
      <c r="AL295" s="367"/>
      <c r="AM295" s="367"/>
      <c r="AN295" s="367"/>
      <c r="AO295" s="367"/>
      <c r="AP295" s="367"/>
      <c r="AQ295" s="367"/>
      <c r="AR295" s="367"/>
      <c r="AS295" s="367"/>
      <c r="AT295" s="368"/>
      <c r="AU295" s="367"/>
    </row>
    <row r="296" spans="1:47" ht="12.75">
      <c r="A296" s="367"/>
      <c r="B296" s="367"/>
      <c r="C296" s="367"/>
      <c r="D296" s="367"/>
      <c r="E296" s="367"/>
      <c r="F296" s="367"/>
      <c r="G296" s="367"/>
      <c r="H296" s="367"/>
      <c r="I296" s="367"/>
      <c r="J296" s="367"/>
      <c r="K296" s="367"/>
      <c r="L296" s="367"/>
      <c r="M296" s="367"/>
      <c r="N296" s="367"/>
      <c r="O296" s="367"/>
      <c r="P296" s="364"/>
      <c r="Q296" s="365"/>
      <c r="R296" s="365"/>
      <c r="S296" s="365"/>
      <c r="T296" s="365"/>
      <c r="U296" s="366"/>
      <c r="V296" s="367"/>
      <c r="W296" s="367"/>
      <c r="X296" s="367"/>
      <c r="Y296" s="367"/>
      <c r="Z296" s="367"/>
      <c r="AA296" s="367"/>
      <c r="AB296" s="367"/>
      <c r="AC296" s="367"/>
      <c r="AD296" s="367"/>
      <c r="AE296" s="367"/>
      <c r="AF296" s="367"/>
      <c r="AG296" s="367"/>
      <c r="AH296" s="367"/>
      <c r="AI296" s="367"/>
      <c r="AJ296" s="367"/>
      <c r="AK296" s="367"/>
      <c r="AL296" s="367"/>
      <c r="AM296" s="367"/>
      <c r="AN296" s="367"/>
      <c r="AO296" s="367"/>
      <c r="AP296" s="367"/>
      <c r="AQ296" s="367"/>
      <c r="AR296" s="367"/>
      <c r="AS296" s="367"/>
      <c r="AT296" s="368"/>
      <c r="AU296" s="367"/>
    </row>
    <row r="297" spans="1:47" ht="12.75">
      <c r="A297" s="367"/>
      <c r="B297" s="367"/>
      <c r="C297" s="367"/>
      <c r="D297" s="367"/>
      <c r="E297" s="367"/>
      <c r="F297" s="367"/>
      <c r="G297" s="367"/>
      <c r="H297" s="367"/>
      <c r="I297" s="367"/>
      <c r="J297" s="367"/>
      <c r="K297" s="367"/>
      <c r="L297" s="367"/>
      <c r="M297" s="367"/>
      <c r="N297" s="367"/>
      <c r="O297" s="367"/>
      <c r="P297" s="364"/>
      <c r="Q297" s="365"/>
      <c r="R297" s="365"/>
      <c r="S297" s="365"/>
      <c r="T297" s="365"/>
      <c r="U297" s="366"/>
      <c r="V297" s="367"/>
      <c r="W297" s="367"/>
      <c r="X297" s="367"/>
      <c r="Y297" s="367"/>
      <c r="Z297" s="367"/>
      <c r="AA297" s="367"/>
      <c r="AB297" s="367"/>
      <c r="AC297" s="367"/>
      <c r="AD297" s="367"/>
      <c r="AE297" s="367"/>
      <c r="AF297" s="367"/>
      <c r="AG297" s="367"/>
      <c r="AH297" s="367"/>
      <c r="AI297" s="367"/>
      <c r="AJ297" s="367"/>
      <c r="AK297" s="367"/>
      <c r="AL297" s="367"/>
      <c r="AM297" s="367"/>
      <c r="AN297" s="367"/>
      <c r="AO297" s="367"/>
      <c r="AP297" s="367"/>
      <c r="AQ297" s="367"/>
      <c r="AR297" s="367"/>
      <c r="AS297" s="367"/>
      <c r="AT297" s="368"/>
      <c r="AU297" s="367"/>
    </row>
    <row r="298" spans="1:47" ht="12.75">
      <c r="A298" s="367"/>
      <c r="B298" s="367"/>
      <c r="C298" s="367"/>
      <c r="D298" s="367"/>
      <c r="E298" s="367"/>
      <c r="F298" s="367"/>
      <c r="G298" s="367"/>
      <c r="H298" s="367"/>
      <c r="I298" s="367"/>
      <c r="J298" s="367"/>
      <c r="K298" s="367"/>
      <c r="L298" s="367"/>
      <c r="M298" s="367"/>
      <c r="N298" s="367"/>
      <c r="O298" s="367"/>
      <c r="P298" s="364"/>
      <c r="Q298" s="365"/>
      <c r="R298" s="365"/>
      <c r="S298" s="365"/>
      <c r="T298" s="365"/>
      <c r="U298" s="366"/>
      <c r="V298" s="367"/>
      <c r="W298" s="367"/>
      <c r="X298" s="367"/>
      <c r="Y298" s="367"/>
      <c r="Z298" s="367"/>
      <c r="AA298" s="367"/>
      <c r="AB298" s="367"/>
      <c r="AC298" s="367"/>
      <c r="AD298" s="367"/>
      <c r="AE298" s="367"/>
      <c r="AF298" s="367"/>
      <c r="AG298" s="367"/>
      <c r="AH298" s="367"/>
      <c r="AI298" s="367"/>
      <c r="AJ298" s="367"/>
      <c r="AK298" s="367"/>
      <c r="AL298" s="367"/>
      <c r="AM298" s="367"/>
      <c r="AN298" s="367"/>
      <c r="AO298" s="367"/>
      <c r="AP298" s="367"/>
      <c r="AQ298" s="367"/>
      <c r="AR298" s="367"/>
      <c r="AS298" s="367"/>
      <c r="AT298" s="368"/>
      <c r="AU298" s="367"/>
    </row>
    <row r="299" spans="1:47" ht="12.75">
      <c r="A299" s="367"/>
      <c r="B299" s="367"/>
      <c r="C299" s="367"/>
      <c r="D299" s="367"/>
      <c r="E299" s="367"/>
      <c r="F299" s="367"/>
      <c r="G299" s="367"/>
      <c r="H299" s="367"/>
      <c r="I299" s="367"/>
      <c r="J299" s="367"/>
      <c r="K299" s="367"/>
      <c r="L299" s="367"/>
      <c r="M299" s="367"/>
      <c r="N299" s="367"/>
      <c r="O299" s="367"/>
      <c r="P299" s="364"/>
      <c r="Q299" s="365"/>
      <c r="R299" s="365"/>
      <c r="S299" s="365"/>
      <c r="T299" s="365"/>
      <c r="U299" s="366"/>
      <c r="V299" s="367"/>
      <c r="W299" s="367"/>
      <c r="X299" s="367"/>
      <c r="Y299" s="367"/>
      <c r="Z299" s="367"/>
      <c r="AA299" s="367"/>
      <c r="AB299" s="367"/>
      <c r="AC299" s="367"/>
      <c r="AD299" s="367"/>
      <c r="AE299" s="367"/>
      <c r="AF299" s="367"/>
      <c r="AG299" s="367"/>
      <c r="AH299" s="367"/>
      <c r="AI299" s="367"/>
      <c r="AJ299" s="367"/>
      <c r="AK299" s="367"/>
      <c r="AL299" s="367"/>
      <c r="AM299" s="367"/>
      <c r="AN299" s="367"/>
      <c r="AO299" s="367"/>
      <c r="AP299" s="367"/>
      <c r="AQ299" s="367"/>
      <c r="AR299" s="367"/>
      <c r="AS299" s="367"/>
      <c r="AT299" s="368"/>
      <c r="AU299" s="367"/>
    </row>
    <row r="300" spans="1:47" ht="12.75">
      <c r="A300" s="367"/>
      <c r="B300" s="367"/>
      <c r="C300" s="367"/>
      <c r="D300" s="367"/>
      <c r="E300" s="367"/>
      <c r="F300" s="367"/>
      <c r="G300" s="367"/>
      <c r="H300" s="367"/>
      <c r="I300" s="367"/>
      <c r="J300" s="367"/>
      <c r="K300" s="367"/>
      <c r="L300" s="367"/>
      <c r="M300" s="367"/>
      <c r="N300" s="367"/>
      <c r="O300" s="367"/>
      <c r="P300" s="364"/>
      <c r="Q300" s="365"/>
      <c r="R300" s="365"/>
      <c r="S300" s="365"/>
      <c r="T300" s="365"/>
      <c r="U300" s="366"/>
      <c r="V300" s="367"/>
      <c r="W300" s="367"/>
      <c r="X300" s="367"/>
      <c r="Y300" s="367"/>
      <c r="Z300" s="367"/>
      <c r="AA300" s="367"/>
      <c r="AB300" s="367"/>
      <c r="AC300" s="367"/>
      <c r="AD300" s="367"/>
      <c r="AE300" s="367"/>
      <c r="AF300" s="367"/>
      <c r="AG300" s="367"/>
      <c r="AH300" s="367"/>
      <c r="AI300" s="367"/>
      <c r="AJ300" s="367"/>
      <c r="AK300" s="367"/>
      <c r="AL300" s="367"/>
      <c r="AM300" s="367"/>
      <c r="AN300" s="367"/>
      <c r="AO300" s="367"/>
      <c r="AP300" s="367"/>
      <c r="AQ300" s="367"/>
      <c r="AR300" s="367"/>
      <c r="AS300" s="367"/>
      <c r="AT300" s="368"/>
      <c r="AU300" s="367"/>
    </row>
    <row r="301" spans="1:47" ht="12.75">
      <c r="A301" s="367"/>
      <c r="B301" s="367"/>
      <c r="C301" s="367"/>
      <c r="D301" s="367"/>
      <c r="E301" s="367"/>
      <c r="F301" s="367"/>
      <c r="G301" s="367"/>
      <c r="H301" s="367"/>
      <c r="I301" s="367"/>
      <c r="J301" s="367"/>
      <c r="K301" s="367"/>
      <c r="L301" s="367"/>
      <c r="M301" s="367"/>
      <c r="N301" s="367"/>
      <c r="O301" s="367"/>
      <c r="P301" s="364"/>
      <c r="Q301" s="365"/>
      <c r="R301" s="365"/>
      <c r="S301" s="365"/>
      <c r="T301" s="365"/>
      <c r="U301" s="366"/>
      <c r="V301" s="367"/>
      <c r="W301" s="367"/>
      <c r="X301" s="367"/>
      <c r="Y301" s="367"/>
      <c r="Z301" s="367"/>
      <c r="AA301" s="367"/>
      <c r="AB301" s="367"/>
      <c r="AC301" s="367"/>
      <c r="AD301" s="367"/>
      <c r="AE301" s="367"/>
      <c r="AF301" s="367"/>
      <c r="AG301" s="367"/>
      <c r="AH301" s="367"/>
      <c r="AI301" s="367"/>
      <c r="AJ301" s="367"/>
      <c r="AK301" s="367"/>
      <c r="AL301" s="367"/>
      <c r="AM301" s="367"/>
      <c r="AN301" s="367"/>
      <c r="AO301" s="367"/>
      <c r="AP301" s="367"/>
      <c r="AQ301" s="367"/>
      <c r="AR301" s="367"/>
      <c r="AS301" s="367"/>
      <c r="AT301" s="368"/>
      <c r="AU301" s="367"/>
    </row>
    <row r="302" spans="1:47" ht="12.75">
      <c r="A302" s="367"/>
      <c r="B302" s="367"/>
      <c r="C302" s="367"/>
      <c r="D302" s="367"/>
      <c r="E302" s="367"/>
      <c r="F302" s="367"/>
      <c r="G302" s="367"/>
      <c r="H302" s="367"/>
      <c r="I302" s="367"/>
      <c r="J302" s="367"/>
      <c r="K302" s="367"/>
      <c r="L302" s="367"/>
      <c r="M302" s="367"/>
      <c r="N302" s="367"/>
      <c r="O302" s="367"/>
      <c r="P302" s="364"/>
      <c r="Q302" s="365"/>
      <c r="R302" s="365"/>
      <c r="S302" s="365"/>
      <c r="T302" s="365"/>
      <c r="U302" s="366"/>
      <c r="V302" s="367"/>
      <c r="W302" s="367"/>
      <c r="X302" s="367"/>
      <c r="Y302" s="367"/>
      <c r="Z302" s="367"/>
      <c r="AA302" s="367"/>
      <c r="AB302" s="367"/>
      <c r="AC302" s="367"/>
      <c r="AD302" s="367"/>
      <c r="AE302" s="367"/>
      <c r="AF302" s="367"/>
      <c r="AG302" s="367"/>
      <c r="AH302" s="367"/>
      <c r="AI302" s="367"/>
      <c r="AJ302" s="367"/>
      <c r="AK302" s="367"/>
      <c r="AL302" s="367"/>
      <c r="AM302" s="367"/>
      <c r="AN302" s="367"/>
      <c r="AO302" s="367"/>
      <c r="AP302" s="367"/>
      <c r="AQ302" s="367"/>
      <c r="AR302" s="367"/>
      <c r="AS302" s="367"/>
      <c r="AT302" s="368"/>
      <c r="AU302" s="367"/>
    </row>
    <row r="303" spans="1:47" ht="12.75">
      <c r="A303" s="367"/>
      <c r="B303" s="367"/>
      <c r="C303" s="367"/>
      <c r="D303" s="367"/>
      <c r="E303" s="367"/>
      <c r="F303" s="367"/>
      <c r="G303" s="367"/>
      <c r="H303" s="367"/>
      <c r="I303" s="367"/>
      <c r="J303" s="367"/>
      <c r="K303" s="367"/>
      <c r="L303" s="367"/>
      <c r="M303" s="367"/>
      <c r="N303" s="367"/>
      <c r="O303" s="367"/>
      <c r="P303" s="364"/>
      <c r="Q303" s="365"/>
      <c r="R303" s="365"/>
      <c r="S303" s="365"/>
      <c r="T303" s="365"/>
      <c r="U303" s="366"/>
      <c r="V303" s="367"/>
      <c r="W303" s="367"/>
      <c r="X303" s="367"/>
      <c r="Y303" s="367"/>
      <c r="Z303" s="367"/>
      <c r="AA303" s="367"/>
      <c r="AB303" s="367"/>
      <c r="AC303" s="367"/>
      <c r="AD303" s="367"/>
      <c r="AE303" s="367"/>
      <c r="AF303" s="367"/>
      <c r="AG303" s="367"/>
      <c r="AH303" s="367"/>
      <c r="AI303" s="367"/>
      <c r="AJ303" s="367"/>
      <c r="AK303" s="367"/>
      <c r="AL303" s="367"/>
      <c r="AM303" s="367"/>
      <c r="AN303" s="367"/>
      <c r="AO303" s="367"/>
      <c r="AP303" s="367"/>
      <c r="AQ303" s="367"/>
      <c r="AR303" s="367"/>
      <c r="AS303" s="367"/>
      <c r="AT303" s="368"/>
      <c r="AU303" s="367"/>
    </row>
    <row r="304" spans="1:47" ht="12.75">
      <c r="A304" s="367"/>
      <c r="B304" s="367"/>
      <c r="C304" s="367"/>
      <c r="D304" s="367"/>
      <c r="E304" s="367"/>
      <c r="F304" s="367"/>
      <c r="G304" s="367"/>
      <c r="H304" s="367"/>
      <c r="I304" s="367"/>
      <c r="J304" s="367"/>
      <c r="K304" s="367"/>
      <c r="L304" s="367"/>
      <c r="M304" s="367"/>
      <c r="N304" s="367"/>
      <c r="O304" s="367"/>
      <c r="P304" s="364"/>
      <c r="Q304" s="365"/>
      <c r="R304" s="365"/>
      <c r="S304" s="365"/>
      <c r="T304" s="365"/>
      <c r="U304" s="366"/>
      <c r="V304" s="367"/>
      <c r="W304" s="367"/>
      <c r="X304" s="367"/>
      <c r="Y304" s="367"/>
      <c r="Z304" s="367"/>
      <c r="AA304" s="367"/>
      <c r="AB304" s="367"/>
      <c r="AC304" s="367"/>
      <c r="AD304" s="367"/>
      <c r="AE304" s="367"/>
      <c r="AF304" s="367"/>
      <c r="AG304" s="367"/>
      <c r="AH304" s="367"/>
      <c r="AI304" s="367"/>
      <c r="AJ304" s="367"/>
      <c r="AK304" s="367"/>
      <c r="AL304" s="367"/>
      <c r="AM304" s="367"/>
      <c r="AN304" s="367"/>
      <c r="AO304" s="367"/>
      <c r="AP304" s="367"/>
      <c r="AQ304" s="367"/>
      <c r="AR304" s="367"/>
      <c r="AS304" s="367"/>
      <c r="AT304" s="368"/>
      <c r="AU304" s="367"/>
    </row>
    <row r="305" spans="1:47" ht="12.75">
      <c r="A305" s="367"/>
      <c r="B305" s="367"/>
      <c r="C305" s="367"/>
      <c r="D305" s="367"/>
      <c r="E305" s="367"/>
      <c r="F305" s="367"/>
      <c r="G305" s="367"/>
      <c r="H305" s="367"/>
      <c r="I305" s="367"/>
      <c r="J305" s="367"/>
      <c r="K305" s="367"/>
      <c r="L305" s="367"/>
      <c r="M305" s="367"/>
      <c r="N305" s="367"/>
      <c r="O305" s="367"/>
      <c r="P305" s="364"/>
      <c r="Q305" s="365"/>
      <c r="R305" s="365"/>
      <c r="S305" s="365"/>
      <c r="T305" s="365"/>
      <c r="U305" s="366"/>
      <c r="V305" s="367"/>
      <c r="W305" s="367"/>
      <c r="X305" s="367"/>
      <c r="Y305" s="367"/>
      <c r="Z305" s="367"/>
      <c r="AA305" s="367"/>
      <c r="AB305" s="367"/>
      <c r="AC305" s="367"/>
      <c r="AD305" s="367"/>
      <c r="AE305" s="367"/>
      <c r="AF305" s="367"/>
      <c r="AG305" s="367"/>
      <c r="AH305" s="367"/>
      <c r="AI305" s="367"/>
      <c r="AJ305" s="367"/>
      <c r="AK305" s="367"/>
      <c r="AL305" s="367"/>
      <c r="AM305" s="367"/>
      <c r="AN305" s="367"/>
      <c r="AO305" s="367"/>
      <c r="AP305" s="367"/>
      <c r="AQ305" s="367"/>
      <c r="AR305" s="367"/>
      <c r="AS305" s="367"/>
      <c r="AT305" s="368"/>
      <c r="AU305" s="367"/>
    </row>
    <row r="306" spans="1:47" ht="12.75">
      <c r="A306" s="367"/>
      <c r="B306" s="367"/>
      <c r="C306" s="367"/>
      <c r="D306" s="367"/>
      <c r="E306" s="367"/>
      <c r="F306" s="367"/>
      <c r="G306" s="367"/>
      <c r="H306" s="367"/>
      <c r="I306" s="367"/>
      <c r="J306" s="367"/>
      <c r="K306" s="367"/>
      <c r="L306" s="367"/>
      <c r="M306" s="367"/>
      <c r="N306" s="367"/>
      <c r="O306" s="367"/>
      <c r="P306" s="364"/>
      <c r="Q306" s="365"/>
      <c r="R306" s="365"/>
      <c r="S306" s="365"/>
      <c r="T306" s="365"/>
      <c r="U306" s="366"/>
      <c r="V306" s="367"/>
      <c r="W306" s="367"/>
      <c r="X306" s="367"/>
      <c r="Y306" s="367"/>
      <c r="Z306" s="367"/>
      <c r="AA306" s="367"/>
      <c r="AB306" s="367"/>
      <c r="AC306" s="367"/>
      <c r="AD306" s="367"/>
      <c r="AE306" s="367"/>
      <c r="AF306" s="367"/>
      <c r="AG306" s="367"/>
      <c r="AH306" s="367"/>
      <c r="AI306" s="367"/>
      <c r="AJ306" s="367"/>
      <c r="AK306" s="367"/>
      <c r="AL306" s="367"/>
      <c r="AM306" s="367"/>
      <c r="AN306" s="367"/>
      <c r="AO306" s="367"/>
      <c r="AP306" s="367"/>
      <c r="AQ306" s="367"/>
      <c r="AR306" s="367"/>
      <c r="AS306" s="367"/>
      <c r="AT306" s="368"/>
      <c r="AU306" s="367"/>
    </row>
    <row r="307" spans="1:47" ht="12.75">
      <c r="A307" s="367"/>
      <c r="B307" s="367"/>
      <c r="C307" s="367"/>
      <c r="D307" s="367"/>
      <c r="E307" s="367"/>
      <c r="F307" s="367"/>
      <c r="G307" s="367"/>
      <c r="H307" s="367"/>
      <c r="I307" s="367"/>
      <c r="J307" s="367"/>
      <c r="K307" s="367"/>
      <c r="L307" s="367"/>
      <c r="M307" s="367"/>
      <c r="N307" s="367"/>
      <c r="O307" s="367"/>
      <c r="P307" s="364"/>
      <c r="Q307" s="365"/>
      <c r="R307" s="365"/>
      <c r="S307" s="365"/>
      <c r="T307" s="365"/>
      <c r="U307" s="366"/>
      <c r="V307" s="367"/>
      <c r="W307" s="367"/>
      <c r="X307" s="367"/>
      <c r="Y307" s="367"/>
      <c r="Z307" s="367"/>
      <c r="AA307" s="367"/>
      <c r="AB307" s="367"/>
      <c r="AC307" s="367"/>
      <c r="AD307" s="367"/>
      <c r="AE307" s="367"/>
      <c r="AF307" s="367"/>
      <c r="AG307" s="367"/>
      <c r="AH307" s="367"/>
      <c r="AI307" s="367"/>
      <c r="AJ307" s="367"/>
      <c r="AK307" s="367"/>
      <c r="AL307" s="367"/>
      <c r="AM307" s="367"/>
      <c r="AN307" s="367"/>
      <c r="AO307" s="367"/>
      <c r="AP307" s="367"/>
      <c r="AQ307" s="367"/>
      <c r="AR307" s="367"/>
      <c r="AS307" s="367"/>
      <c r="AT307" s="368"/>
      <c r="AU307" s="367"/>
    </row>
    <row r="308" spans="1:47" ht="12.75">
      <c r="A308" s="367"/>
      <c r="B308" s="367"/>
      <c r="C308" s="367"/>
      <c r="D308" s="367"/>
      <c r="E308" s="367"/>
      <c r="F308" s="367"/>
      <c r="G308" s="367"/>
      <c r="H308" s="367"/>
      <c r="I308" s="367"/>
      <c r="J308" s="367"/>
      <c r="K308" s="367"/>
      <c r="L308" s="367"/>
      <c r="M308" s="367"/>
      <c r="N308" s="367"/>
      <c r="O308" s="367"/>
      <c r="P308" s="364"/>
      <c r="Q308" s="365"/>
      <c r="R308" s="365"/>
      <c r="S308" s="365"/>
      <c r="T308" s="365"/>
      <c r="U308" s="366"/>
      <c r="V308" s="367"/>
      <c r="W308" s="367"/>
      <c r="X308" s="367"/>
      <c r="Y308" s="367"/>
      <c r="Z308" s="367"/>
      <c r="AA308" s="367"/>
      <c r="AB308" s="367"/>
      <c r="AC308" s="367"/>
      <c r="AD308" s="367"/>
      <c r="AE308" s="367"/>
      <c r="AF308" s="367"/>
      <c r="AG308" s="367"/>
      <c r="AH308" s="367"/>
      <c r="AI308" s="367"/>
      <c r="AJ308" s="367"/>
      <c r="AK308" s="367"/>
      <c r="AL308" s="367"/>
      <c r="AM308" s="367"/>
      <c r="AN308" s="367"/>
      <c r="AO308" s="367"/>
      <c r="AP308" s="367"/>
      <c r="AQ308" s="367"/>
      <c r="AR308" s="367"/>
      <c r="AS308" s="367"/>
      <c r="AT308" s="368"/>
      <c r="AU308" s="367"/>
    </row>
    <row r="309" spans="1:47" ht="12.75">
      <c r="A309" s="367"/>
      <c r="B309" s="367"/>
      <c r="C309" s="367"/>
      <c r="D309" s="367"/>
      <c r="E309" s="367"/>
      <c r="F309" s="367"/>
      <c r="G309" s="367"/>
      <c r="H309" s="367"/>
      <c r="I309" s="367"/>
      <c r="J309" s="367"/>
      <c r="K309" s="367"/>
      <c r="L309" s="367"/>
      <c r="M309" s="367"/>
      <c r="N309" s="367"/>
      <c r="O309" s="367"/>
      <c r="P309" s="364"/>
      <c r="Q309" s="365"/>
      <c r="R309" s="365"/>
      <c r="S309" s="365"/>
      <c r="T309" s="365"/>
      <c r="U309" s="366"/>
      <c r="V309" s="367"/>
      <c r="W309" s="367"/>
      <c r="X309" s="367"/>
      <c r="Y309" s="367"/>
      <c r="Z309" s="367"/>
      <c r="AA309" s="367"/>
      <c r="AB309" s="367"/>
      <c r="AC309" s="367"/>
      <c r="AD309" s="367"/>
      <c r="AE309" s="367"/>
      <c r="AF309" s="367"/>
      <c r="AG309" s="367"/>
      <c r="AH309" s="367"/>
      <c r="AI309" s="367"/>
      <c r="AJ309" s="367"/>
      <c r="AK309" s="367"/>
      <c r="AL309" s="367"/>
      <c r="AM309" s="367"/>
      <c r="AN309" s="367"/>
      <c r="AO309" s="367"/>
      <c r="AP309" s="367"/>
      <c r="AQ309" s="367"/>
      <c r="AR309" s="367"/>
      <c r="AS309" s="367"/>
      <c r="AT309" s="368"/>
      <c r="AU309" s="367"/>
    </row>
    <row r="310" spans="1:47" ht="12.75">
      <c r="A310" s="367"/>
      <c r="B310" s="367"/>
      <c r="C310" s="367"/>
      <c r="D310" s="367"/>
      <c r="E310" s="367"/>
      <c r="F310" s="367"/>
      <c r="G310" s="367"/>
      <c r="H310" s="367"/>
      <c r="I310" s="367"/>
      <c r="J310" s="367"/>
      <c r="K310" s="367"/>
      <c r="L310" s="367"/>
      <c r="M310" s="367"/>
      <c r="N310" s="367"/>
      <c r="O310" s="367"/>
      <c r="P310" s="364"/>
      <c r="Q310" s="365"/>
      <c r="R310" s="365"/>
      <c r="S310" s="365"/>
      <c r="T310" s="365"/>
      <c r="U310" s="366"/>
      <c r="V310" s="367"/>
      <c r="W310" s="367"/>
      <c r="X310" s="367"/>
      <c r="Y310" s="367"/>
      <c r="Z310" s="367"/>
      <c r="AA310" s="367"/>
      <c r="AB310" s="367"/>
      <c r="AC310" s="367"/>
      <c r="AD310" s="367"/>
      <c r="AE310" s="367"/>
      <c r="AF310" s="367"/>
      <c r="AG310" s="367"/>
      <c r="AH310" s="367"/>
      <c r="AI310" s="367"/>
      <c r="AJ310" s="367"/>
      <c r="AK310" s="367"/>
      <c r="AL310" s="367"/>
      <c r="AM310" s="367"/>
      <c r="AN310" s="367"/>
      <c r="AO310" s="367"/>
      <c r="AP310" s="367"/>
      <c r="AQ310" s="367"/>
      <c r="AR310" s="367"/>
      <c r="AS310" s="367"/>
      <c r="AT310" s="368"/>
      <c r="AU310" s="367"/>
    </row>
    <row r="311" spans="1:47" ht="12.75">
      <c r="A311" s="367"/>
      <c r="B311" s="367"/>
      <c r="C311" s="367"/>
      <c r="D311" s="367"/>
      <c r="E311" s="367"/>
      <c r="F311" s="367"/>
      <c r="G311" s="367"/>
      <c r="H311" s="367"/>
      <c r="I311" s="367"/>
      <c r="J311" s="367"/>
      <c r="K311" s="367"/>
      <c r="L311" s="367"/>
      <c r="M311" s="367"/>
      <c r="N311" s="367"/>
      <c r="O311" s="367"/>
      <c r="P311" s="364"/>
      <c r="Q311" s="365"/>
      <c r="R311" s="365"/>
      <c r="S311" s="365"/>
      <c r="T311" s="365"/>
      <c r="U311" s="366"/>
      <c r="V311" s="367"/>
      <c r="W311" s="367"/>
      <c r="X311" s="367"/>
      <c r="Y311" s="367"/>
      <c r="Z311" s="367"/>
      <c r="AA311" s="367"/>
      <c r="AB311" s="367"/>
      <c r="AC311" s="367"/>
      <c r="AD311" s="367"/>
      <c r="AE311" s="367"/>
      <c r="AF311" s="367"/>
      <c r="AG311" s="367"/>
      <c r="AH311" s="367"/>
      <c r="AI311" s="367"/>
      <c r="AJ311" s="367"/>
      <c r="AK311" s="367"/>
      <c r="AL311" s="367"/>
      <c r="AM311" s="367"/>
      <c r="AN311" s="367"/>
      <c r="AO311" s="367"/>
      <c r="AP311" s="367"/>
      <c r="AQ311" s="367"/>
      <c r="AR311" s="367"/>
      <c r="AS311" s="367"/>
      <c r="AT311" s="368"/>
      <c r="AU311" s="367"/>
    </row>
    <row r="312" spans="1:47" ht="12.75">
      <c r="A312" s="367"/>
      <c r="B312" s="367"/>
      <c r="C312" s="367"/>
      <c r="D312" s="367"/>
      <c r="E312" s="367"/>
      <c r="F312" s="367"/>
      <c r="G312" s="367"/>
      <c r="H312" s="367"/>
      <c r="I312" s="367"/>
      <c r="J312" s="367"/>
      <c r="K312" s="367"/>
      <c r="L312" s="367"/>
      <c r="M312" s="367"/>
      <c r="N312" s="367"/>
      <c r="O312" s="367"/>
      <c r="P312" s="364"/>
      <c r="Q312" s="365"/>
      <c r="R312" s="365"/>
      <c r="S312" s="365"/>
      <c r="T312" s="365"/>
      <c r="U312" s="366"/>
      <c r="V312" s="367"/>
      <c r="W312" s="367"/>
      <c r="X312" s="367"/>
      <c r="Y312" s="367"/>
      <c r="Z312" s="367"/>
      <c r="AA312" s="367"/>
      <c r="AB312" s="367"/>
      <c r="AC312" s="367"/>
      <c r="AD312" s="367"/>
      <c r="AE312" s="367"/>
      <c r="AF312" s="367"/>
      <c r="AG312" s="367"/>
      <c r="AH312" s="367"/>
      <c r="AI312" s="367"/>
      <c r="AJ312" s="367"/>
      <c r="AK312" s="367"/>
      <c r="AL312" s="367"/>
      <c r="AM312" s="367"/>
      <c r="AN312" s="367"/>
      <c r="AO312" s="367"/>
      <c r="AP312" s="367"/>
      <c r="AQ312" s="367"/>
      <c r="AR312" s="367"/>
      <c r="AS312" s="367"/>
      <c r="AT312" s="368"/>
      <c r="AU312" s="367"/>
    </row>
    <row r="313" spans="1:47" ht="12.75">
      <c r="A313" s="367"/>
      <c r="B313" s="367"/>
      <c r="C313" s="367"/>
      <c r="D313" s="367"/>
      <c r="E313" s="367"/>
      <c r="F313" s="367"/>
      <c r="G313" s="367"/>
      <c r="H313" s="367"/>
      <c r="I313" s="367"/>
      <c r="J313" s="367"/>
      <c r="K313" s="367"/>
      <c r="L313" s="367"/>
      <c r="M313" s="367"/>
      <c r="N313" s="367"/>
      <c r="O313" s="367"/>
      <c r="P313" s="364"/>
      <c r="Q313" s="365"/>
      <c r="R313" s="365"/>
      <c r="S313" s="365"/>
      <c r="T313" s="365"/>
      <c r="U313" s="366"/>
      <c r="V313" s="367"/>
      <c r="W313" s="367"/>
      <c r="X313" s="367"/>
      <c r="Y313" s="367"/>
      <c r="Z313" s="367"/>
      <c r="AA313" s="367"/>
      <c r="AB313" s="367"/>
      <c r="AC313" s="367"/>
      <c r="AD313" s="367"/>
      <c r="AE313" s="367"/>
      <c r="AF313" s="367"/>
      <c r="AG313" s="367"/>
      <c r="AH313" s="367"/>
      <c r="AI313" s="367"/>
      <c r="AJ313" s="367"/>
      <c r="AK313" s="367"/>
      <c r="AL313" s="367"/>
      <c r="AM313" s="367"/>
      <c r="AN313" s="367"/>
      <c r="AO313" s="367"/>
      <c r="AP313" s="367"/>
      <c r="AQ313" s="367"/>
      <c r="AR313" s="367"/>
      <c r="AS313" s="367"/>
      <c r="AT313" s="368"/>
      <c r="AU313" s="367"/>
    </row>
    <row r="314" spans="1:47" ht="12.75">
      <c r="A314" s="367"/>
      <c r="B314" s="367"/>
      <c r="C314" s="367"/>
      <c r="D314" s="367"/>
      <c r="E314" s="367"/>
      <c r="F314" s="367"/>
      <c r="G314" s="367"/>
      <c r="H314" s="367"/>
      <c r="I314" s="367"/>
      <c r="J314" s="367"/>
      <c r="K314" s="367"/>
      <c r="L314" s="367"/>
      <c r="M314" s="367"/>
      <c r="N314" s="367"/>
      <c r="O314" s="367"/>
      <c r="P314" s="364"/>
      <c r="Q314" s="365"/>
      <c r="R314" s="365"/>
      <c r="S314" s="365"/>
      <c r="T314" s="365"/>
      <c r="U314" s="366"/>
      <c r="V314" s="367"/>
      <c r="W314" s="367"/>
      <c r="X314" s="367"/>
      <c r="Y314" s="367"/>
      <c r="Z314" s="367"/>
      <c r="AA314" s="367"/>
      <c r="AB314" s="367"/>
      <c r="AC314" s="367"/>
      <c r="AD314" s="367"/>
      <c r="AE314" s="367"/>
      <c r="AF314" s="367"/>
      <c r="AG314" s="367"/>
      <c r="AH314" s="367"/>
      <c r="AI314" s="367"/>
      <c r="AJ314" s="367"/>
      <c r="AK314" s="367"/>
      <c r="AL314" s="367"/>
      <c r="AM314" s="367"/>
      <c r="AN314" s="367"/>
      <c r="AO314" s="367"/>
      <c r="AP314" s="367"/>
      <c r="AQ314" s="367"/>
      <c r="AR314" s="367"/>
      <c r="AS314" s="367"/>
      <c r="AT314" s="368"/>
      <c r="AU314" s="367"/>
    </row>
    <row r="315" spans="1:47" ht="12.75">
      <c r="A315" s="367"/>
      <c r="B315" s="367"/>
      <c r="C315" s="367"/>
      <c r="D315" s="367"/>
      <c r="E315" s="367"/>
      <c r="F315" s="367"/>
      <c r="G315" s="367"/>
      <c r="H315" s="367"/>
      <c r="I315" s="367"/>
      <c r="J315" s="367"/>
      <c r="K315" s="367"/>
      <c r="L315" s="367"/>
      <c r="M315" s="367"/>
      <c r="N315" s="367"/>
      <c r="O315" s="367"/>
      <c r="P315" s="364"/>
      <c r="Q315" s="365"/>
      <c r="R315" s="365"/>
      <c r="S315" s="365"/>
      <c r="T315" s="365"/>
      <c r="U315" s="366"/>
      <c r="V315" s="367"/>
      <c r="W315" s="367"/>
      <c r="X315" s="367"/>
      <c r="Y315" s="367"/>
      <c r="Z315" s="367"/>
      <c r="AA315" s="367"/>
      <c r="AB315" s="367"/>
      <c r="AC315" s="367"/>
      <c r="AD315" s="367"/>
      <c r="AE315" s="367"/>
      <c r="AF315" s="367"/>
      <c r="AG315" s="367"/>
      <c r="AH315" s="367"/>
      <c r="AI315" s="367"/>
      <c r="AJ315" s="367"/>
      <c r="AK315" s="367"/>
      <c r="AL315" s="367"/>
      <c r="AM315" s="367"/>
      <c r="AN315" s="367"/>
      <c r="AO315" s="367"/>
      <c r="AP315" s="367"/>
      <c r="AQ315" s="367"/>
      <c r="AR315" s="367"/>
      <c r="AS315" s="367"/>
      <c r="AT315" s="368"/>
      <c r="AU315" s="367"/>
    </row>
    <row r="316" spans="1:47" ht="12.75">
      <c r="A316" s="367"/>
      <c r="B316" s="367"/>
      <c r="C316" s="367"/>
      <c r="D316" s="367"/>
      <c r="E316" s="367"/>
      <c r="F316" s="367"/>
      <c r="G316" s="367"/>
      <c r="H316" s="367"/>
      <c r="I316" s="367"/>
      <c r="J316" s="367"/>
      <c r="K316" s="367"/>
      <c r="L316" s="367"/>
      <c r="M316" s="367"/>
      <c r="N316" s="367"/>
      <c r="O316" s="367"/>
      <c r="P316" s="364"/>
      <c r="Q316" s="365"/>
      <c r="R316" s="365"/>
      <c r="S316" s="365"/>
      <c r="T316" s="365"/>
      <c r="U316" s="366"/>
      <c r="V316" s="367"/>
      <c r="W316" s="367"/>
      <c r="X316" s="367"/>
      <c r="Y316" s="367"/>
      <c r="Z316" s="367"/>
      <c r="AA316" s="367"/>
      <c r="AB316" s="367"/>
      <c r="AC316" s="367"/>
      <c r="AD316" s="367"/>
      <c r="AE316" s="367"/>
      <c r="AF316" s="367"/>
      <c r="AG316" s="367"/>
      <c r="AH316" s="367"/>
      <c r="AI316" s="367"/>
      <c r="AJ316" s="367"/>
      <c r="AK316" s="367"/>
      <c r="AL316" s="367"/>
      <c r="AM316" s="367"/>
      <c r="AN316" s="367"/>
      <c r="AO316" s="367"/>
      <c r="AP316" s="367"/>
      <c r="AQ316" s="367"/>
      <c r="AR316" s="367"/>
      <c r="AS316" s="367"/>
      <c r="AT316" s="368"/>
      <c r="AU316" s="367"/>
    </row>
    <row r="317" spans="1:47" ht="12.75">
      <c r="A317" s="367"/>
      <c r="B317" s="367"/>
      <c r="C317" s="367"/>
      <c r="D317" s="367"/>
      <c r="E317" s="367"/>
      <c r="F317" s="367"/>
      <c r="G317" s="367"/>
      <c r="H317" s="367"/>
      <c r="I317" s="367"/>
      <c r="J317" s="367"/>
      <c r="K317" s="367"/>
      <c r="L317" s="367"/>
      <c r="M317" s="367"/>
      <c r="N317" s="367"/>
      <c r="O317" s="367"/>
      <c r="P317" s="364"/>
      <c r="Q317" s="365"/>
      <c r="R317" s="365"/>
      <c r="S317" s="365"/>
      <c r="T317" s="365"/>
      <c r="U317" s="366"/>
      <c r="V317" s="367"/>
      <c r="W317" s="367"/>
      <c r="X317" s="367"/>
      <c r="Y317" s="367"/>
      <c r="Z317" s="367"/>
      <c r="AA317" s="367"/>
      <c r="AB317" s="367"/>
      <c r="AC317" s="367"/>
      <c r="AD317" s="367"/>
      <c r="AE317" s="367"/>
      <c r="AF317" s="367"/>
      <c r="AG317" s="367"/>
      <c r="AH317" s="367"/>
      <c r="AI317" s="367"/>
      <c r="AJ317" s="367"/>
      <c r="AK317" s="367"/>
      <c r="AL317" s="367"/>
      <c r="AM317" s="367"/>
      <c r="AN317" s="367"/>
      <c r="AO317" s="367"/>
      <c r="AP317" s="367"/>
      <c r="AQ317" s="367"/>
      <c r="AR317" s="367"/>
      <c r="AS317" s="367"/>
      <c r="AT317" s="368"/>
      <c r="AU317" s="367"/>
    </row>
    <row r="318" spans="1:47" ht="12.75">
      <c r="A318" s="367"/>
      <c r="B318" s="367"/>
      <c r="C318" s="367"/>
      <c r="D318" s="367"/>
      <c r="E318" s="367"/>
      <c r="F318" s="367"/>
      <c r="G318" s="367"/>
      <c r="H318" s="367"/>
      <c r="I318" s="367"/>
      <c r="J318" s="367"/>
      <c r="K318" s="367"/>
      <c r="L318" s="367"/>
      <c r="M318" s="367"/>
      <c r="N318" s="367"/>
      <c r="O318" s="367"/>
      <c r="P318" s="364"/>
      <c r="Q318" s="365"/>
      <c r="R318" s="365"/>
      <c r="S318" s="365"/>
      <c r="T318" s="365"/>
      <c r="U318" s="366"/>
      <c r="V318" s="367"/>
      <c r="W318" s="367"/>
      <c r="X318" s="367"/>
      <c r="Y318" s="367"/>
      <c r="Z318" s="367"/>
      <c r="AA318" s="367"/>
      <c r="AB318" s="367"/>
      <c r="AC318" s="367"/>
      <c r="AD318" s="367"/>
      <c r="AE318" s="367"/>
      <c r="AF318" s="367"/>
      <c r="AG318" s="367"/>
      <c r="AH318" s="367"/>
      <c r="AI318" s="367"/>
      <c r="AJ318" s="367"/>
      <c r="AK318" s="367"/>
      <c r="AL318" s="367"/>
      <c r="AM318" s="367"/>
      <c r="AN318" s="367"/>
      <c r="AO318" s="367"/>
      <c r="AP318" s="367"/>
      <c r="AQ318" s="367"/>
      <c r="AR318" s="367"/>
      <c r="AS318" s="367"/>
      <c r="AT318" s="368"/>
      <c r="AU318" s="367"/>
    </row>
    <row r="319" spans="1:47" ht="12.75">
      <c r="A319" s="367"/>
      <c r="B319" s="367"/>
      <c r="C319" s="367"/>
      <c r="D319" s="367"/>
      <c r="E319" s="367"/>
      <c r="F319" s="367"/>
      <c r="G319" s="367"/>
      <c r="H319" s="367"/>
      <c r="I319" s="367"/>
      <c r="J319" s="367"/>
      <c r="K319" s="367"/>
      <c r="L319" s="367"/>
      <c r="M319" s="367"/>
      <c r="N319" s="367"/>
      <c r="O319" s="367"/>
      <c r="P319" s="364"/>
      <c r="Q319" s="365"/>
      <c r="R319" s="365"/>
      <c r="S319" s="365"/>
      <c r="T319" s="365"/>
      <c r="U319" s="366"/>
      <c r="V319" s="367"/>
      <c r="W319" s="367"/>
      <c r="X319" s="367"/>
      <c r="Y319" s="367"/>
      <c r="Z319" s="367"/>
      <c r="AA319" s="367"/>
      <c r="AB319" s="367"/>
      <c r="AC319" s="367"/>
      <c r="AD319" s="367"/>
      <c r="AE319" s="367"/>
      <c r="AF319" s="367"/>
      <c r="AG319" s="367"/>
      <c r="AH319" s="367"/>
      <c r="AI319" s="367"/>
      <c r="AJ319" s="367"/>
      <c r="AK319" s="367"/>
      <c r="AL319" s="367"/>
      <c r="AM319" s="367"/>
      <c r="AN319" s="367"/>
      <c r="AO319" s="367"/>
      <c r="AP319" s="367"/>
      <c r="AQ319" s="367"/>
      <c r="AR319" s="367"/>
      <c r="AS319" s="367"/>
      <c r="AT319" s="368"/>
      <c r="AU319" s="367"/>
    </row>
    <row r="320" spans="1:47" ht="12.75">
      <c r="A320" s="367"/>
      <c r="B320" s="367"/>
      <c r="C320" s="367"/>
      <c r="D320" s="367"/>
      <c r="E320" s="367"/>
      <c r="F320" s="367"/>
      <c r="G320" s="367"/>
      <c r="H320" s="367"/>
      <c r="I320" s="367"/>
      <c r="J320" s="367"/>
      <c r="K320" s="367"/>
      <c r="L320" s="367"/>
      <c r="M320" s="367"/>
      <c r="N320" s="367"/>
      <c r="O320" s="367"/>
      <c r="P320" s="364"/>
      <c r="Q320" s="365"/>
      <c r="R320" s="365"/>
      <c r="S320" s="365"/>
      <c r="T320" s="365"/>
      <c r="U320" s="366"/>
      <c r="V320" s="367"/>
      <c r="W320" s="367"/>
      <c r="X320" s="367"/>
      <c r="Y320" s="367"/>
      <c r="Z320" s="367"/>
      <c r="AA320" s="367"/>
      <c r="AB320" s="367"/>
      <c r="AC320" s="367"/>
      <c r="AD320" s="367"/>
      <c r="AE320" s="367"/>
      <c r="AF320" s="367"/>
      <c r="AG320" s="367"/>
      <c r="AH320" s="367"/>
      <c r="AI320" s="367"/>
      <c r="AJ320" s="367"/>
      <c r="AK320" s="367"/>
      <c r="AL320" s="367"/>
      <c r="AM320" s="367"/>
      <c r="AN320" s="367"/>
      <c r="AO320" s="367"/>
      <c r="AP320" s="367"/>
      <c r="AQ320" s="367"/>
      <c r="AR320" s="367"/>
      <c r="AS320" s="367"/>
      <c r="AT320" s="368"/>
      <c r="AU320" s="367"/>
    </row>
    <row r="321" spans="1:47" ht="12.75">
      <c r="A321" s="367"/>
      <c r="B321" s="367"/>
      <c r="C321" s="367"/>
      <c r="D321" s="367"/>
      <c r="E321" s="367"/>
      <c r="F321" s="367"/>
      <c r="G321" s="367"/>
      <c r="H321" s="367"/>
      <c r="I321" s="367"/>
      <c r="J321" s="367"/>
      <c r="K321" s="367"/>
      <c r="L321" s="367"/>
      <c r="M321" s="367"/>
      <c r="N321" s="367"/>
      <c r="O321" s="367"/>
      <c r="P321" s="364"/>
      <c r="Q321" s="365"/>
      <c r="R321" s="365"/>
      <c r="S321" s="365"/>
      <c r="T321" s="365"/>
      <c r="U321" s="366"/>
      <c r="V321" s="367"/>
      <c r="W321" s="367"/>
      <c r="X321" s="367"/>
      <c r="Y321" s="367"/>
      <c r="Z321" s="367"/>
      <c r="AA321" s="367"/>
      <c r="AB321" s="367"/>
      <c r="AC321" s="367"/>
      <c r="AD321" s="367"/>
      <c r="AE321" s="367"/>
      <c r="AF321" s="367"/>
      <c r="AG321" s="367"/>
      <c r="AH321" s="367"/>
      <c r="AI321" s="367"/>
      <c r="AJ321" s="367"/>
      <c r="AK321" s="367"/>
      <c r="AL321" s="367"/>
      <c r="AM321" s="367"/>
      <c r="AN321" s="367"/>
      <c r="AO321" s="367"/>
      <c r="AP321" s="367"/>
      <c r="AQ321" s="367"/>
      <c r="AR321" s="367"/>
      <c r="AS321" s="367"/>
      <c r="AT321" s="368"/>
      <c r="AU321" s="367"/>
    </row>
    <row r="322" spans="1:47" ht="12.75">
      <c r="A322" s="367"/>
      <c r="B322" s="367"/>
      <c r="C322" s="367"/>
      <c r="D322" s="367"/>
      <c r="E322" s="367"/>
      <c r="F322" s="367"/>
      <c r="G322" s="367"/>
      <c r="H322" s="367"/>
      <c r="I322" s="367"/>
      <c r="J322" s="367"/>
      <c r="K322" s="367"/>
      <c r="L322" s="367"/>
      <c r="M322" s="367"/>
      <c r="N322" s="367"/>
      <c r="O322" s="367"/>
      <c r="P322" s="364"/>
      <c r="Q322" s="365"/>
      <c r="R322" s="365"/>
      <c r="S322" s="365"/>
      <c r="T322" s="365"/>
      <c r="U322" s="366"/>
      <c r="V322" s="367"/>
      <c r="W322" s="367"/>
      <c r="X322" s="367"/>
      <c r="Y322" s="367"/>
      <c r="Z322" s="367"/>
      <c r="AA322" s="367"/>
      <c r="AB322" s="367"/>
      <c r="AC322" s="367"/>
      <c r="AD322" s="367"/>
      <c r="AE322" s="367"/>
      <c r="AF322" s="367"/>
      <c r="AG322" s="367"/>
      <c r="AH322" s="367"/>
      <c r="AI322" s="367"/>
      <c r="AJ322" s="367"/>
      <c r="AK322" s="367"/>
      <c r="AL322" s="367"/>
      <c r="AM322" s="367"/>
      <c r="AN322" s="367"/>
      <c r="AO322" s="367"/>
      <c r="AP322" s="367"/>
      <c r="AQ322" s="367"/>
      <c r="AR322" s="367"/>
      <c r="AS322" s="367"/>
      <c r="AT322" s="368"/>
      <c r="AU322" s="367"/>
    </row>
    <row r="323" spans="1:47" ht="12.75">
      <c r="A323" s="367"/>
      <c r="B323" s="367"/>
      <c r="C323" s="367"/>
      <c r="D323" s="367"/>
      <c r="E323" s="367"/>
      <c r="F323" s="367"/>
      <c r="G323" s="367"/>
      <c r="H323" s="367"/>
      <c r="I323" s="367"/>
      <c r="J323" s="367"/>
      <c r="K323" s="367"/>
      <c r="L323" s="367"/>
      <c r="M323" s="367"/>
      <c r="N323" s="367"/>
      <c r="O323" s="367"/>
      <c r="P323" s="364"/>
      <c r="Q323" s="365"/>
      <c r="R323" s="365"/>
      <c r="S323" s="365"/>
      <c r="T323" s="365"/>
      <c r="U323" s="366"/>
      <c r="V323" s="367"/>
      <c r="W323" s="367"/>
      <c r="X323" s="367"/>
      <c r="Y323" s="367"/>
      <c r="Z323" s="367"/>
      <c r="AA323" s="367"/>
      <c r="AB323" s="367"/>
      <c r="AC323" s="367"/>
      <c r="AD323" s="367"/>
      <c r="AE323" s="367"/>
      <c r="AF323" s="367"/>
      <c r="AG323" s="367"/>
      <c r="AH323" s="367"/>
      <c r="AI323" s="367"/>
      <c r="AJ323" s="367"/>
      <c r="AK323" s="367"/>
      <c r="AL323" s="367"/>
      <c r="AM323" s="367"/>
      <c r="AN323" s="367"/>
      <c r="AO323" s="367"/>
      <c r="AP323" s="367"/>
      <c r="AQ323" s="367"/>
      <c r="AR323" s="367"/>
      <c r="AS323" s="367"/>
      <c r="AT323" s="368"/>
      <c r="AU323" s="367"/>
    </row>
    <row r="324" spans="1:47" ht="12.75">
      <c r="A324" s="367"/>
      <c r="B324" s="367"/>
      <c r="C324" s="367"/>
      <c r="D324" s="367"/>
      <c r="E324" s="367"/>
      <c r="F324" s="367"/>
      <c r="G324" s="367"/>
      <c r="H324" s="367"/>
      <c r="I324" s="367"/>
      <c r="J324" s="367"/>
      <c r="K324" s="367"/>
      <c r="L324" s="367"/>
      <c r="M324" s="367"/>
      <c r="N324" s="367"/>
      <c r="O324" s="367"/>
      <c r="P324" s="364"/>
      <c r="Q324" s="365"/>
      <c r="R324" s="365"/>
      <c r="S324" s="365"/>
      <c r="T324" s="365"/>
      <c r="U324" s="366"/>
      <c r="V324" s="367"/>
      <c r="W324" s="367"/>
      <c r="X324" s="367"/>
      <c r="Y324" s="367"/>
      <c r="Z324" s="367"/>
      <c r="AA324" s="367"/>
      <c r="AB324" s="367"/>
      <c r="AC324" s="367"/>
      <c r="AD324" s="367"/>
      <c r="AE324" s="367"/>
      <c r="AF324" s="367"/>
      <c r="AG324" s="367"/>
      <c r="AH324" s="367"/>
      <c r="AI324" s="367"/>
      <c r="AJ324" s="367"/>
      <c r="AK324" s="367"/>
      <c r="AL324" s="367"/>
      <c r="AM324" s="367"/>
      <c r="AN324" s="367"/>
      <c r="AO324" s="367"/>
      <c r="AP324" s="367"/>
      <c r="AQ324" s="367"/>
      <c r="AR324" s="367"/>
      <c r="AS324" s="367"/>
      <c r="AT324" s="368"/>
      <c r="AU324" s="367"/>
    </row>
    <row r="325" spans="1:47" ht="12.75">
      <c r="A325" s="367"/>
      <c r="B325" s="367"/>
      <c r="C325" s="367"/>
      <c r="D325" s="367"/>
      <c r="E325" s="367"/>
      <c r="F325" s="367"/>
      <c r="G325" s="367"/>
      <c r="H325" s="367"/>
      <c r="I325" s="367"/>
      <c r="J325" s="367"/>
      <c r="K325" s="367"/>
      <c r="L325" s="367"/>
      <c r="M325" s="367"/>
      <c r="N325" s="367"/>
      <c r="O325" s="367"/>
      <c r="P325" s="364"/>
      <c r="Q325" s="365"/>
      <c r="R325" s="365"/>
      <c r="S325" s="365"/>
      <c r="T325" s="365"/>
      <c r="U325" s="366"/>
      <c r="V325" s="367"/>
      <c r="W325" s="367"/>
      <c r="X325" s="367"/>
      <c r="Y325" s="367"/>
      <c r="Z325" s="367"/>
      <c r="AA325" s="367"/>
      <c r="AB325" s="367"/>
      <c r="AC325" s="367"/>
      <c r="AD325" s="367"/>
      <c r="AE325" s="367"/>
      <c r="AF325" s="367"/>
      <c r="AG325" s="367"/>
      <c r="AH325" s="367"/>
      <c r="AI325" s="367"/>
      <c r="AJ325" s="367"/>
      <c r="AK325" s="367"/>
      <c r="AL325" s="367"/>
      <c r="AM325" s="367"/>
      <c r="AN325" s="367"/>
      <c r="AO325" s="367"/>
      <c r="AP325" s="367"/>
      <c r="AQ325" s="367"/>
      <c r="AR325" s="367"/>
      <c r="AS325" s="367"/>
      <c r="AT325" s="368"/>
      <c r="AU325" s="367"/>
    </row>
    <row r="326" spans="1:47" ht="12.75">
      <c r="A326" s="367"/>
      <c r="B326" s="367"/>
      <c r="C326" s="367"/>
      <c r="D326" s="367"/>
      <c r="E326" s="367"/>
      <c r="F326" s="367"/>
      <c r="G326" s="367"/>
      <c r="H326" s="367"/>
      <c r="I326" s="367"/>
      <c r="J326" s="367"/>
      <c r="K326" s="367"/>
      <c r="L326" s="367"/>
      <c r="M326" s="367"/>
      <c r="N326" s="367"/>
      <c r="O326" s="367"/>
      <c r="P326" s="364"/>
      <c r="Q326" s="365"/>
      <c r="R326" s="365"/>
      <c r="S326" s="365"/>
      <c r="T326" s="365"/>
      <c r="U326" s="366"/>
      <c r="V326" s="367"/>
      <c r="W326" s="367"/>
      <c r="X326" s="367"/>
      <c r="Y326" s="367"/>
      <c r="Z326" s="367"/>
      <c r="AA326" s="367"/>
      <c r="AB326" s="367"/>
      <c r="AC326" s="367"/>
      <c r="AD326" s="367"/>
      <c r="AE326" s="367"/>
      <c r="AF326" s="367"/>
      <c r="AG326" s="367"/>
      <c r="AH326" s="367"/>
      <c r="AI326" s="367"/>
      <c r="AJ326" s="367"/>
      <c r="AK326" s="367"/>
      <c r="AL326" s="367"/>
      <c r="AM326" s="367"/>
      <c r="AN326" s="367"/>
      <c r="AO326" s="367"/>
      <c r="AP326" s="367"/>
      <c r="AQ326" s="367"/>
      <c r="AR326" s="367"/>
      <c r="AS326" s="367"/>
      <c r="AT326" s="368"/>
      <c r="AU326" s="367"/>
    </row>
    <row r="327" spans="1:47" ht="12.75">
      <c r="A327" s="367"/>
      <c r="B327" s="367"/>
      <c r="C327" s="367"/>
      <c r="D327" s="367"/>
      <c r="E327" s="367"/>
      <c r="F327" s="367"/>
      <c r="G327" s="367"/>
      <c r="H327" s="367"/>
      <c r="I327" s="367"/>
      <c r="J327" s="367"/>
      <c r="K327" s="367"/>
      <c r="L327" s="367"/>
      <c r="M327" s="367"/>
      <c r="N327" s="367"/>
      <c r="O327" s="367"/>
      <c r="P327" s="364"/>
      <c r="Q327" s="365"/>
      <c r="R327" s="365"/>
      <c r="S327" s="365"/>
      <c r="T327" s="365"/>
      <c r="U327" s="366"/>
      <c r="V327" s="367"/>
      <c r="W327" s="367"/>
      <c r="X327" s="367"/>
      <c r="Y327" s="367"/>
      <c r="Z327" s="367"/>
      <c r="AA327" s="367"/>
      <c r="AB327" s="367"/>
      <c r="AC327" s="367"/>
      <c r="AD327" s="367"/>
      <c r="AE327" s="367"/>
      <c r="AF327" s="367"/>
      <c r="AG327" s="367"/>
      <c r="AH327" s="367"/>
      <c r="AI327" s="367"/>
      <c r="AJ327" s="367"/>
      <c r="AK327" s="367"/>
      <c r="AL327" s="367"/>
      <c r="AM327" s="367"/>
      <c r="AN327" s="367"/>
      <c r="AO327" s="367"/>
      <c r="AP327" s="367"/>
      <c r="AQ327" s="367"/>
      <c r="AR327" s="367"/>
      <c r="AS327" s="367"/>
      <c r="AT327" s="368"/>
      <c r="AU327" s="367"/>
    </row>
    <row r="328" spans="1:47" ht="12.75">
      <c r="A328" s="367"/>
      <c r="B328" s="367"/>
      <c r="C328" s="367"/>
      <c r="D328" s="367"/>
      <c r="E328" s="367"/>
      <c r="F328" s="367"/>
      <c r="G328" s="367"/>
      <c r="H328" s="367"/>
      <c r="I328" s="367"/>
      <c r="J328" s="367"/>
      <c r="K328" s="367"/>
      <c r="L328" s="367"/>
      <c r="M328" s="367"/>
      <c r="N328" s="367"/>
      <c r="O328" s="367"/>
      <c r="P328" s="364"/>
      <c r="Q328" s="365"/>
      <c r="R328" s="365"/>
      <c r="S328" s="365"/>
      <c r="T328" s="365"/>
      <c r="U328" s="366"/>
      <c r="V328" s="367"/>
      <c r="W328" s="367"/>
      <c r="X328" s="367"/>
      <c r="Y328" s="367"/>
      <c r="Z328" s="367"/>
      <c r="AA328" s="367"/>
      <c r="AB328" s="367"/>
      <c r="AC328" s="367"/>
      <c r="AD328" s="367"/>
      <c r="AE328" s="367"/>
      <c r="AF328" s="367"/>
      <c r="AG328" s="367"/>
      <c r="AH328" s="367"/>
      <c r="AI328" s="367"/>
      <c r="AJ328" s="367"/>
      <c r="AK328" s="367"/>
      <c r="AL328" s="367"/>
      <c r="AM328" s="367"/>
      <c r="AN328" s="367"/>
      <c r="AO328" s="367"/>
      <c r="AP328" s="367"/>
      <c r="AQ328" s="367"/>
      <c r="AR328" s="367"/>
      <c r="AS328" s="367"/>
      <c r="AT328" s="368"/>
      <c r="AU328" s="367"/>
    </row>
    <row r="329" spans="1:47" ht="12.75">
      <c r="A329" s="367"/>
      <c r="B329" s="367"/>
      <c r="C329" s="367"/>
      <c r="D329" s="367"/>
      <c r="E329" s="367"/>
      <c r="F329" s="367"/>
      <c r="G329" s="367"/>
      <c r="H329" s="367"/>
      <c r="I329" s="367"/>
      <c r="J329" s="367"/>
      <c r="K329" s="367"/>
      <c r="L329" s="367"/>
      <c r="M329" s="367"/>
      <c r="N329" s="367"/>
      <c r="O329" s="367"/>
      <c r="P329" s="364"/>
      <c r="Q329" s="365"/>
      <c r="R329" s="365"/>
      <c r="S329" s="365"/>
      <c r="T329" s="365"/>
      <c r="U329" s="366"/>
      <c r="V329" s="367"/>
      <c r="W329" s="367"/>
      <c r="X329" s="367"/>
      <c r="Y329" s="367"/>
      <c r="Z329" s="367"/>
      <c r="AA329" s="367"/>
      <c r="AB329" s="367"/>
      <c r="AC329" s="367"/>
      <c r="AD329" s="367"/>
      <c r="AE329" s="367"/>
      <c r="AF329" s="367"/>
      <c r="AG329" s="367"/>
      <c r="AH329" s="367"/>
      <c r="AI329" s="367"/>
      <c r="AJ329" s="367"/>
      <c r="AK329" s="367"/>
      <c r="AL329" s="367"/>
      <c r="AM329" s="367"/>
      <c r="AN329" s="367"/>
      <c r="AO329" s="367"/>
      <c r="AP329" s="367"/>
      <c r="AQ329" s="367"/>
      <c r="AR329" s="367"/>
      <c r="AS329" s="367"/>
      <c r="AT329" s="368"/>
      <c r="AU329" s="367"/>
    </row>
    <row r="330" spans="1:47" ht="12.75">
      <c r="A330" s="367"/>
      <c r="B330" s="367"/>
      <c r="C330" s="367"/>
      <c r="D330" s="367"/>
      <c r="E330" s="367"/>
      <c r="F330" s="367"/>
      <c r="G330" s="367"/>
      <c r="H330" s="367"/>
      <c r="I330" s="367"/>
      <c r="J330" s="367"/>
      <c r="K330" s="367"/>
      <c r="L330" s="367"/>
      <c r="M330" s="367"/>
      <c r="N330" s="367"/>
      <c r="O330" s="367"/>
      <c r="P330" s="364"/>
      <c r="Q330" s="365"/>
      <c r="R330" s="365"/>
      <c r="S330" s="365"/>
      <c r="T330" s="365"/>
      <c r="U330" s="366"/>
      <c r="V330" s="367"/>
      <c r="W330" s="367"/>
      <c r="X330" s="367"/>
      <c r="Y330" s="367"/>
      <c r="Z330" s="367"/>
      <c r="AA330" s="367"/>
      <c r="AB330" s="367"/>
      <c r="AC330" s="367"/>
      <c r="AD330" s="367"/>
      <c r="AE330" s="367"/>
      <c r="AF330" s="367"/>
      <c r="AG330" s="367"/>
      <c r="AH330" s="367"/>
      <c r="AI330" s="367"/>
      <c r="AJ330" s="367"/>
      <c r="AK330" s="367"/>
      <c r="AL330" s="367"/>
      <c r="AM330" s="367"/>
      <c r="AN330" s="367"/>
      <c r="AO330" s="367"/>
      <c r="AP330" s="367"/>
      <c r="AQ330" s="367"/>
      <c r="AR330" s="367"/>
      <c r="AS330" s="367"/>
      <c r="AT330" s="368"/>
      <c r="AU330" s="367"/>
    </row>
    <row r="331" spans="1:47" ht="12.75">
      <c r="A331" s="367"/>
      <c r="B331" s="367"/>
      <c r="C331" s="367"/>
      <c r="D331" s="367"/>
      <c r="E331" s="367"/>
      <c r="F331" s="367"/>
      <c r="G331" s="367"/>
      <c r="H331" s="367"/>
      <c r="I331" s="367"/>
      <c r="J331" s="367"/>
      <c r="K331" s="367"/>
      <c r="L331" s="367"/>
      <c r="M331" s="367"/>
      <c r="N331" s="367"/>
      <c r="O331" s="367"/>
      <c r="P331" s="364"/>
      <c r="Q331" s="365"/>
      <c r="R331" s="365"/>
      <c r="S331" s="365"/>
      <c r="T331" s="365"/>
      <c r="U331" s="366"/>
      <c r="V331" s="367"/>
      <c r="W331" s="367"/>
      <c r="X331" s="367"/>
      <c r="Y331" s="367"/>
      <c r="Z331" s="367"/>
      <c r="AA331" s="367"/>
      <c r="AB331" s="367"/>
      <c r="AC331" s="367"/>
      <c r="AD331" s="367"/>
      <c r="AE331" s="367"/>
      <c r="AF331" s="367"/>
      <c r="AG331" s="367"/>
      <c r="AH331" s="367"/>
      <c r="AI331" s="367"/>
      <c r="AJ331" s="367"/>
      <c r="AK331" s="367"/>
      <c r="AL331" s="367"/>
      <c r="AM331" s="367"/>
      <c r="AN331" s="367"/>
      <c r="AO331" s="367"/>
      <c r="AP331" s="367"/>
      <c r="AQ331" s="367"/>
      <c r="AR331" s="367"/>
      <c r="AS331" s="367"/>
      <c r="AT331" s="368"/>
      <c r="AU331" s="367"/>
    </row>
    <row r="332" spans="1:47" ht="12.75">
      <c r="A332" s="367"/>
      <c r="B332" s="367"/>
      <c r="C332" s="367"/>
      <c r="D332" s="367"/>
      <c r="E332" s="367"/>
      <c r="F332" s="367"/>
      <c r="G332" s="367"/>
      <c r="H332" s="367"/>
      <c r="I332" s="367"/>
      <c r="J332" s="367"/>
      <c r="K332" s="367"/>
      <c r="L332" s="367"/>
      <c r="M332" s="367"/>
      <c r="N332" s="367"/>
      <c r="O332" s="367"/>
      <c r="P332" s="364"/>
      <c r="Q332" s="365"/>
      <c r="R332" s="365"/>
      <c r="S332" s="365"/>
      <c r="T332" s="365"/>
      <c r="U332" s="366"/>
      <c r="V332" s="367"/>
      <c r="W332" s="367"/>
      <c r="X332" s="367"/>
      <c r="Y332" s="367"/>
      <c r="Z332" s="367"/>
      <c r="AA332" s="367"/>
      <c r="AB332" s="367"/>
      <c r="AC332" s="367"/>
      <c r="AD332" s="367"/>
      <c r="AE332" s="367"/>
      <c r="AF332" s="367"/>
      <c r="AG332" s="367"/>
      <c r="AH332" s="367"/>
      <c r="AI332" s="367"/>
      <c r="AJ332" s="367"/>
      <c r="AK332" s="367"/>
      <c r="AL332" s="367"/>
      <c r="AM332" s="367"/>
      <c r="AN332" s="367"/>
      <c r="AO332" s="367"/>
      <c r="AP332" s="367"/>
      <c r="AQ332" s="367"/>
      <c r="AR332" s="367"/>
      <c r="AS332" s="367"/>
      <c r="AT332" s="368"/>
      <c r="AU332" s="367"/>
    </row>
    <row r="333" spans="1:47" ht="12.75">
      <c r="A333" s="367"/>
      <c r="B333" s="367"/>
      <c r="C333" s="367"/>
      <c r="D333" s="367"/>
      <c r="E333" s="367"/>
      <c r="F333" s="367"/>
      <c r="G333" s="367"/>
      <c r="H333" s="367"/>
      <c r="I333" s="367"/>
      <c r="J333" s="367"/>
      <c r="K333" s="367"/>
      <c r="L333" s="367"/>
      <c r="M333" s="367"/>
      <c r="N333" s="367"/>
      <c r="O333" s="367"/>
      <c r="P333" s="364"/>
      <c r="Q333" s="365"/>
      <c r="R333" s="365"/>
      <c r="S333" s="365"/>
      <c r="T333" s="365"/>
      <c r="U333" s="366"/>
      <c r="V333" s="367"/>
      <c r="W333" s="367"/>
      <c r="X333" s="367"/>
      <c r="Y333" s="367"/>
      <c r="Z333" s="367"/>
      <c r="AA333" s="367"/>
      <c r="AB333" s="367"/>
      <c r="AC333" s="367"/>
      <c r="AD333" s="367"/>
      <c r="AE333" s="367"/>
      <c r="AF333" s="367"/>
      <c r="AG333" s="367"/>
      <c r="AH333" s="367"/>
      <c r="AI333" s="367"/>
      <c r="AJ333" s="367"/>
      <c r="AK333" s="367"/>
      <c r="AL333" s="367"/>
      <c r="AM333" s="367"/>
      <c r="AN333" s="367"/>
      <c r="AO333" s="367"/>
      <c r="AP333" s="367"/>
      <c r="AQ333" s="367"/>
      <c r="AR333" s="367"/>
      <c r="AS333" s="367"/>
      <c r="AT333" s="368"/>
      <c r="AU333" s="367"/>
    </row>
    <row r="334" spans="1:47" ht="12.75">
      <c r="A334" s="367"/>
      <c r="B334" s="367"/>
      <c r="C334" s="367"/>
      <c r="D334" s="367"/>
      <c r="E334" s="367"/>
      <c r="F334" s="367"/>
      <c r="G334" s="367"/>
      <c r="H334" s="367"/>
      <c r="I334" s="367"/>
      <c r="J334" s="367"/>
      <c r="K334" s="367"/>
      <c r="L334" s="367"/>
      <c r="M334" s="367"/>
      <c r="N334" s="367"/>
      <c r="O334" s="367"/>
      <c r="P334" s="364"/>
      <c r="Q334" s="365"/>
      <c r="R334" s="365"/>
      <c r="S334" s="365"/>
      <c r="T334" s="365"/>
      <c r="U334" s="366"/>
      <c r="V334" s="367"/>
      <c r="W334" s="367"/>
      <c r="X334" s="367"/>
      <c r="Y334" s="367"/>
      <c r="Z334" s="367"/>
      <c r="AA334" s="367"/>
      <c r="AB334" s="367"/>
      <c r="AC334" s="367"/>
      <c r="AD334" s="367"/>
      <c r="AE334" s="367"/>
      <c r="AF334" s="367"/>
      <c r="AG334" s="367"/>
      <c r="AH334" s="367"/>
      <c r="AI334" s="367"/>
      <c r="AJ334" s="367"/>
      <c r="AK334" s="367"/>
      <c r="AL334" s="367"/>
      <c r="AM334" s="367"/>
      <c r="AN334" s="367"/>
      <c r="AO334" s="367"/>
      <c r="AP334" s="367"/>
      <c r="AQ334" s="367"/>
      <c r="AR334" s="367"/>
      <c r="AS334" s="367"/>
      <c r="AT334" s="368"/>
      <c r="AU334" s="367"/>
    </row>
    <row r="335" spans="1:47" ht="12.75">
      <c r="A335" s="367"/>
      <c r="B335" s="367"/>
      <c r="C335" s="367"/>
      <c r="D335" s="367"/>
      <c r="E335" s="367"/>
      <c r="F335" s="367"/>
      <c r="G335" s="367"/>
      <c r="H335" s="367"/>
      <c r="I335" s="367"/>
      <c r="J335" s="367"/>
      <c r="K335" s="367"/>
      <c r="L335" s="367"/>
      <c r="M335" s="367"/>
      <c r="N335" s="367"/>
      <c r="O335" s="367"/>
      <c r="P335" s="364"/>
      <c r="Q335" s="365"/>
      <c r="R335" s="365"/>
      <c r="S335" s="365"/>
      <c r="T335" s="365"/>
      <c r="U335" s="366"/>
      <c r="V335" s="367"/>
      <c r="W335" s="367"/>
      <c r="X335" s="367"/>
      <c r="Y335" s="367"/>
      <c r="Z335" s="367"/>
      <c r="AA335" s="367"/>
      <c r="AB335" s="367"/>
      <c r="AC335" s="367"/>
      <c r="AD335" s="367"/>
      <c r="AE335" s="367"/>
      <c r="AF335" s="367"/>
      <c r="AG335" s="367"/>
      <c r="AH335" s="367"/>
      <c r="AI335" s="367"/>
      <c r="AJ335" s="367"/>
      <c r="AK335" s="367"/>
      <c r="AL335" s="367"/>
      <c r="AM335" s="367"/>
      <c r="AN335" s="367"/>
      <c r="AO335" s="367"/>
      <c r="AP335" s="367"/>
      <c r="AQ335" s="367"/>
      <c r="AR335" s="367"/>
      <c r="AS335" s="367"/>
      <c r="AT335" s="368"/>
      <c r="AU335" s="367"/>
    </row>
    <row r="336" spans="1:47" ht="12.75">
      <c r="A336" s="367"/>
      <c r="B336" s="367"/>
      <c r="C336" s="367"/>
      <c r="D336" s="367"/>
      <c r="E336" s="367"/>
      <c r="F336" s="367"/>
      <c r="G336" s="367"/>
      <c r="H336" s="367"/>
      <c r="I336" s="367"/>
      <c r="J336" s="367"/>
      <c r="K336" s="367"/>
      <c r="L336" s="367"/>
      <c r="M336" s="367"/>
      <c r="N336" s="367"/>
      <c r="O336" s="367"/>
      <c r="P336" s="364"/>
      <c r="Q336" s="365"/>
      <c r="R336" s="365"/>
      <c r="S336" s="365"/>
      <c r="T336" s="365"/>
      <c r="U336" s="366"/>
      <c r="V336" s="367"/>
      <c r="W336" s="367"/>
      <c r="X336" s="367"/>
      <c r="Y336" s="367"/>
      <c r="Z336" s="367"/>
      <c r="AA336" s="367"/>
      <c r="AB336" s="367"/>
      <c r="AC336" s="367"/>
      <c r="AD336" s="367"/>
      <c r="AE336" s="367"/>
      <c r="AF336" s="367"/>
      <c r="AG336" s="367"/>
      <c r="AH336" s="367"/>
      <c r="AI336" s="367"/>
      <c r="AJ336" s="367"/>
      <c r="AK336" s="367"/>
      <c r="AL336" s="367"/>
      <c r="AM336" s="367"/>
      <c r="AN336" s="367"/>
      <c r="AO336" s="367"/>
      <c r="AP336" s="367"/>
      <c r="AQ336" s="367"/>
      <c r="AR336" s="367"/>
      <c r="AS336" s="367"/>
      <c r="AT336" s="368"/>
      <c r="AU336" s="367"/>
    </row>
    <row r="337" spans="1:47" ht="12.75">
      <c r="A337" s="367"/>
      <c r="B337" s="367"/>
      <c r="C337" s="367"/>
      <c r="D337" s="367"/>
      <c r="E337" s="367"/>
      <c r="F337" s="367"/>
      <c r="G337" s="367"/>
      <c r="H337" s="367"/>
      <c r="I337" s="367"/>
      <c r="J337" s="367"/>
      <c r="K337" s="367"/>
      <c r="L337" s="367"/>
      <c r="M337" s="367"/>
      <c r="N337" s="367"/>
      <c r="O337" s="367"/>
      <c r="P337" s="364"/>
      <c r="Q337" s="365"/>
      <c r="R337" s="365"/>
      <c r="S337" s="365"/>
      <c r="T337" s="365"/>
      <c r="U337" s="366"/>
      <c r="V337" s="367"/>
      <c r="W337" s="367"/>
      <c r="X337" s="367"/>
      <c r="Y337" s="367"/>
      <c r="Z337" s="367"/>
      <c r="AA337" s="367"/>
      <c r="AB337" s="367"/>
      <c r="AC337" s="367"/>
      <c r="AD337" s="367"/>
      <c r="AE337" s="367"/>
      <c r="AF337" s="367"/>
      <c r="AG337" s="367"/>
      <c r="AH337" s="367"/>
      <c r="AI337" s="367"/>
      <c r="AJ337" s="367"/>
      <c r="AK337" s="367"/>
      <c r="AL337" s="367"/>
      <c r="AM337" s="367"/>
      <c r="AN337" s="367"/>
      <c r="AO337" s="367"/>
      <c r="AP337" s="367"/>
      <c r="AQ337" s="367"/>
      <c r="AR337" s="367"/>
      <c r="AS337" s="367"/>
      <c r="AT337" s="368"/>
      <c r="AU337" s="367"/>
    </row>
    <row r="338" spans="1:47" ht="12.75">
      <c r="A338" s="367"/>
      <c r="B338" s="367"/>
      <c r="C338" s="367"/>
      <c r="D338" s="367"/>
      <c r="E338" s="367"/>
      <c r="F338" s="367"/>
      <c r="G338" s="367"/>
      <c r="H338" s="367"/>
      <c r="I338" s="367"/>
      <c r="J338" s="367"/>
      <c r="K338" s="367"/>
      <c r="L338" s="367"/>
      <c r="M338" s="367"/>
      <c r="N338" s="367"/>
      <c r="O338" s="367"/>
      <c r="P338" s="364"/>
      <c r="Q338" s="365"/>
      <c r="R338" s="365"/>
      <c r="S338" s="365"/>
      <c r="T338" s="365"/>
      <c r="U338" s="366"/>
      <c r="V338" s="367"/>
      <c r="W338" s="367"/>
      <c r="X338" s="367"/>
      <c r="Y338" s="367"/>
      <c r="Z338" s="367"/>
      <c r="AA338" s="367"/>
      <c r="AB338" s="367"/>
      <c r="AC338" s="367"/>
      <c r="AD338" s="367"/>
      <c r="AE338" s="367"/>
      <c r="AF338" s="367"/>
      <c r="AG338" s="367"/>
      <c r="AH338" s="367"/>
      <c r="AI338" s="367"/>
      <c r="AJ338" s="367"/>
      <c r="AK338" s="367"/>
      <c r="AL338" s="367"/>
      <c r="AM338" s="367"/>
      <c r="AN338" s="367"/>
      <c r="AO338" s="367"/>
      <c r="AP338" s="367"/>
      <c r="AQ338" s="367"/>
      <c r="AR338" s="367"/>
      <c r="AS338" s="367"/>
      <c r="AT338" s="368"/>
      <c r="AU338" s="367"/>
    </row>
    <row r="339" spans="1:47" ht="12.75">
      <c r="A339" s="367"/>
      <c r="B339" s="367"/>
      <c r="C339" s="367"/>
      <c r="D339" s="367"/>
      <c r="E339" s="367"/>
      <c r="F339" s="367"/>
      <c r="G339" s="367"/>
      <c r="H339" s="367"/>
      <c r="I339" s="367"/>
      <c r="J339" s="367"/>
      <c r="K339" s="367"/>
      <c r="L339" s="367"/>
      <c r="M339" s="367"/>
      <c r="N339" s="367"/>
      <c r="O339" s="367"/>
      <c r="P339" s="364"/>
      <c r="Q339" s="365"/>
      <c r="R339" s="365"/>
      <c r="S339" s="365"/>
      <c r="T339" s="365"/>
      <c r="U339" s="366"/>
      <c r="V339" s="367"/>
      <c r="W339" s="367"/>
      <c r="X339" s="367"/>
      <c r="Y339" s="367"/>
      <c r="Z339" s="367"/>
      <c r="AA339" s="367"/>
      <c r="AB339" s="367"/>
      <c r="AC339" s="367"/>
      <c r="AD339" s="367"/>
      <c r="AE339" s="367"/>
      <c r="AF339" s="367"/>
      <c r="AG339" s="367"/>
      <c r="AH339" s="367"/>
      <c r="AI339" s="367"/>
      <c r="AJ339" s="367"/>
      <c r="AK339" s="367"/>
      <c r="AL339" s="367"/>
      <c r="AM339" s="367"/>
      <c r="AN339" s="367"/>
      <c r="AO339" s="367"/>
      <c r="AP339" s="367"/>
      <c r="AQ339" s="367"/>
      <c r="AR339" s="367"/>
      <c r="AS339" s="367"/>
      <c r="AT339" s="368"/>
      <c r="AU339" s="367"/>
    </row>
    <row r="340" spans="1:47" ht="12.75">
      <c r="A340" s="367"/>
      <c r="B340" s="367"/>
      <c r="C340" s="367"/>
      <c r="D340" s="367"/>
      <c r="E340" s="367"/>
      <c r="F340" s="367"/>
      <c r="G340" s="367"/>
      <c r="H340" s="367"/>
      <c r="I340" s="367"/>
      <c r="J340" s="367"/>
      <c r="K340" s="367"/>
      <c r="L340" s="367"/>
      <c r="M340" s="367"/>
      <c r="N340" s="367"/>
      <c r="O340" s="367"/>
      <c r="P340" s="364"/>
      <c r="Q340" s="365"/>
      <c r="R340" s="365"/>
      <c r="S340" s="365"/>
      <c r="T340" s="365"/>
      <c r="U340" s="366"/>
      <c r="V340" s="367"/>
      <c r="W340" s="367"/>
      <c r="X340" s="367"/>
      <c r="Y340" s="367"/>
      <c r="Z340" s="367"/>
      <c r="AA340" s="367"/>
      <c r="AB340" s="367"/>
      <c r="AC340" s="367"/>
      <c r="AD340" s="367"/>
      <c r="AE340" s="367"/>
      <c r="AF340" s="367"/>
      <c r="AG340" s="367"/>
      <c r="AH340" s="367"/>
      <c r="AI340" s="367"/>
      <c r="AJ340" s="367"/>
      <c r="AK340" s="367"/>
      <c r="AL340" s="367"/>
      <c r="AM340" s="367"/>
      <c r="AN340" s="367"/>
      <c r="AO340" s="367"/>
      <c r="AP340" s="367"/>
      <c r="AQ340" s="367"/>
      <c r="AR340" s="367"/>
      <c r="AS340" s="367"/>
      <c r="AT340" s="368"/>
      <c r="AU340" s="367"/>
    </row>
    <row r="341" spans="1:47" ht="12.75">
      <c r="A341" s="367"/>
      <c r="B341" s="367"/>
      <c r="C341" s="367"/>
      <c r="D341" s="367"/>
      <c r="E341" s="367"/>
      <c r="F341" s="367"/>
      <c r="G341" s="367"/>
      <c r="H341" s="367"/>
      <c r="I341" s="367"/>
      <c r="J341" s="367"/>
      <c r="K341" s="367"/>
      <c r="L341" s="367"/>
      <c r="M341" s="367"/>
      <c r="N341" s="367"/>
      <c r="O341" s="367"/>
      <c r="P341" s="364"/>
      <c r="Q341" s="365"/>
      <c r="R341" s="365"/>
      <c r="S341" s="365"/>
      <c r="T341" s="365"/>
      <c r="U341" s="366"/>
      <c r="V341" s="367"/>
      <c r="W341" s="367"/>
      <c r="X341" s="367"/>
      <c r="Y341" s="367"/>
      <c r="Z341" s="367"/>
      <c r="AA341" s="367"/>
      <c r="AB341" s="367"/>
      <c r="AC341" s="367"/>
      <c r="AD341" s="367"/>
      <c r="AE341" s="367"/>
      <c r="AF341" s="367"/>
      <c r="AG341" s="367"/>
      <c r="AH341" s="367"/>
      <c r="AI341" s="367"/>
      <c r="AJ341" s="367"/>
      <c r="AK341" s="367"/>
      <c r="AL341" s="367"/>
      <c r="AM341" s="367"/>
      <c r="AN341" s="367"/>
      <c r="AO341" s="367"/>
      <c r="AP341" s="367"/>
      <c r="AQ341" s="367"/>
      <c r="AR341" s="367"/>
      <c r="AS341" s="367"/>
      <c r="AT341" s="368"/>
      <c r="AU341" s="367"/>
    </row>
    <row r="342" spans="1:47" ht="12.75">
      <c r="A342" s="367"/>
      <c r="B342" s="367"/>
      <c r="C342" s="367"/>
      <c r="D342" s="367"/>
      <c r="E342" s="367"/>
      <c r="F342" s="367"/>
      <c r="G342" s="367"/>
      <c r="H342" s="367"/>
      <c r="I342" s="367"/>
      <c r="J342" s="367"/>
      <c r="K342" s="367"/>
      <c r="L342" s="367"/>
      <c r="M342" s="367"/>
      <c r="N342" s="367"/>
      <c r="O342" s="367"/>
      <c r="P342" s="364"/>
      <c r="Q342" s="365"/>
      <c r="R342" s="365"/>
      <c r="S342" s="365"/>
      <c r="T342" s="365"/>
      <c r="U342" s="366"/>
      <c r="V342" s="367"/>
      <c r="W342" s="367"/>
      <c r="X342" s="367"/>
      <c r="Y342" s="367"/>
      <c r="Z342" s="367"/>
      <c r="AA342" s="367"/>
      <c r="AB342" s="367"/>
      <c r="AC342" s="367"/>
      <c r="AD342" s="367"/>
      <c r="AE342" s="367"/>
      <c r="AF342" s="367"/>
      <c r="AG342" s="367"/>
      <c r="AH342" s="367"/>
      <c r="AI342" s="367"/>
      <c r="AJ342" s="367"/>
      <c r="AK342" s="367"/>
      <c r="AL342" s="367"/>
      <c r="AM342" s="367"/>
      <c r="AN342" s="367"/>
      <c r="AO342" s="367"/>
      <c r="AP342" s="367"/>
      <c r="AQ342" s="367"/>
      <c r="AR342" s="367"/>
      <c r="AS342" s="367"/>
      <c r="AT342" s="368"/>
      <c r="AU342" s="367"/>
    </row>
    <row r="343" spans="1:47" ht="12.75">
      <c r="A343" s="367"/>
      <c r="B343" s="367"/>
      <c r="C343" s="367"/>
      <c r="D343" s="367"/>
      <c r="E343" s="367"/>
      <c r="F343" s="367"/>
      <c r="G343" s="367"/>
      <c r="H343" s="367"/>
      <c r="I343" s="367"/>
      <c r="J343" s="367"/>
      <c r="K343" s="367"/>
      <c r="L343" s="367"/>
      <c r="M343" s="367"/>
      <c r="N343" s="367"/>
      <c r="O343" s="367"/>
      <c r="P343" s="364"/>
      <c r="Q343" s="365"/>
      <c r="R343" s="365"/>
      <c r="S343" s="365"/>
      <c r="T343" s="365"/>
      <c r="U343" s="366"/>
      <c r="V343" s="367"/>
      <c r="W343" s="367"/>
      <c r="X343" s="367"/>
      <c r="Y343" s="367"/>
      <c r="Z343" s="367"/>
      <c r="AA343" s="367"/>
      <c r="AB343" s="367"/>
      <c r="AC343" s="367"/>
      <c r="AD343" s="367"/>
      <c r="AE343" s="367"/>
      <c r="AF343" s="367"/>
      <c r="AG343" s="367"/>
      <c r="AH343" s="367"/>
      <c r="AI343" s="367"/>
      <c r="AJ343" s="367"/>
      <c r="AK343" s="367"/>
      <c r="AL343" s="367"/>
      <c r="AM343" s="367"/>
      <c r="AN343" s="367"/>
      <c r="AO343" s="367"/>
      <c r="AP343" s="367"/>
      <c r="AQ343" s="367"/>
      <c r="AR343" s="367"/>
      <c r="AS343" s="367"/>
      <c r="AT343" s="368"/>
      <c r="AU343" s="367"/>
    </row>
    <row r="344" spans="1:47" ht="12.75">
      <c r="A344" s="367"/>
      <c r="B344" s="367"/>
      <c r="C344" s="367"/>
      <c r="D344" s="367"/>
      <c r="E344" s="367"/>
      <c r="F344" s="367"/>
      <c r="G344" s="367"/>
      <c r="H344" s="367"/>
      <c r="I344" s="367"/>
      <c r="J344" s="367"/>
      <c r="K344" s="367"/>
      <c r="L344" s="367"/>
      <c r="M344" s="367"/>
      <c r="N344" s="367"/>
      <c r="O344" s="367"/>
      <c r="P344" s="364"/>
      <c r="Q344" s="365"/>
      <c r="R344" s="365"/>
      <c r="S344" s="365"/>
      <c r="T344" s="365"/>
      <c r="U344" s="366"/>
      <c r="V344" s="367"/>
      <c r="W344" s="367"/>
      <c r="X344" s="367"/>
      <c r="Y344" s="367"/>
      <c r="Z344" s="367"/>
      <c r="AA344" s="367"/>
      <c r="AB344" s="367"/>
      <c r="AC344" s="367"/>
      <c r="AD344" s="367"/>
      <c r="AE344" s="367"/>
      <c r="AF344" s="367"/>
      <c r="AG344" s="367"/>
      <c r="AH344" s="367"/>
      <c r="AI344" s="367"/>
      <c r="AJ344" s="367"/>
      <c r="AK344" s="367"/>
      <c r="AL344" s="367"/>
      <c r="AM344" s="367"/>
      <c r="AN344" s="367"/>
      <c r="AO344" s="367"/>
      <c r="AP344" s="367"/>
      <c r="AQ344" s="367"/>
      <c r="AR344" s="367"/>
      <c r="AS344" s="367"/>
      <c r="AT344" s="368"/>
      <c r="AU344" s="367"/>
    </row>
    <row r="345" spans="1:47" ht="12.75">
      <c r="A345" s="367"/>
      <c r="B345" s="367"/>
      <c r="C345" s="367"/>
      <c r="D345" s="367"/>
      <c r="E345" s="367"/>
      <c r="F345" s="367"/>
      <c r="G345" s="367"/>
      <c r="H345" s="367"/>
      <c r="I345" s="367"/>
      <c r="J345" s="367"/>
      <c r="K345" s="367"/>
      <c r="L345" s="367"/>
      <c r="M345" s="367"/>
      <c r="N345" s="367"/>
      <c r="O345" s="367"/>
      <c r="P345" s="364"/>
      <c r="Q345" s="365"/>
      <c r="R345" s="365"/>
      <c r="S345" s="365"/>
      <c r="T345" s="365"/>
      <c r="U345" s="366"/>
      <c r="V345" s="367"/>
      <c r="W345" s="367"/>
      <c r="X345" s="367"/>
      <c r="Y345" s="367"/>
      <c r="Z345" s="367"/>
      <c r="AA345" s="367"/>
      <c r="AB345" s="367"/>
      <c r="AC345" s="367"/>
      <c r="AD345" s="367"/>
      <c r="AE345" s="367"/>
      <c r="AF345" s="367"/>
      <c r="AG345" s="367"/>
      <c r="AH345" s="367"/>
      <c r="AI345" s="367"/>
      <c r="AJ345" s="367"/>
      <c r="AK345" s="367"/>
      <c r="AL345" s="367"/>
      <c r="AM345" s="367"/>
      <c r="AN345" s="367"/>
      <c r="AO345" s="367"/>
      <c r="AP345" s="367"/>
      <c r="AQ345" s="367"/>
      <c r="AR345" s="367"/>
      <c r="AS345" s="367"/>
      <c r="AT345" s="368"/>
      <c r="AU345" s="367"/>
    </row>
    <row r="346" spans="1:47" ht="12.75">
      <c r="A346" s="367"/>
      <c r="B346" s="367"/>
      <c r="C346" s="367"/>
      <c r="D346" s="367"/>
      <c r="E346" s="367"/>
      <c r="F346" s="367"/>
      <c r="G346" s="367"/>
      <c r="H346" s="367"/>
      <c r="I346" s="367"/>
      <c r="J346" s="367"/>
      <c r="K346" s="367"/>
      <c r="L346" s="367"/>
      <c r="M346" s="367"/>
      <c r="N346" s="367"/>
      <c r="O346" s="367"/>
      <c r="P346" s="364"/>
      <c r="Q346" s="365"/>
      <c r="R346" s="365"/>
      <c r="S346" s="365"/>
      <c r="T346" s="365"/>
      <c r="U346" s="366"/>
      <c r="V346" s="367"/>
      <c r="W346" s="367"/>
      <c r="X346" s="367"/>
      <c r="Y346" s="367"/>
      <c r="Z346" s="367"/>
      <c r="AA346" s="367"/>
      <c r="AB346" s="367"/>
      <c r="AC346" s="367"/>
      <c r="AD346" s="367"/>
      <c r="AE346" s="367"/>
      <c r="AF346" s="367"/>
      <c r="AG346" s="367"/>
      <c r="AH346" s="367"/>
      <c r="AI346" s="367"/>
      <c r="AJ346" s="367"/>
      <c r="AK346" s="367"/>
      <c r="AL346" s="367"/>
      <c r="AM346" s="367"/>
      <c r="AN346" s="367"/>
      <c r="AO346" s="367"/>
      <c r="AP346" s="367"/>
      <c r="AQ346" s="367"/>
      <c r="AR346" s="367"/>
      <c r="AS346" s="367"/>
      <c r="AT346" s="368"/>
      <c r="AU346" s="367"/>
    </row>
    <row r="347" spans="1:47" ht="12.75">
      <c r="A347" s="367"/>
      <c r="B347" s="367"/>
      <c r="C347" s="367"/>
      <c r="D347" s="367"/>
      <c r="E347" s="367"/>
      <c r="F347" s="367"/>
      <c r="G347" s="367"/>
      <c r="H347" s="367"/>
      <c r="I347" s="367"/>
      <c r="J347" s="367"/>
      <c r="K347" s="367"/>
      <c r="L347" s="367"/>
      <c r="M347" s="367"/>
      <c r="N347" s="367"/>
      <c r="O347" s="367"/>
      <c r="P347" s="364"/>
      <c r="Q347" s="365"/>
      <c r="R347" s="365"/>
      <c r="S347" s="365"/>
      <c r="T347" s="365"/>
      <c r="U347" s="366"/>
      <c r="V347" s="367"/>
      <c r="W347" s="367"/>
      <c r="X347" s="367"/>
      <c r="Y347" s="367"/>
      <c r="Z347" s="367"/>
      <c r="AA347" s="367"/>
      <c r="AB347" s="367"/>
      <c r="AC347" s="367"/>
      <c r="AD347" s="367"/>
      <c r="AE347" s="367"/>
      <c r="AF347" s="367"/>
      <c r="AG347" s="367"/>
      <c r="AH347" s="367"/>
      <c r="AI347" s="367"/>
      <c r="AJ347" s="367"/>
      <c r="AK347" s="367"/>
      <c r="AL347" s="367"/>
      <c r="AM347" s="367"/>
      <c r="AN347" s="367"/>
      <c r="AO347" s="367"/>
      <c r="AP347" s="367"/>
      <c r="AQ347" s="367"/>
      <c r="AR347" s="367"/>
      <c r="AS347" s="367"/>
      <c r="AT347" s="368"/>
      <c r="AU347" s="367"/>
    </row>
    <row r="348" spans="1:47" ht="12.75">
      <c r="A348" s="367"/>
      <c r="B348" s="367"/>
      <c r="C348" s="367"/>
      <c r="D348" s="367"/>
      <c r="E348" s="367"/>
      <c r="F348" s="367"/>
      <c r="G348" s="367"/>
      <c r="H348" s="367"/>
      <c r="I348" s="367"/>
      <c r="J348" s="367"/>
      <c r="K348" s="367"/>
      <c r="L348" s="367"/>
      <c r="M348" s="367"/>
      <c r="N348" s="367"/>
      <c r="O348" s="367"/>
      <c r="P348" s="364"/>
      <c r="Q348" s="365"/>
      <c r="R348" s="365"/>
      <c r="S348" s="365"/>
      <c r="T348" s="365"/>
      <c r="U348" s="366"/>
      <c r="V348" s="367"/>
      <c r="W348" s="367"/>
      <c r="X348" s="367"/>
      <c r="Y348" s="367"/>
      <c r="Z348" s="367"/>
      <c r="AA348" s="367"/>
      <c r="AB348" s="367"/>
      <c r="AC348" s="367"/>
      <c r="AD348" s="367"/>
      <c r="AE348" s="367"/>
      <c r="AF348" s="367"/>
      <c r="AG348" s="367"/>
      <c r="AH348" s="367"/>
      <c r="AI348" s="367"/>
      <c r="AJ348" s="367"/>
      <c r="AK348" s="367"/>
      <c r="AL348" s="367"/>
      <c r="AM348" s="367"/>
      <c r="AN348" s="367"/>
      <c r="AO348" s="367"/>
      <c r="AP348" s="367"/>
      <c r="AQ348" s="367"/>
      <c r="AR348" s="367"/>
      <c r="AS348" s="367"/>
      <c r="AT348" s="368"/>
      <c r="AU348" s="367"/>
    </row>
    <row r="349" spans="1:47" ht="12.75">
      <c r="A349" s="367"/>
      <c r="B349" s="367"/>
      <c r="C349" s="367"/>
      <c r="D349" s="367"/>
      <c r="E349" s="367"/>
      <c r="F349" s="367"/>
      <c r="G349" s="367"/>
      <c r="H349" s="367"/>
      <c r="I349" s="367"/>
      <c r="J349" s="367"/>
      <c r="K349" s="367"/>
      <c r="L349" s="367"/>
      <c r="M349" s="367"/>
      <c r="N349" s="367"/>
      <c r="O349" s="367"/>
      <c r="P349" s="364"/>
      <c r="Q349" s="365"/>
      <c r="R349" s="365"/>
      <c r="S349" s="365"/>
      <c r="T349" s="365"/>
      <c r="U349" s="366"/>
      <c r="V349" s="367"/>
      <c r="W349" s="367"/>
      <c r="X349" s="367"/>
      <c r="Y349" s="367"/>
      <c r="Z349" s="367"/>
      <c r="AA349" s="367"/>
      <c r="AB349" s="367"/>
      <c r="AC349" s="367"/>
      <c r="AD349" s="367"/>
      <c r="AE349" s="367"/>
      <c r="AF349" s="367"/>
      <c r="AG349" s="367"/>
      <c r="AH349" s="367"/>
      <c r="AI349" s="367"/>
      <c r="AJ349" s="367"/>
      <c r="AK349" s="367"/>
      <c r="AL349" s="367"/>
      <c r="AM349" s="367"/>
      <c r="AN349" s="367"/>
      <c r="AO349" s="367"/>
      <c r="AP349" s="367"/>
      <c r="AQ349" s="367"/>
      <c r="AR349" s="367"/>
      <c r="AS349" s="367"/>
      <c r="AT349" s="368"/>
      <c r="AU349" s="367"/>
    </row>
    <row r="350" spans="1:47" ht="12.75">
      <c r="A350" s="367"/>
      <c r="B350" s="367"/>
      <c r="C350" s="367"/>
      <c r="D350" s="367"/>
      <c r="E350" s="367"/>
      <c r="F350" s="367"/>
      <c r="G350" s="367"/>
      <c r="H350" s="367"/>
      <c r="I350" s="367"/>
      <c r="J350" s="367"/>
      <c r="K350" s="367"/>
      <c r="L350" s="367"/>
      <c r="M350" s="367"/>
      <c r="N350" s="367"/>
      <c r="O350" s="367"/>
      <c r="P350" s="364"/>
      <c r="Q350" s="365"/>
      <c r="R350" s="365"/>
      <c r="S350" s="365"/>
      <c r="T350" s="365"/>
      <c r="U350" s="366"/>
      <c r="V350" s="367"/>
      <c r="W350" s="367"/>
      <c r="X350" s="367"/>
      <c r="Y350" s="367"/>
      <c r="Z350" s="367"/>
      <c r="AA350" s="367"/>
      <c r="AB350" s="367"/>
      <c r="AC350" s="367"/>
      <c r="AD350" s="367"/>
      <c r="AE350" s="367"/>
      <c r="AF350" s="367"/>
      <c r="AG350" s="367"/>
      <c r="AH350" s="367"/>
      <c r="AI350" s="367"/>
      <c r="AJ350" s="367"/>
      <c r="AK350" s="367"/>
      <c r="AL350" s="367"/>
      <c r="AM350" s="367"/>
      <c r="AN350" s="367"/>
      <c r="AO350" s="367"/>
      <c r="AP350" s="367"/>
      <c r="AQ350" s="367"/>
      <c r="AR350" s="367"/>
      <c r="AS350" s="367"/>
      <c r="AT350" s="368"/>
      <c r="AU350" s="367"/>
    </row>
    <row r="351" spans="1:47" ht="12.75">
      <c r="A351" s="367"/>
      <c r="B351" s="367"/>
      <c r="C351" s="367"/>
      <c r="D351" s="367"/>
      <c r="E351" s="367"/>
      <c r="F351" s="367"/>
      <c r="G351" s="367"/>
      <c r="H351" s="367"/>
      <c r="I351" s="367"/>
      <c r="J351" s="367"/>
      <c r="K351" s="367"/>
      <c r="L351" s="367"/>
      <c r="M351" s="367"/>
      <c r="N351" s="367"/>
      <c r="O351" s="367"/>
      <c r="P351" s="364"/>
      <c r="Q351" s="365"/>
      <c r="R351" s="365"/>
      <c r="S351" s="365"/>
      <c r="T351" s="365"/>
      <c r="U351" s="366"/>
      <c r="V351" s="367"/>
      <c r="W351" s="367"/>
      <c r="X351" s="367"/>
      <c r="Y351" s="367"/>
      <c r="Z351" s="367"/>
      <c r="AA351" s="367"/>
      <c r="AB351" s="367"/>
      <c r="AC351" s="367"/>
      <c r="AD351" s="367"/>
      <c r="AE351" s="367"/>
      <c r="AF351" s="367"/>
      <c r="AG351" s="367"/>
      <c r="AH351" s="367"/>
      <c r="AI351" s="367"/>
      <c r="AJ351" s="367"/>
      <c r="AK351" s="367"/>
      <c r="AL351" s="367"/>
      <c r="AM351" s="367"/>
      <c r="AN351" s="367"/>
      <c r="AO351" s="367"/>
      <c r="AP351" s="367"/>
      <c r="AQ351" s="367"/>
      <c r="AR351" s="367"/>
      <c r="AS351" s="367"/>
      <c r="AT351" s="368"/>
      <c r="AU351" s="367"/>
    </row>
    <row r="352" spans="1:47" ht="12.75">
      <c r="A352" s="367"/>
      <c r="B352" s="367"/>
      <c r="C352" s="367"/>
      <c r="D352" s="367"/>
      <c r="E352" s="367"/>
      <c r="F352" s="367"/>
      <c r="G352" s="367"/>
      <c r="H352" s="367"/>
      <c r="I352" s="367"/>
      <c r="J352" s="367"/>
      <c r="K352" s="367"/>
      <c r="L352" s="367"/>
      <c r="M352" s="367"/>
      <c r="N352" s="367"/>
      <c r="O352" s="367"/>
      <c r="P352" s="364"/>
      <c r="Q352" s="365"/>
      <c r="R352" s="365"/>
      <c r="S352" s="365"/>
      <c r="T352" s="365"/>
      <c r="U352" s="366"/>
      <c r="V352" s="367"/>
      <c r="W352" s="367"/>
      <c r="X352" s="367"/>
      <c r="Y352" s="367"/>
      <c r="Z352" s="367"/>
      <c r="AA352" s="367"/>
      <c r="AB352" s="367"/>
      <c r="AC352" s="367"/>
      <c r="AD352" s="367"/>
      <c r="AE352" s="367"/>
      <c r="AF352" s="367"/>
      <c r="AG352" s="367"/>
      <c r="AH352" s="367"/>
      <c r="AI352" s="367"/>
      <c r="AJ352" s="367"/>
      <c r="AK352" s="367"/>
      <c r="AL352" s="367"/>
      <c r="AM352" s="367"/>
      <c r="AN352" s="367"/>
      <c r="AO352" s="367"/>
      <c r="AP352" s="367"/>
      <c r="AQ352" s="367"/>
      <c r="AR352" s="367"/>
      <c r="AS352" s="367"/>
      <c r="AT352" s="368"/>
      <c r="AU352" s="367"/>
    </row>
    <row r="353" spans="1:47" ht="12.75">
      <c r="A353" s="367"/>
      <c r="B353" s="367"/>
      <c r="C353" s="367"/>
      <c r="D353" s="367"/>
      <c r="E353" s="367"/>
      <c r="F353" s="367"/>
      <c r="G353" s="367"/>
      <c r="H353" s="367"/>
      <c r="I353" s="367"/>
      <c r="J353" s="367"/>
      <c r="K353" s="367"/>
      <c r="L353" s="367"/>
      <c r="M353" s="367"/>
      <c r="N353" s="367"/>
      <c r="O353" s="367"/>
      <c r="P353" s="364"/>
      <c r="Q353" s="365"/>
      <c r="R353" s="365"/>
      <c r="S353" s="365"/>
      <c r="T353" s="365"/>
      <c r="U353" s="366"/>
      <c r="V353" s="367"/>
      <c r="W353" s="367"/>
      <c r="X353" s="367"/>
      <c r="Y353" s="367"/>
      <c r="Z353" s="367"/>
      <c r="AA353" s="367"/>
      <c r="AB353" s="367"/>
      <c r="AC353" s="367"/>
      <c r="AD353" s="367"/>
      <c r="AE353" s="367"/>
      <c r="AF353" s="367"/>
      <c r="AG353" s="367"/>
      <c r="AH353" s="367"/>
      <c r="AI353" s="367"/>
      <c r="AJ353" s="367"/>
      <c r="AK353" s="367"/>
      <c r="AL353" s="367"/>
      <c r="AM353" s="367"/>
      <c r="AN353" s="367"/>
      <c r="AO353" s="367"/>
      <c r="AP353" s="367"/>
      <c r="AQ353" s="367"/>
      <c r="AR353" s="367"/>
      <c r="AS353" s="367"/>
      <c r="AT353" s="368"/>
      <c r="AU353" s="367"/>
    </row>
    <row r="354" spans="1:47" ht="12.75">
      <c r="A354" s="367"/>
      <c r="B354" s="367"/>
      <c r="C354" s="367"/>
      <c r="D354" s="367"/>
      <c r="E354" s="367"/>
      <c r="F354" s="367"/>
      <c r="G354" s="367"/>
      <c r="H354" s="367"/>
      <c r="I354" s="367"/>
      <c r="J354" s="367"/>
      <c r="K354" s="367"/>
      <c r="L354" s="367"/>
      <c r="M354" s="367"/>
      <c r="N354" s="367"/>
      <c r="O354" s="367"/>
      <c r="P354" s="364"/>
      <c r="Q354" s="365"/>
      <c r="R354" s="365"/>
      <c r="S354" s="365"/>
      <c r="T354" s="365"/>
      <c r="U354" s="366"/>
      <c r="V354" s="367"/>
      <c r="W354" s="367"/>
      <c r="X354" s="367"/>
      <c r="Y354" s="367"/>
      <c r="Z354" s="367"/>
      <c r="AA354" s="367"/>
      <c r="AB354" s="367"/>
      <c r="AC354" s="367"/>
      <c r="AD354" s="367"/>
      <c r="AE354" s="367"/>
      <c r="AF354" s="367"/>
      <c r="AG354" s="367"/>
      <c r="AH354" s="367"/>
      <c r="AI354" s="367"/>
      <c r="AJ354" s="367"/>
      <c r="AK354" s="367"/>
      <c r="AL354" s="367"/>
      <c r="AM354" s="367"/>
      <c r="AN354" s="367"/>
      <c r="AO354" s="367"/>
      <c r="AP354" s="367"/>
      <c r="AQ354" s="367"/>
      <c r="AR354" s="367"/>
      <c r="AS354" s="367"/>
      <c r="AT354" s="368"/>
      <c r="AU354" s="367"/>
    </row>
    <row r="355" spans="1:47" ht="12.75">
      <c r="A355" s="367"/>
      <c r="B355" s="367"/>
      <c r="C355" s="367"/>
      <c r="D355" s="367"/>
      <c r="E355" s="367"/>
      <c r="F355" s="367"/>
      <c r="G355" s="367"/>
      <c r="H355" s="367"/>
      <c r="I355" s="367"/>
      <c r="J355" s="367"/>
      <c r="K355" s="367"/>
      <c r="L355" s="367"/>
      <c r="M355" s="367"/>
      <c r="N355" s="367"/>
      <c r="O355" s="367"/>
      <c r="P355" s="364"/>
      <c r="Q355" s="365"/>
      <c r="R355" s="365"/>
      <c r="S355" s="365"/>
      <c r="T355" s="365"/>
      <c r="U355" s="366"/>
      <c r="V355" s="367"/>
      <c r="W355" s="367"/>
      <c r="X355" s="367"/>
      <c r="Y355" s="367"/>
      <c r="Z355" s="367"/>
      <c r="AA355" s="367"/>
      <c r="AB355" s="367"/>
      <c r="AC355" s="367"/>
      <c r="AD355" s="367"/>
      <c r="AE355" s="367"/>
      <c r="AF355" s="367"/>
      <c r="AG355" s="367"/>
      <c r="AH355" s="367"/>
      <c r="AI355" s="367"/>
      <c r="AJ355" s="367"/>
      <c r="AK355" s="367"/>
      <c r="AL355" s="367"/>
      <c r="AM355" s="367"/>
      <c r="AN355" s="367"/>
      <c r="AO355" s="367"/>
      <c r="AP355" s="367"/>
      <c r="AQ355" s="367"/>
      <c r="AR355" s="367"/>
      <c r="AS355" s="367"/>
      <c r="AT355" s="368"/>
      <c r="AU355" s="367"/>
    </row>
    <row r="356" spans="1:47" ht="12.75">
      <c r="A356" s="367"/>
      <c r="B356" s="367"/>
      <c r="C356" s="367"/>
      <c r="D356" s="367"/>
      <c r="E356" s="367"/>
      <c r="F356" s="367"/>
      <c r="G356" s="367"/>
      <c r="H356" s="367"/>
      <c r="I356" s="367"/>
      <c r="J356" s="367"/>
      <c r="K356" s="367"/>
      <c r="L356" s="367"/>
      <c r="M356" s="367"/>
      <c r="N356" s="367"/>
      <c r="O356" s="367"/>
      <c r="P356" s="364"/>
      <c r="Q356" s="365"/>
      <c r="R356" s="365"/>
      <c r="S356" s="365"/>
      <c r="T356" s="365"/>
      <c r="U356" s="366"/>
      <c r="V356" s="367"/>
      <c r="W356" s="367"/>
      <c r="X356" s="367"/>
      <c r="Y356" s="367"/>
      <c r="Z356" s="367"/>
      <c r="AA356" s="367"/>
      <c r="AB356" s="367"/>
      <c r="AC356" s="367"/>
      <c r="AD356" s="367"/>
      <c r="AE356" s="367"/>
      <c r="AF356" s="367"/>
      <c r="AG356" s="367"/>
      <c r="AH356" s="367"/>
      <c r="AI356" s="367"/>
      <c r="AJ356" s="367"/>
      <c r="AK356" s="367"/>
      <c r="AL356" s="367"/>
      <c r="AM356" s="367"/>
      <c r="AN356" s="367"/>
      <c r="AO356" s="367"/>
      <c r="AP356" s="367"/>
      <c r="AQ356" s="367"/>
      <c r="AR356" s="367"/>
      <c r="AS356" s="367"/>
      <c r="AT356" s="368"/>
      <c r="AU356" s="367"/>
    </row>
    <row r="357" spans="1:47" ht="12.75">
      <c r="A357" s="367"/>
      <c r="B357" s="367"/>
      <c r="C357" s="367"/>
      <c r="D357" s="367"/>
      <c r="E357" s="367"/>
      <c r="F357" s="367"/>
      <c r="G357" s="367"/>
      <c r="H357" s="367"/>
      <c r="I357" s="367"/>
      <c r="J357" s="367"/>
      <c r="K357" s="367"/>
      <c r="L357" s="367"/>
      <c r="M357" s="367"/>
      <c r="N357" s="367"/>
      <c r="O357" s="367"/>
      <c r="P357" s="364"/>
      <c r="Q357" s="365"/>
      <c r="R357" s="365"/>
      <c r="S357" s="365"/>
      <c r="T357" s="365"/>
      <c r="U357" s="366"/>
      <c r="V357" s="367"/>
      <c r="W357" s="367"/>
      <c r="X357" s="367"/>
      <c r="Y357" s="367"/>
      <c r="Z357" s="367"/>
      <c r="AA357" s="367"/>
      <c r="AB357" s="367"/>
      <c r="AC357" s="367"/>
      <c r="AD357" s="367"/>
      <c r="AE357" s="367"/>
      <c r="AF357" s="367"/>
      <c r="AG357" s="367"/>
      <c r="AH357" s="367"/>
      <c r="AI357" s="367"/>
      <c r="AJ357" s="367"/>
      <c r="AK357" s="367"/>
      <c r="AL357" s="367"/>
      <c r="AM357" s="367"/>
      <c r="AN357" s="367"/>
      <c r="AO357" s="367"/>
      <c r="AP357" s="367"/>
      <c r="AQ357" s="367"/>
      <c r="AR357" s="367"/>
      <c r="AS357" s="367"/>
      <c r="AT357" s="368"/>
      <c r="AU357" s="367"/>
    </row>
    <row r="358" spans="1:47" ht="12.75">
      <c r="A358" s="367"/>
      <c r="B358" s="367"/>
      <c r="C358" s="367"/>
      <c r="D358" s="367"/>
      <c r="E358" s="367"/>
      <c r="F358" s="367"/>
      <c r="G358" s="367"/>
      <c r="H358" s="367"/>
      <c r="I358" s="367"/>
      <c r="J358" s="367"/>
      <c r="K358" s="367"/>
      <c r="L358" s="367"/>
      <c r="M358" s="367"/>
      <c r="N358" s="367"/>
      <c r="O358" s="367"/>
      <c r="P358" s="364"/>
      <c r="Q358" s="365"/>
      <c r="R358" s="365"/>
      <c r="S358" s="365"/>
      <c r="T358" s="365"/>
      <c r="U358" s="366"/>
      <c r="V358" s="367"/>
      <c r="W358" s="367"/>
      <c r="X358" s="367"/>
      <c r="Y358" s="367"/>
      <c r="Z358" s="367"/>
      <c r="AA358" s="367"/>
      <c r="AB358" s="367"/>
      <c r="AC358" s="367"/>
      <c r="AD358" s="367"/>
      <c r="AE358" s="367"/>
      <c r="AF358" s="367"/>
      <c r="AG358" s="367"/>
      <c r="AH358" s="367"/>
      <c r="AI358" s="367"/>
      <c r="AJ358" s="367"/>
      <c r="AK358" s="367"/>
      <c r="AL358" s="367"/>
      <c r="AM358" s="367"/>
      <c r="AN358" s="367"/>
      <c r="AO358" s="367"/>
      <c r="AP358" s="367"/>
      <c r="AQ358" s="367"/>
      <c r="AR358" s="367"/>
      <c r="AS358" s="367"/>
      <c r="AT358" s="368"/>
      <c r="AU358" s="367"/>
    </row>
    <row r="359" spans="1:47" ht="12.75">
      <c r="A359" s="367"/>
      <c r="B359" s="367"/>
      <c r="C359" s="367"/>
      <c r="D359" s="367"/>
      <c r="E359" s="367"/>
      <c r="F359" s="367"/>
      <c r="G359" s="367"/>
      <c r="H359" s="367"/>
      <c r="I359" s="367"/>
      <c r="J359" s="367"/>
      <c r="K359" s="367"/>
      <c r="L359" s="367"/>
      <c r="M359" s="367"/>
      <c r="N359" s="367"/>
      <c r="O359" s="367"/>
      <c r="P359" s="364"/>
      <c r="Q359" s="365"/>
      <c r="R359" s="365"/>
      <c r="S359" s="365"/>
      <c r="T359" s="365"/>
      <c r="U359" s="366"/>
      <c r="V359" s="367"/>
      <c r="W359" s="367"/>
      <c r="X359" s="367"/>
      <c r="Y359" s="367"/>
      <c r="Z359" s="367"/>
      <c r="AA359" s="367"/>
      <c r="AB359" s="367"/>
      <c r="AC359" s="367"/>
      <c r="AD359" s="367"/>
      <c r="AE359" s="367"/>
      <c r="AF359" s="367"/>
      <c r="AG359" s="367"/>
      <c r="AH359" s="367"/>
      <c r="AI359" s="367"/>
      <c r="AJ359" s="367"/>
      <c r="AK359" s="367"/>
      <c r="AL359" s="367"/>
      <c r="AM359" s="367"/>
      <c r="AN359" s="367"/>
      <c r="AO359" s="367"/>
      <c r="AP359" s="367"/>
      <c r="AQ359" s="367"/>
      <c r="AR359" s="367"/>
      <c r="AS359" s="367"/>
      <c r="AT359" s="368"/>
      <c r="AU359" s="367"/>
    </row>
    <row r="360" spans="1:47" ht="12.75">
      <c r="A360" s="367"/>
      <c r="B360" s="367"/>
      <c r="C360" s="367"/>
      <c r="D360" s="367"/>
      <c r="E360" s="367"/>
      <c r="F360" s="367"/>
      <c r="G360" s="367"/>
      <c r="H360" s="367"/>
      <c r="I360" s="367"/>
      <c r="J360" s="367"/>
      <c r="K360" s="367"/>
      <c r="L360" s="367"/>
      <c r="M360" s="367"/>
      <c r="N360" s="367"/>
      <c r="O360" s="367"/>
      <c r="P360" s="364"/>
      <c r="Q360" s="365"/>
      <c r="R360" s="365"/>
      <c r="S360" s="365"/>
      <c r="T360" s="365"/>
      <c r="U360" s="366"/>
      <c r="V360" s="367"/>
      <c r="W360" s="367"/>
      <c r="X360" s="367"/>
      <c r="Y360" s="367"/>
      <c r="Z360" s="367"/>
      <c r="AA360" s="367"/>
      <c r="AB360" s="367"/>
      <c r="AC360" s="367"/>
      <c r="AD360" s="367"/>
      <c r="AE360" s="367"/>
      <c r="AF360" s="367"/>
      <c r="AG360" s="367"/>
      <c r="AH360" s="367"/>
      <c r="AI360" s="367"/>
      <c r="AJ360" s="367"/>
      <c r="AK360" s="367"/>
      <c r="AL360" s="367"/>
      <c r="AM360" s="367"/>
      <c r="AN360" s="367"/>
      <c r="AO360" s="367"/>
      <c r="AP360" s="367"/>
      <c r="AQ360" s="367"/>
      <c r="AR360" s="367"/>
      <c r="AS360" s="367"/>
      <c r="AT360" s="368"/>
      <c r="AU360" s="367"/>
    </row>
    <row r="361" spans="1:47" ht="12.75">
      <c r="A361" s="367"/>
      <c r="B361" s="367"/>
      <c r="C361" s="367"/>
      <c r="D361" s="367"/>
      <c r="E361" s="367"/>
      <c r="F361" s="367"/>
      <c r="G361" s="367"/>
      <c r="H361" s="367"/>
      <c r="I361" s="367"/>
      <c r="J361" s="367"/>
      <c r="K361" s="367"/>
      <c r="L361" s="367"/>
      <c r="M361" s="367"/>
      <c r="N361" s="367"/>
      <c r="O361" s="367"/>
      <c r="P361" s="364"/>
      <c r="Q361" s="365"/>
      <c r="R361" s="365"/>
      <c r="S361" s="365"/>
      <c r="T361" s="365"/>
      <c r="U361" s="366"/>
      <c r="V361" s="367"/>
      <c r="W361" s="367"/>
      <c r="X361" s="367"/>
      <c r="Y361" s="367"/>
      <c r="Z361" s="367"/>
      <c r="AA361" s="367"/>
      <c r="AB361" s="367"/>
      <c r="AC361" s="367"/>
      <c r="AD361" s="367"/>
      <c r="AE361" s="367"/>
      <c r="AF361" s="367"/>
      <c r="AG361" s="367"/>
      <c r="AH361" s="367"/>
      <c r="AI361" s="367"/>
      <c r="AJ361" s="367"/>
      <c r="AK361" s="367"/>
      <c r="AL361" s="367"/>
      <c r="AM361" s="367"/>
      <c r="AN361" s="367"/>
      <c r="AO361" s="367"/>
      <c r="AP361" s="367"/>
      <c r="AQ361" s="367"/>
      <c r="AR361" s="367"/>
      <c r="AS361" s="367"/>
      <c r="AT361" s="368"/>
      <c r="AU361" s="367"/>
    </row>
    <row r="362" spans="1:47" ht="12.75">
      <c r="A362" s="367"/>
      <c r="B362" s="367"/>
      <c r="C362" s="367"/>
      <c r="D362" s="367"/>
      <c r="E362" s="367"/>
      <c r="F362" s="367"/>
      <c r="G362" s="367"/>
      <c r="H362" s="367"/>
      <c r="I362" s="367"/>
      <c r="J362" s="367"/>
      <c r="K362" s="367"/>
      <c r="L362" s="367"/>
      <c r="M362" s="367"/>
      <c r="N362" s="367"/>
      <c r="O362" s="367"/>
      <c r="P362" s="364"/>
      <c r="Q362" s="365"/>
      <c r="R362" s="365"/>
      <c r="S362" s="365"/>
      <c r="T362" s="365"/>
      <c r="U362" s="366"/>
      <c r="V362" s="367"/>
      <c r="W362" s="367"/>
      <c r="X362" s="367"/>
      <c r="Y362" s="367"/>
      <c r="Z362" s="367"/>
      <c r="AA362" s="367"/>
      <c r="AB362" s="367"/>
      <c r="AC362" s="367"/>
      <c r="AD362" s="367"/>
      <c r="AE362" s="367"/>
      <c r="AF362" s="367"/>
      <c r="AG362" s="367"/>
      <c r="AH362" s="367"/>
      <c r="AI362" s="367"/>
      <c r="AJ362" s="367"/>
      <c r="AK362" s="367"/>
      <c r="AL362" s="367"/>
      <c r="AM362" s="367"/>
      <c r="AN362" s="367"/>
      <c r="AO362" s="367"/>
      <c r="AP362" s="367"/>
      <c r="AQ362" s="367"/>
      <c r="AR362" s="367"/>
      <c r="AS362" s="367"/>
      <c r="AT362" s="368"/>
      <c r="AU362" s="367"/>
    </row>
    <row r="363" spans="1:47" ht="12.75">
      <c r="A363" s="367"/>
      <c r="B363" s="367"/>
      <c r="C363" s="367"/>
      <c r="D363" s="367"/>
      <c r="E363" s="367"/>
      <c r="F363" s="367"/>
      <c r="G363" s="367"/>
      <c r="H363" s="367"/>
      <c r="I363" s="367"/>
      <c r="J363" s="367"/>
      <c r="K363" s="367"/>
      <c r="L363" s="367"/>
      <c r="M363" s="367"/>
      <c r="N363" s="367"/>
      <c r="O363" s="367"/>
      <c r="P363" s="364"/>
      <c r="Q363" s="365"/>
      <c r="R363" s="365"/>
      <c r="S363" s="365"/>
      <c r="T363" s="365"/>
      <c r="U363" s="366"/>
      <c r="V363" s="367"/>
      <c r="W363" s="367"/>
      <c r="X363" s="367"/>
      <c r="Y363" s="367"/>
      <c r="Z363" s="367"/>
      <c r="AA363" s="367"/>
      <c r="AB363" s="367"/>
      <c r="AC363" s="367"/>
      <c r="AD363" s="367"/>
      <c r="AE363" s="367"/>
      <c r="AF363" s="367"/>
      <c r="AG363" s="367"/>
      <c r="AH363" s="367"/>
      <c r="AI363" s="367"/>
      <c r="AJ363" s="367"/>
      <c r="AK363" s="367"/>
      <c r="AL363" s="367"/>
      <c r="AM363" s="367"/>
      <c r="AN363" s="367"/>
      <c r="AO363" s="367"/>
      <c r="AP363" s="367"/>
      <c r="AQ363" s="367"/>
      <c r="AR363" s="367"/>
      <c r="AS363" s="367"/>
      <c r="AT363" s="368"/>
      <c r="AU363" s="367"/>
    </row>
    <row r="364" spans="1:47" ht="12.75">
      <c r="A364" s="367"/>
      <c r="B364" s="367"/>
      <c r="C364" s="367"/>
      <c r="D364" s="367"/>
      <c r="E364" s="367"/>
      <c r="F364" s="367"/>
      <c r="G364" s="367"/>
      <c r="H364" s="367"/>
      <c r="I364" s="367"/>
      <c r="J364" s="367"/>
      <c r="K364" s="367"/>
      <c r="L364" s="367"/>
      <c r="M364" s="367"/>
      <c r="N364" s="367"/>
      <c r="O364" s="367"/>
      <c r="P364" s="364"/>
      <c r="Q364" s="365"/>
      <c r="R364" s="365"/>
      <c r="S364" s="365"/>
      <c r="T364" s="365"/>
      <c r="U364" s="366"/>
      <c r="V364" s="367"/>
      <c r="W364" s="367"/>
      <c r="X364" s="367"/>
      <c r="Y364" s="367"/>
      <c r="Z364" s="367"/>
      <c r="AA364" s="367"/>
      <c r="AB364" s="367"/>
      <c r="AC364" s="367"/>
      <c r="AD364" s="367"/>
      <c r="AE364" s="367"/>
      <c r="AF364" s="367"/>
      <c r="AG364" s="367"/>
      <c r="AH364" s="367"/>
      <c r="AI364" s="367"/>
      <c r="AJ364" s="367"/>
      <c r="AK364" s="367"/>
      <c r="AL364" s="367"/>
      <c r="AM364" s="367"/>
      <c r="AN364" s="367"/>
      <c r="AO364" s="367"/>
      <c r="AP364" s="367"/>
      <c r="AQ364" s="367"/>
      <c r="AR364" s="367"/>
      <c r="AS364" s="367"/>
      <c r="AT364" s="368"/>
      <c r="AU364" s="367"/>
    </row>
    <row r="365" spans="1:47" ht="12.75">
      <c r="A365" s="367"/>
      <c r="B365" s="367"/>
      <c r="C365" s="367"/>
      <c r="D365" s="367"/>
      <c r="E365" s="367"/>
      <c r="F365" s="367"/>
      <c r="G365" s="367"/>
      <c r="H365" s="367"/>
      <c r="I365" s="367"/>
      <c r="J365" s="367"/>
      <c r="K365" s="367"/>
      <c r="L365" s="367"/>
      <c r="M365" s="367"/>
      <c r="N365" s="367"/>
      <c r="O365" s="367"/>
      <c r="P365" s="364"/>
      <c r="Q365" s="365"/>
      <c r="R365" s="365"/>
      <c r="S365" s="365"/>
      <c r="T365" s="365"/>
      <c r="U365" s="366"/>
      <c r="V365" s="367"/>
      <c r="W365" s="367"/>
      <c r="X365" s="367"/>
      <c r="Y365" s="367"/>
      <c r="Z365" s="367"/>
      <c r="AA365" s="367"/>
      <c r="AB365" s="367"/>
      <c r="AC365" s="367"/>
      <c r="AD365" s="367"/>
      <c r="AE365" s="367"/>
      <c r="AF365" s="367"/>
      <c r="AG365" s="367"/>
      <c r="AH365" s="367"/>
      <c r="AI365" s="367"/>
      <c r="AJ365" s="367"/>
      <c r="AK365" s="367"/>
      <c r="AL365" s="367"/>
      <c r="AM365" s="367"/>
      <c r="AN365" s="367"/>
      <c r="AO365" s="367"/>
      <c r="AP365" s="367"/>
      <c r="AQ365" s="367"/>
      <c r="AR365" s="367"/>
      <c r="AS365" s="367"/>
      <c r="AT365" s="368"/>
      <c r="AU365" s="367"/>
    </row>
    <row r="366" spans="1:47" ht="12.75">
      <c r="A366" s="367"/>
      <c r="B366" s="367"/>
      <c r="C366" s="367"/>
      <c r="D366" s="367"/>
      <c r="E366" s="367"/>
      <c r="F366" s="367"/>
      <c r="G366" s="367"/>
      <c r="H366" s="367"/>
      <c r="I366" s="367"/>
      <c r="J366" s="367"/>
      <c r="K366" s="367"/>
      <c r="L366" s="367"/>
      <c r="M366" s="367"/>
      <c r="N366" s="367"/>
      <c r="O366" s="367"/>
      <c r="P366" s="364"/>
      <c r="Q366" s="365"/>
      <c r="R366" s="365"/>
      <c r="S366" s="365"/>
      <c r="T366" s="365"/>
      <c r="U366" s="366"/>
      <c r="V366" s="367"/>
      <c r="W366" s="367"/>
      <c r="X366" s="367"/>
      <c r="Y366" s="367"/>
      <c r="Z366" s="367"/>
      <c r="AA366" s="367"/>
      <c r="AB366" s="367"/>
      <c r="AC366" s="367"/>
      <c r="AD366" s="367"/>
      <c r="AE366" s="367"/>
      <c r="AF366" s="367"/>
      <c r="AG366" s="367"/>
      <c r="AH366" s="367"/>
      <c r="AI366" s="367"/>
      <c r="AJ366" s="367"/>
      <c r="AK366" s="367"/>
      <c r="AL366" s="367"/>
      <c r="AM366" s="367"/>
      <c r="AN366" s="367"/>
      <c r="AO366" s="367"/>
      <c r="AP366" s="367"/>
      <c r="AQ366" s="367"/>
      <c r="AR366" s="367"/>
      <c r="AS366" s="367"/>
      <c r="AT366" s="368"/>
      <c r="AU366" s="367"/>
    </row>
    <row r="367" spans="1:47" ht="12.75">
      <c r="A367" s="367"/>
      <c r="B367" s="367"/>
      <c r="C367" s="367"/>
      <c r="D367" s="367"/>
      <c r="E367" s="367"/>
      <c r="F367" s="367"/>
      <c r="G367" s="367"/>
      <c r="H367" s="367"/>
      <c r="I367" s="367"/>
      <c r="J367" s="367"/>
      <c r="K367" s="367"/>
      <c r="L367" s="367"/>
      <c r="M367" s="367"/>
      <c r="N367" s="367"/>
      <c r="O367" s="367"/>
      <c r="P367" s="364"/>
      <c r="Q367" s="365"/>
      <c r="R367" s="365"/>
      <c r="S367" s="365"/>
      <c r="T367" s="365"/>
      <c r="U367" s="366"/>
      <c r="V367" s="367"/>
      <c r="W367" s="367"/>
      <c r="X367" s="367"/>
      <c r="Y367" s="367"/>
      <c r="Z367" s="367"/>
      <c r="AA367" s="367"/>
      <c r="AB367" s="367"/>
      <c r="AC367" s="367"/>
      <c r="AD367" s="367"/>
      <c r="AE367" s="367"/>
      <c r="AF367" s="367"/>
      <c r="AG367" s="367"/>
      <c r="AH367" s="367"/>
      <c r="AI367" s="367"/>
      <c r="AJ367" s="367"/>
      <c r="AK367" s="367"/>
      <c r="AL367" s="367"/>
      <c r="AM367" s="367"/>
      <c r="AN367" s="367"/>
      <c r="AO367" s="367"/>
      <c r="AP367" s="367"/>
      <c r="AQ367" s="367"/>
      <c r="AR367" s="367"/>
      <c r="AS367" s="367"/>
      <c r="AT367" s="368"/>
      <c r="AU367" s="367"/>
    </row>
    <row r="368" spans="1:47" ht="12.75">
      <c r="A368" s="367"/>
      <c r="B368" s="367"/>
      <c r="C368" s="367"/>
      <c r="D368" s="367"/>
      <c r="E368" s="367"/>
      <c r="F368" s="367"/>
      <c r="G368" s="367"/>
      <c r="H368" s="367"/>
      <c r="I368" s="367"/>
      <c r="J368" s="367"/>
      <c r="K368" s="367"/>
      <c r="L368" s="367"/>
      <c r="M368" s="367"/>
      <c r="N368" s="367"/>
      <c r="O368" s="367"/>
      <c r="P368" s="364"/>
      <c r="Q368" s="365"/>
      <c r="R368" s="365"/>
      <c r="S368" s="365"/>
      <c r="T368" s="365"/>
      <c r="U368" s="366"/>
      <c r="V368" s="367"/>
      <c r="W368" s="367"/>
      <c r="X368" s="367"/>
      <c r="Y368" s="367"/>
      <c r="Z368" s="367"/>
      <c r="AA368" s="367"/>
      <c r="AB368" s="367"/>
      <c r="AC368" s="367"/>
      <c r="AD368" s="367"/>
      <c r="AE368" s="367"/>
      <c r="AF368" s="367"/>
      <c r="AG368" s="367"/>
      <c r="AH368" s="367"/>
      <c r="AI368" s="367"/>
      <c r="AJ368" s="367"/>
      <c r="AK368" s="367"/>
      <c r="AL368" s="367"/>
      <c r="AM368" s="367"/>
      <c r="AN368" s="367"/>
      <c r="AO368" s="367"/>
      <c r="AP368" s="367"/>
      <c r="AQ368" s="367"/>
      <c r="AR368" s="367"/>
      <c r="AS368" s="367"/>
      <c r="AT368" s="368"/>
      <c r="AU368" s="367"/>
    </row>
    <row r="369" spans="1:47" ht="12.75">
      <c r="A369" s="367"/>
      <c r="B369" s="367"/>
      <c r="C369" s="367"/>
      <c r="D369" s="367"/>
      <c r="E369" s="367"/>
      <c r="F369" s="367"/>
      <c r="G369" s="367"/>
      <c r="H369" s="367"/>
      <c r="I369" s="367"/>
      <c r="J369" s="367"/>
      <c r="K369" s="367"/>
      <c r="L369" s="367"/>
      <c r="M369" s="367"/>
      <c r="N369" s="367"/>
      <c r="O369" s="367"/>
      <c r="P369" s="364"/>
      <c r="Q369" s="365"/>
      <c r="R369" s="365"/>
      <c r="S369" s="365"/>
      <c r="T369" s="365"/>
      <c r="U369" s="366"/>
      <c r="V369" s="367"/>
      <c r="W369" s="367"/>
      <c r="X369" s="367"/>
      <c r="Y369" s="367"/>
      <c r="Z369" s="367"/>
      <c r="AA369" s="367"/>
      <c r="AB369" s="367"/>
      <c r="AC369" s="367"/>
      <c r="AD369" s="367"/>
      <c r="AE369" s="367"/>
      <c r="AF369" s="367"/>
      <c r="AG369" s="367"/>
      <c r="AH369" s="367"/>
      <c r="AI369" s="367"/>
      <c r="AJ369" s="367"/>
      <c r="AK369" s="367"/>
      <c r="AL369" s="367"/>
      <c r="AM369" s="367"/>
      <c r="AN369" s="367"/>
      <c r="AO369" s="367"/>
      <c r="AP369" s="367"/>
      <c r="AQ369" s="367"/>
      <c r="AR369" s="367"/>
      <c r="AS369" s="367"/>
      <c r="AT369" s="368"/>
      <c r="AU369" s="367"/>
    </row>
    <row r="370" spans="1:47" ht="12.75">
      <c r="A370" s="367"/>
      <c r="B370" s="367"/>
      <c r="C370" s="367"/>
      <c r="D370" s="367"/>
      <c r="E370" s="367"/>
      <c r="F370" s="367"/>
      <c r="G370" s="367"/>
      <c r="H370" s="367"/>
      <c r="I370" s="367"/>
      <c r="J370" s="367"/>
      <c r="K370" s="367"/>
      <c r="L370" s="367"/>
      <c r="M370" s="367"/>
      <c r="N370" s="367"/>
      <c r="O370" s="367"/>
      <c r="P370" s="364"/>
      <c r="Q370" s="365"/>
      <c r="R370" s="365"/>
      <c r="S370" s="365"/>
      <c r="T370" s="365"/>
      <c r="U370" s="366"/>
      <c r="V370" s="367"/>
      <c r="W370" s="367"/>
      <c r="X370" s="367"/>
      <c r="Y370" s="367"/>
      <c r="Z370" s="367"/>
      <c r="AA370" s="367"/>
      <c r="AB370" s="367"/>
      <c r="AC370" s="367"/>
      <c r="AD370" s="367"/>
      <c r="AE370" s="367"/>
      <c r="AF370" s="367"/>
      <c r="AG370" s="367"/>
      <c r="AH370" s="367"/>
      <c r="AI370" s="367"/>
      <c r="AJ370" s="367"/>
      <c r="AK370" s="367"/>
      <c r="AL370" s="367"/>
      <c r="AM370" s="367"/>
      <c r="AN370" s="367"/>
      <c r="AO370" s="367"/>
      <c r="AP370" s="367"/>
      <c r="AQ370" s="367"/>
      <c r="AR370" s="367"/>
      <c r="AS370" s="367"/>
      <c r="AT370" s="368"/>
      <c r="AU370" s="367"/>
    </row>
    <row r="371" spans="1:47" ht="12.75">
      <c r="A371" s="367"/>
      <c r="B371" s="367"/>
      <c r="C371" s="367"/>
      <c r="D371" s="367"/>
      <c r="E371" s="367"/>
      <c r="F371" s="367"/>
      <c r="G371" s="367"/>
      <c r="H371" s="367"/>
      <c r="I371" s="367"/>
      <c r="J371" s="367"/>
      <c r="K371" s="367"/>
      <c r="L371" s="367"/>
      <c r="M371" s="367"/>
      <c r="N371" s="367"/>
      <c r="O371" s="367"/>
      <c r="P371" s="364"/>
      <c r="Q371" s="365"/>
      <c r="R371" s="365"/>
      <c r="S371" s="365"/>
      <c r="T371" s="365"/>
      <c r="U371" s="366"/>
      <c r="V371" s="367"/>
      <c r="W371" s="367"/>
      <c r="X371" s="367"/>
      <c r="Y371" s="367"/>
      <c r="Z371" s="367"/>
      <c r="AA371" s="367"/>
      <c r="AB371" s="367"/>
      <c r="AC371" s="367"/>
      <c r="AD371" s="367"/>
      <c r="AE371" s="367"/>
      <c r="AF371" s="367"/>
      <c r="AG371" s="367"/>
      <c r="AH371" s="367"/>
      <c r="AI371" s="367"/>
      <c r="AJ371" s="367"/>
      <c r="AK371" s="367"/>
      <c r="AL371" s="367"/>
      <c r="AM371" s="367"/>
      <c r="AN371" s="367"/>
      <c r="AO371" s="367"/>
      <c r="AP371" s="367"/>
      <c r="AQ371" s="367"/>
      <c r="AR371" s="367"/>
      <c r="AS371" s="367"/>
      <c r="AT371" s="368"/>
      <c r="AU371" s="367"/>
    </row>
    <row r="372" spans="1:47" ht="12.75">
      <c r="A372" s="367"/>
      <c r="B372" s="367"/>
      <c r="C372" s="367"/>
      <c r="D372" s="367"/>
      <c r="E372" s="367"/>
      <c r="F372" s="367"/>
      <c r="G372" s="367"/>
      <c r="H372" s="367"/>
      <c r="I372" s="367"/>
      <c r="J372" s="367"/>
      <c r="K372" s="367"/>
      <c r="L372" s="367"/>
      <c r="M372" s="367"/>
      <c r="N372" s="367"/>
      <c r="O372" s="367"/>
      <c r="P372" s="364"/>
      <c r="Q372" s="365"/>
      <c r="R372" s="365"/>
      <c r="S372" s="365"/>
      <c r="T372" s="365"/>
      <c r="U372" s="366"/>
      <c r="V372" s="367"/>
      <c r="W372" s="367"/>
      <c r="X372" s="367"/>
      <c r="Y372" s="367"/>
      <c r="Z372" s="367"/>
      <c r="AA372" s="367"/>
      <c r="AB372" s="367"/>
      <c r="AC372" s="367"/>
      <c r="AD372" s="367"/>
      <c r="AE372" s="367"/>
      <c r="AF372" s="367"/>
      <c r="AG372" s="367"/>
      <c r="AH372" s="367"/>
      <c r="AI372" s="367"/>
      <c r="AJ372" s="367"/>
      <c r="AK372" s="367"/>
      <c r="AL372" s="367"/>
      <c r="AM372" s="367"/>
      <c r="AN372" s="367"/>
      <c r="AO372" s="367"/>
      <c r="AP372" s="367"/>
      <c r="AQ372" s="367"/>
      <c r="AR372" s="367"/>
      <c r="AS372" s="367"/>
      <c r="AT372" s="368"/>
      <c r="AU372" s="367"/>
    </row>
    <row r="373" spans="1:47" ht="12.75">
      <c r="A373" s="367"/>
      <c r="B373" s="367"/>
      <c r="C373" s="367"/>
      <c r="D373" s="367"/>
      <c r="E373" s="367"/>
      <c r="F373" s="367"/>
      <c r="G373" s="367"/>
      <c r="H373" s="367"/>
      <c r="I373" s="367"/>
      <c r="J373" s="367"/>
      <c r="K373" s="367"/>
      <c r="L373" s="367"/>
      <c r="M373" s="367"/>
      <c r="N373" s="367"/>
      <c r="O373" s="367"/>
      <c r="P373" s="364"/>
      <c r="Q373" s="365"/>
      <c r="R373" s="365"/>
      <c r="S373" s="365"/>
      <c r="T373" s="365"/>
      <c r="U373" s="366"/>
      <c r="V373" s="367"/>
      <c r="W373" s="367"/>
      <c r="X373" s="367"/>
      <c r="Y373" s="367"/>
      <c r="Z373" s="367"/>
      <c r="AA373" s="367"/>
      <c r="AB373" s="367"/>
      <c r="AC373" s="367"/>
      <c r="AD373" s="367"/>
      <c r="AE373" s="367"/>
      <c r="AF373" s="367"/>
      <c r="AG373" s="367"/>
      <c r="AH373" s="367"/>
      <c r="AI373" s="367"/>
      <c r="AJ373" s="367"/>
      <c r="AK373" s="367"/>
      <c r="AL373" s="367"/>
      <c r="AM373" s="367"/>
      <c r="AN373" s="367"/>
      <c r="AO373" s="367"/>
      <c r="AP373" s="367"/>
      <c r="AQ373" s="367"/>
      <c r="AR373" s="367"/>
      <c r="AS373" s="367"/>
      <c r="AT373" s="368"/>
      <c r="AU373" s="367"/>
    </row>
    <row r="374" spans="1:47" ht="12.75">
      <c r="A374" s="367"/>
      <c r="B374" s="367"/>
      <c r="C374" s="367"/>
      <c r="D374" s="367"/>
      <c r="E374" s="367"/>
      <c r="F374" s="367"/>
      <c r="G374" s="367"/>
      <c r="H374" s="367"/>
      <c r="I374" s="367"/>
      <c r="J374" s="367"/>
      <c r="K374" s="367"/>
      <c r="L374" s="367"/>
      <c r="M374" s="367"/>
      <c r="N374" s="367"/>
      <c r="O374" s="367"/>
      <c r="P374" s="364"/>
      <c r="Q374" s="365"/>
      <c r="R374" s="365"/>
      <c r="S374" s="365"/>
      <c r="T374" s="365"/>
      <c r="U374" s="366"/>
      <c r="V374" s="367"/>
      <c r="W374" s="367"/>
      <c r="X374" s="367"/>
      <c r="Y374" s="367"/>
      <c r="Z374" s="367"/>
      <c r="AA374" s="367"/>
      <c r="AB374" s="367"/>
      <c r="AC374" s="367"/>
      <c r="AD374" s="367"/>
      <c r="AE374" s="367"/>
      <c r="AF374" s="367"/>
      <c r="AG374" s="367"/>
      <c r="AH374" s="367"/>
      <c r="AI374" s="367"/>
      <c r="AJ374" s="367"/>
      <c r="AK374" s="367"/>
      <c r="AL374" s="367"/>
      <c r="AM374" s="367"/>
      <c r="AN374" s="367"/>
      <c r="AO374" s="367"/>
      <c r="AP374" s="367"/>
      <c r="AQ374" s="367"/>
      <c r="AR374" s="367"/>
      <c r="AS374" s="367"/>
      <c r="AT374" s="368"/>
      <c r="AU374" s="367"/>
    </row>
    <row r="375" spans="1:47" ht="12.75">
      <c r="A375" s="367"/>
      <c r="B375" s="367"/>
      <c r="C375" s="367"/>
      <c r="D375" s="367"/>
      <c r="E375" s="367"/>
      <c r="F375" s="367"/>
      <c r="G375" s="367"/>
      <c r="H375" s="367"/>
      <c r="I375" s="367"/>
      <c r="J375" s="367"/>
      <c r="K375" s="367"/>
      <c r="L375" s="367"/>
      <c r="M375" s="367"/>
      <c r="N375" s="367"/>
      <c r="O375" s="367"/>
      <c r="P375" s="364"/>
      <c r="Q375" s="365"/>
      <c r="R375" s="365"/>
      <c r="S375" s="365"/>
      <c r="T375" s="365"/>
      <c r="U375" s="366"/>
      <c r="V375" s="367"/>
      <c r="W375" s="367"/>
      <c r="X375" s="367"/>
      <c r="Y375" s="367"/>
      <c r="Z375" s="367"/>
      <c r="AA375" s="367"/>
      <c r="AB375" s="367"/>
      <c r="AC375" s="367"/>
      <c r="AD375" s="367"/>
      <c r="AE375" s="367"/>
      <c r="AF375" s="367"/>
      <c r="AG375" s="367"/>
      <c r="AH375" s="367"/>
      <c r="AI375" s="367"/>
      <c r="AJ375" s="367"/>
      <c r="AK375" s="367"/>
      <c r="AL375" s="367"/>
      <c r="AM375" s="367"/>
      <c r="AN375" s="367"/>
      <c r="AO375" s="367"/>
      <c r="AP375" s="367"/>
      <c r="AQ375" s="367"/>
      <c r="AR375" s="367"/>
      <c r="AS375" s="367"/>
      <c r="AT375" s="368"/>
      <c r="AU375" s="367"/>
    </row>
    <row r="376" spans="1:47" ht="12.75">
      <c r="A376" s="367"/>
      <c r="B376" s="367"/>
      <c r="C376" s="367"/>
      <c r="D376" s="367"/>
      <c r="E376" s="367"/>
      <c r="F376" s="367"/>
      <c r="G376" s="367"/>
      <c r="H376" s="367"/>
      <c r="I376" s="367"/>
      <c r="J376" s="367"/>
      <c r="K376" s="367"/>
      <c r="L376" s="367"/>
      <c r="M376" s="367"/>
      <c r="N376" s="367"/>
      <c r="O376" s="367"/>
      <c r="P376" s="364"/>
      <c r="Q376" s="365"/>
      <c r="R376" s="365"/>
      <c r="S376" s="365"/>
      <c r="T376" s="365"/>
      <c r="U376" s="366"/>
      <c r="V376" s="367"/>
      <c r="W376" s="367"/>
      <c r="X376" s="367"/>
      <c r="Y376" s="367"/>
      <c r="Z376" s="367"/>
      <c r="AA376" s="367"/>
      <c r="AB376" s="367"/>
      <c r="AC376" s="367"/>
      <c r="AD376" s="367"/>
      <c r="AE376" s="367"/>
      <c r="AF376" s="367"/>
      <c r="AG376" s="367"/>
      <c r="AH376" s="367"/>
      <c r="AI376" s="367"/>
      <c r="AJ376" s="367"/>
      <c r="AK376" s="367"/>
      <c r="AL376" s="367"/>
      <c r="AM376" s="367"/>
      <c r="AN376" s="367"/>
      <c r="AO376" s="367"/>
      <c r="AP376" s="367"/>
      <c r="AQ376" s="367"/>
      <c r="AR376" s="367"/>
      <c r="AS376" s="367"/>
      <c r="AT376" s="368"/>
      <c r="AU376" s="367"/>
    </row>
    <row r="377" spans="1:47" ht="12.75">
      <c r="A377" s="367"/>
      <c r="B377" s="367"/>
      <c r="C377" s="367"/>
      <c r="D377" s="367"/>
      <c r="E377" s="367"/>
      <c r="F377" s="367"/>
      <c r="G377" s="367"/>
      <c r="H377" s="367"/>
      <c r="I377" s="367"/>
      <c r="J377" s="367"/>
      <c r="K377" s="367"/>
      <c r="L377" s="367"/>
      <c r="M377" s="367"/>
      <c r="N377" s="367"/>
      <c r="O377" s="367"/>
      <c r="P377" s="364"/>
      <c r="Q377" s="365"/>
      <c r="R377" s="365"/>
      <c r="S377" s="365"/>
      <c r="T377" s="365"/>
      <c r="U377" s="366"/>
      <c r="V377" s="367"/>
      <c r="W377" s="367"/>
      <c r="X377" s="367"/>
      <c r="Y377" s="367"/>
      <c r="Z377" s="367"/>
      <c r="AA377" s="367"/>
      <c r="AB377" s="367"/>
      <c r="AC377" s="367"/>
      <c r="AD377" s="367"/>
      <c r="AE377" s="367"/>
      <c r="AF377" s="367"/>
      <c r="AG377" s="367"/>
      <c r="AH377" s="367"/>
      <c r="AI377" s="367"/>
      <c r="AJ377" s="367"/>
      <c r="AK377" s="367"/>
      <c r="AL377" s="367"/>
      <c r="AM377" s="367"/>
      <c r="AN377" s="367"/>
      <c r="AO377" s="367"/>
      <c r="AP377" s="367"/>
      <c r="AQ377" s="367"/>
      <c r="AR377" s="367"/>
      <c r="AS377" s="367"/>
      <c r="AT377" s="368"/>
      <c r="AU377" s="367"/>
    </row>
    <row r="378" spans="1:47" ht="12.75">
      <c r="A378" s="367"/>
      <c r="B378" s="367"/>
      <c r="C378" s="367"/>
      <c r="D378" s="367"/>
      <c r="E378" s="367"/>
      <c r="F378" s="367"/>
      <c r="G378" s="367"/>
      <c r="H378" s="367"/>
      <c r="I378" s="367"/>
      <c r="J378" s="367"/>
      <c r="K378" s="367"/>
      <c r="L378" s="367"/>
      <c r="M378" s="367"/>
      <c r="N378" s="367"/>
      <c r="O378" s="367"/>
      <c r="P378" s="364"/>
      <c r="Q378" s="365"/>
      <c r="R378" s="365"/>
      <c r="S378" s="365"/>
      <c r="T378" s="365"/>
      <c r="U378" s="366"/>
      <c r="V378" s="367"/>
      <c r="W378" s="367"/>
      <c r="X378" s="367"/>
      <c r="Y378" s="367"/>
      <c r="Z378" s="367"/>
      <c r="AA378" s="367"/>
      <c r="AB378" s="367"/>
      <c r="AC378" s="367"/>
      <c r="AD378" s="367"/>
      <c r="AE378" s="367"/>
      <c r="AF378" s="367"/>
      <c r="AG378" s="367"/>
      <c r="AH378" s="367"/>
      <c r="AI378" s="367"/>
      <c r="AJ378" s="367"/>
      <c r="AK378" s="367"/>
      <c r="AL378" s="367"/>
      <c r="AM378" s="367"/>
      <c r="AN378" s="367"/>
      <c r="AO378" s="367"/>
      <c r="AP378" s="367"/>
      <c r="AQ378" s="367"/>
      <c r="AR378" s="367"/>
      <c r="AS378" s="367"/>
      <c r="AT378" s="368"/>
      <c r="AU378" s="367"/>
    </row>
    <row r="379" spans="1:47" ht="12.75">
      <c r="A379" s="367"/>
      <c r="B379" s="367"/>
      <c r="C379" s="367"/>
      <c r="D379" s="367"/>
      <c r="E379" s="367"/>
      <c r="F379" s="367"/>
      <c r="G379" s="367"/>
      <c r="H379" s="367"/>
      <c r="I379" s="367"/>
      <c r="J379" s="367"/>
      <c r="K379" s="367"/>
      <c r="L379" s="367"/>
      <c r="M379" s="367"/>
      <c r="N379" s="367"/>
      <c r="O379" s="367"/>
      <c r="P379" s="364"/>
      <c r="Q379" s="365"/>
      <c r="R379" s="365"/>
      <c r="S379" s="365"/>
      <c r="T379" s="365"/>
      <c r="U379" s="366"/>
      <c r="V379" s="367"/>
      <c r="W379" s="367"/>
      <c r="X379" s="367"/>
      <c r="Y379" s="367"/>
      <c r="Z379" s="367"/>
      <c r="AA379" s="367"/>
      <c r="AB379" s="367"/>
      <c r="AC379" s="367"/>
      <c r="AD379" s="367"/>
      <c r="AE379" s="367"/>
      <c r="AF379" s="367"/>
      <c r="AG379" s="367"/>
      <c r="AH379" s="367"/>
      <c r="AI379" s="367"/>
      <c r="AJ379" s="367"/>
      <c r="AK379" s="367"/>
      <c r="AL379" s="367"/>
      <c r="AM379" s="367"/>
      <c r="AN379" s="367"/>
      <c r="AO379" s="367"/>
      <c r="AP379" s="367"/>
      <c r="AQ379" s="367"/>
      <c r="AR379" s="367"/>
      <c r="AS379" s="367"/>
      <c r="AT379" s="368"/>
      <c r="AU379" s="367"/>
    </row>
    <row r="380" spans="1:47" ht="12.75">
      <c r="A380" s="367"/>
      <c r="B380" s="367"/>
      <c r="C380" s="367"/>
      <c r="D380" s="367"/>
      <c r="E380" s="367"/>
      <c r="F380" s="367"/>
      <c r="G380" s="367"/>
      <c r="H380" s="367"/>
      <c r="I380" s="367"/>
      <c r="J380" s="367"/>
      <c r="K380" s="367"/>
      <c r="L380" s="367"/>
      <c r="M380" s="367"/>
      <c r="N380" s="367"/>
      <c r="O380" s="367"/>
      <c r="P380" s="364"/>
      <c r="Q380" s="365"/>
      <c r="R380" s="365"/>
      <c r="S380" s="365"/>
      <c r="T380" s="365"/>
      <c r="U380" s="366"/>
      <c r="V380" s="367"/>
      <c r="W380" s="367"/>
      <c r="X380" s="367"/>
      <c r="Y380" s="367"/>
      <c r="Z380" s="367"/>
      <c r="AA380" s="367"/>
      <c r="AB380" s="367"/>
      <c r="AC380" s="367"/>
      <c r="AD380" s="367"/>
      <c r="AE380" s="367"/>
      <c r="AF380" s="367"/>
      <c r="AG380" s="367"/>
      <c r="AH380" s="367"/>
      <c r="AI380" s="367"/>
      <c r="AJ380" s="367"/>
      <c r="AK380" s="367"/>
      <c r="AL380" s="367"/>
      <c r="AM380" s="367"/>
      <c r="AN380" s="367"/>
      <c r="AO380" s="367"/>
      <c r="AP380" s="367"/>
      <c r="AQ380" s="367"/>
      <c r="AR380" s="367"/>
      <c r="AS380" s="367"/>
      <c r="AT380" s="368"/>
      <c r="AU380" s="367"/>
    </row>
    <row r="381" spans="1:47" ht="12.75">
      <c r="A381" s="367"/>
      <c r="B381" s="367"/>
      <c r="C381" s="367"/>
      <c r="D381" s="367"/>
      <c r="E381" s="367"/>
      <c r="F381" s="367"/>
      <c r="G381" s="367"/>
      <c r="H381" s="367"/>
      <c r="I381" s="367"/>
      <c r="J381" s="367"/>
      <c r="K381" s="367"/>
      <c r="L381" s="367"/>
      <c r="M381" s="367"/>
      <c r="N381" s="367"/>
      <c r="O381" s="367"/>
      <c r="P381" s="364"/>
      <c r="Q381" s="365"/>
      <c r="R381" s="365"/>
      <c r="S381" s="365"/>
      <c r="T381" s="365"/>
      <c r="U381" s="366"/>
      <c r="V381" s="367"/>
      <c r="W381" s="367"/>
      <c r="X381" s="367"/>
      <c r="Y381" s="367"/>
      <c r="Z381" s="367"/>
      <c r="AA381" s="367"/>
      <c r="AB381" s="367"/>
      <c r="AC381" s="367"/>
      <c r="AD381" s="367"/>
      <c r="AE381" s="367"/>
      <c r="AF381" s="367"/>
      <c r="AG381" s="367"/>
      <c r="AH381" s="367"/>
      <c r="AI381" s="367"/>
      <c r="AJ381" s="367"/>
      <c r="AK381" s="367"/>
      <c r="AL381" s="367"/>
      <c r="AM381" s="367"/>
      <c r="AN381" s="367"/>
      <c r="AO381" s="367"/>
      <c r="AP381" s="367"/>
      <c r="AQ381" s="367"/>
      <c r="AR381" s="367"/>
      <c r="AS381" s="367"/>
      <c r="AT381" s="368"/>
      <c r="AU381" s="367"/>
    </row>
    <row r="382" spans="1:47" ht="12.75">
      <c r="A382" s="367"/>
      <c r="B382" s="367"/>
      <c r="C382" s="367"/>
      <c r="D382" s="367"/>
      <c r="E382" s="367"/>
      <c r="F382" s="367"/>
      <c r="G382" s="367"/>
      <c r="H382" s="367"/>
      <c r="I382" s="367"/>
      <c r="J382" s="367"/>
      <c r="K382" s="367"/>
      <c r="L382" s="367"/>
      <c r="M382" s="367"/>
      <c r="N382" s="367"/>
      <c r="O382" s="367"/>
      <c r="P382" s="364"/>
      <c r="Q382" s="365"/>
      <c r="R382" s="365"/>
      <c r="S382" s="365"/>
      <c r="T382" s="365"/>
      <c r="U382" s="366"/>
      <c r="V382" s="367"/>
      <c r="W382" s="367"/>
      <c r="X382" s="367"/>
      <c r="Y382" s="367"/>
      <c r="Z382" s="367"/>
      <c r="AA382" s="367"/>
      <c r="AB382" s="367"/>
      <c r="AC382" s="367"/>
      <c r="AD382" s="367"/>
      <c r="AE382" s="367"/>
      <c r="AF382" s="367"/>
      <c r="AG382" s="367"/>
      <c r="AH382" s="367"/>
      <c r="AI382" s="367"/>
      <c r="AJ382" s="367"/>
      <c r="AK382" s="367"/>
      <c r="AL382" s="367"/>
      <c r="AM382" s="367"/>
      <c r="AN382" s="367"/>
      <c r="AO382" s="367"/>
      <c r="AP382" s="367"/>
      <c r="AQ382" s="367"/>
      <c r="AR382" s="367"/>
      <c r="AS382" s="367"/>
      <c r="AT382" s="368"/>
      <c r="AU382" s="367"/>
    </row>
    <row r="383" spans="1:47" ht="12.75">
      <c r="A383" s="367"/>
      <c r="B383" s="367"/>
      <c r="C383" s="367"/>
      <c r="D383" s="367"/>
      <c r="E383" s="367"/>
      <c r="F383" s="367"/>
      <c r="G383" s="367"/>
      <c r="H383" s="367"/>
      <c r="I383" s="367"/>
      <c r="J383" s="367"/>
      <c r="K383" s="367"/>
      <c r="L383" s="367"/>
      <c r="M383" s="367"/>
      <c r="N383" s="367"/>
      <c r="O383" s="367"/>
      <c r="P383" s="364"/>
      <c r="Q383" s="365"/>
      <c r="R383" s="365"/>
      <c r="S383" s="365"/>
      <c r="T383" s="365"/>
      <c r="U383" s="366"/>
      <c r="V383" s="367"/>
      <c r="W383" s="367"/>
      <c r="X383" s="367"/>
      <c r="Y383" s="367"/>
      <c r="Z383" s="367"/>
      <c r="AA383" s="367"/>
      <c r="AB383" s="367"/>
      <c r="AC383" s="367"/>
      <c r="AD383" s="367"/>
      <c r="AE383" s="367"/>
      <c r="AF383" s="367"/>
      <c r="AG383" s="367"/>
      <c r="AH383" s="367"/>
      <c r="AI383" s="367"/>
      <c r="AJ383" s="367"/>
      <c r="AK383" s="367"/>
      <c r="AL383" s="367"/>
      <c r="AM383" s="367"/>
      <c r="AN383" s="367"/>
      <c r="AO383" s="367"/>
      <c r="AP383" s="367"/>
      <c r="AQ383" s="367"/>
      <c r="AR383" s="367"/>
      <c r="AS383" s="367"/>
      <c r="AT383" s="368"/>
      <c r="AU383" s="367"/>
    </row>
    <row r="384" spans="1:47" ht="12.75">
      <c r="A384" s="367"/>
      <c r="B384" s="367"/>
      <c r="C384" s="367"/>
      <c r="D384" s="367"/>
      <c r="E384" s="367"/>
      <c r="F384" s="367"/>
      <c r="G384" s="367"/>
      <c r="H384" s="367"/>
      <c r="I384" s="367"/>
      <c r="J384" s="367"/>
      <c r="K384" s="367"/>
      <c r="L384" s="367"/>
      <c r="M384" s="367"/>
      <c r="N384" s="367"/>
      <c r="O384" s="367"/>
      <c r="P384" s="364"/>
      <c r="Q384" s="365"/>
      <c r="R384" s="365"/>
      <c r="S384" s="365"/>
      <c r="T384" s="365"/>
      <c r="U384" s="366"/>
      <c r="V384" s="367"/>
      <c r="W384" s="367"/>
      <c r="X384" s="367"/>
      <c r="Y384" s="367"/>
      <c r="Z384" s="367"/>
      <c r="AA384" s="367"/>
      <c r="AB384" s="367"/>
      <c r="AC384" s="367"/>
      <c r="AD384" s="367"/>
      <c r="AE384" s="367"/>
      <c r="AF384" s="367"/>
      <c r="AG384" s="367"/>
      <c r="AH384" s="367"/>
      <c r="AI384" s="367"/>
      <c r="AJ384" s="367"/>
      <c r="AK384" s="367"/>
      <c r="AL384" s="367"/>
      <c r="AM384" s="367"/>
      <c r="AN384" s="367"/>
      <c r="AO384" s="367"/>
      <c r="AP384" s="367"/>
      <c r="AQ384" s="367"/>
      <c r="AR384" s="367"/>
      <c r="AS384" s="367"/>
      <c r="AT384" s="368"/>
      <c r="AU384" s="367"/>
    </row>
    <row r="385" spans="1:47" ht="12.75">
      <c r="A385" s="367"/>
      <c r="B385" s="367"/>
      <c r="C385" s="367"/>
      <c r="D385" s="367"/>
      <c r="E385" s="367"/>
      <c r="F385" s="367"/>
      <c r="G385" s="367"/>
      <c r="H385" s="367"/>
      <c r="I385" s="367"/>
      <c r="J385" s="367"/>
      <c r="K385" s="367"/>
      <c r="L385" s="367"/>
      <c r="M385" s="367"/>
      <c r="N385" s="367"/>
      <c r="O385" s="367"/>
      <c r="P385" s="364"/>
      <c r="Q385" s="365"/>
      <c r="R385" s="365"/>
      <c r="S385" s="365"/>
      <c r="T385" s="365"/>
      <c r="U385" s="366"/>
      <c r="V385" s="367"/>
      <c r="W385" s="367"/>
      <c r="X385" s="367"/>
      <c r="Y385" s="367"/>
      <c r="Z385" s="367"/>
      <c r="AA385" s="367"/>
      <c r="AB385" s="367"/>
      <c r="AC385" s="367"/>
      <c r="AD385" s="367"/>
      <c r="AE385" s="367"/>
      <c r="AF385" s="367"/>
      <c r="AG385" s="367"/>
      <c r="AH385" s="367"/>
      <c r="AI385" s="367"/>
      <c r="AJ385" s="367"/>
      <c r="AK385" s="367"/>
      <c r="AL385" s="367"/>
      <c r="AM385" s="367"/>
      <c r="AN385" s="367"/>
      <c r="AO385" s="367"/>
      <c r="AP385" s="367"/>
      <c r="AQ385" s="367"/>
      <c r="AR385" s="367"/>
      <c r="AS385" s="367"/>
      <c r="AT385" s="368"/>
      <c r="AU385" s="367"/>
    </row>
    <row r="386" spans="1:47" ht="12.75">
      <c r="A386" s="367"/>
      <c r="B386" s="367"/>
      <c r="C386" s="367"/>
      <c r="D386" s="367"/>
      <c r="E386" s="367"/>
      <c r="F386" s="367"/>
      <c r="G386" s="367"/>
      <c r="H386" s="367"/>
      <c r="I386" s="367"/>
      <c r="J386" s="367"/>
      <c r="K386" s="367"/>
      <c r="L386" s="367"/>
      <c r="M386" s="367"/>
      <c r="N386" s="367"/>
      <c r="O386" s="367"/>
      <c r="P386" s="364"/>
      <c r="Q386" s="365"/>
      <c r="R386" s="365"/>
      <c r="S386" s="365"/>
      <c r="T386" s="365"/>
      <c r="U386" s="366"/>
      <c r="V386" s="367"/>
      <c r="W386" s="367"/>
      <c r="X386" s="367"/>
      <c r="Y386" s="367"/>
      <c r="Z386" s="367"/>
      <c r="AA386" s="367"/>
      <c r="AB386" s="367"/>
      <c r="AC386" s="367"/>
      <c r="AD386" s="367"/>
      <c r="AE386" s="367"/>
      <c r="AF386" s="367"/>
      <c r="AG386" s="367"/>
      <c r="AH386" s="367"/>
      <c r="AI386" s="367"/>
      <c r="AJ386" s="367"/>
      <c r="AK386" s="367"/>
      <c r="AL386" s="367"/>
      <c r="AM386" s="367"/>
      <c r="AN386" s="367"/>
      <c r="AO386" s="367"/>
      <c r="AP386" s="367"/>
      <c r="AQ386" s="367"/>
      <c r="AR386" s="367"/>
      <c r="AS386" s="367"/>
      <c r="AT386" s="368"/>
      <c r="AU386" s="367"/>
    </row>
    <row r="387" spans="1:47" ht="12.75">
      <c r="A387" s="367"/>
      <c r="B387" s="367"/>
      <c r="C387" s="367"/>
      <c r="D387" s="367"/>
      <c r="E387" s="367"/>
      <c r="F387" s="367"/>
      <c r="G387" s="367"/>
      <c r="H387" s="367"/>
      <c r="I387" s="367"/>
      <c r="J387" s="367"/>
      <c r="K387" s="367"/>
      <c r="L387" s="367"/>
      <c r="M387" s="367"/>
      <c r="N387" s="367"/>
      <c r="O387" s="367"/>
      <c r="P387" s="364"/>
      <c r="Q387" s="365"/>
      <c r="R387" s="365"/>
      <c r="S387" s="365"/>
      <c r="T387" s="365"/>
      <c r="U387" s="366"/>
      <c r="V387" s="367"/>
      <c r="W387" s="367"/>
      <c r="X387" s="367"/>
      <c r="Y387" s="367"/>
      <c r="Z387" s="367"/>
      <c r="AA387" s="367"/>
      <c r="AB387" s="367"/>
      <c r="AC387" s="367"/>
      <c r="AD387" s="367"/>
      <c r="AE387" s="367"/>
      <c r="AF387" s="367"/>
      <c r="AG387" s="367"/>
      <c r="AH387" s="367"/>
      <c r="AI387" s="367"/>
      <c r="AJ387" s="367"/>
      <c r="AK387" s="367"/>
      <c r="AL387" s="367"/>
      <c r="AM387" s="367"/>
      <c r="AN387" s="367"/>
      <c r="AO387" s="367"/>
      <c r="AP387" s="367"/>
      <c r="AQ387" s="367"/>
      <c r="AR387" s="367"/>
      <c r="AS387" s="367"/>
      <c r="AT387" s="368"/>
      <c r="AU387" s="367"/>
    </row>
    <row r="388" spans="1:47" ht="12.75">
      <c r="A388" s="367"/>
      <c r="B388" s="367"/>
      <c r="C388" s="367"/>
      <c r="D388" s="367"/>
      <c r="E388" s="367"/>
      <c r="F388" s="367"/>
      <c r="G388" s="367"/>
      <c r="H388" s="367"/>
      <c r="I388" s="367"/>
      <c r="J388" s="367"/>
      <c r="K388" s="367"/>
      <c r="L388" s="367"/>
      <c r="M388" s="367"/>
      <c r="N388" s="367"/>
      <c r="O388" s="367"/>
      <c r="P388" s="364"/>
      <c r="Q388" s="365"/>
      <c r="R388" s="365"/>
      <c r="S388" s="365"/>
      <c r="T388" s="365"/>
      <c r="U388" s="366"/>
      <c r="V388" s="367"/>
      <c r="W388" s="367"/>
      <c r="X388" s="367"/>
      <c r="Y388" s="367"/>
      <c r="Z388" s="367"/>
      <c r="AA388" s="367"/>
      <c r="AB388" s="367"/>
      <c r="AC388" s="367"/>
      <c r="AD388" s="367"/>
      <c r="AE388" s="367"/>
      <c r="AF388" s="367"/>
      <c r="AG388" s="367"/>
      <c r="AH388" s="367"/>
      <c r="AI388" s="367"/>
      <c r="AJ388" s="367"/>
      <c r="AK388" s="367"/>
      <c r="AL388" s="367"/>
      <c r="AM388" s="367"/>
      <c r="AN388" s="367"/>
      <c r="AO388" s="367"/>
      <c r="AP388" s="367"/>
      <c r="AQ388" s="367"/>
      <c r="AR388" s="367"/>
      <c r="AS388" s="367"/>
      <c r="AT388" s="368"/>
      <c r="AU388" s="367"/>
    </row>
    <row r="389" spans="1:47" ht="12.75">
      <c r="A389" s="367"/>
      <c r="B389" s="367"/>
      <c r="C389" s="367"/>
      <c r="D389" s="367"/>
      <c r="E389" s="367"/>
      <c r="F389" s="367"/>
      <c r="G389" s="367"/>
      <c r="H389" s="367"/>
      <c r="I389" s="367"/>
      <c r="J389" s="367"/>
      <c r="K389" s="367"/>
      <c r="L389" s="367"/>
      <c r="M389" s="367"/>
      <c r="N389" s="367"/>
      <c r="O389" s="367"/>
      <c r="P389" s="364"/>
      <c r="Q389" s="365"/>
      <c r="R389" s="365"/>
      <c r="S389" s="365"/>
      <c r="T389" s="365"/>
      <c r="U389" s="366"/>
      <c r="V389" s="367"/>
      <c r="W389" s="367"/>
      <c r="X389" s="367"/>
      <c r="Y389" s="367"/>
      <c r="Z389" s="367"/>
      <c r="AA389" s="367"/>
      <c r="AB389" s="367"/>
      <c r="AC389" s="367"/>
      <c r="AD389" s="367"/>
      <c r="AE389" s="367"/>
      <c r="AF389" s="367"/>
      <c r="AG389" s="367"/>
      <c r="AH389" s="367"/>
      <c r="AI389" s="367"/>
      <c r="AJ389" s="367"/>
      <c r="AK389" s="367"/>
      <c r="AL389" s="367"/>
      <c r="AM389" s="367"/>
      <c r="AN389" s="367"/>
      <c r="AO389" s="367"/>
      <c r="AP389" s="367"/>
      <c r="AQ389" s="367"/>
      <c r="AR389" s="367"/>
      <c r="AS389" s="367"/>
      <c r="AT389" s="368"/>
      <c r="AU389" s="367"/>
    </row>
    <row r="390" spans="1:47" ht="12.75">
      <c r="A390" s="367"/>
      <c r="B390" s="367"/>
      <c r="C390" s="367"/>
      <c r="D390" s="367"/>
      <c r="E390" s="367"/>
      <c r="F390" s="367"/>
      <c r="G390" s="367"/>
      <c r="H390" s="367"/>
      <c r="I390" s="367"/>
      <c r="J390" s="367"/>
      <c r="K390" s="367"/>
      <c r="L390" s="367"/>
      <c r="M390" s="367"/>
      <c r="N390" s="367"/>
      <c r="O390" s="367"/>
      <c r="P390" s="364"/>
      <c r="Q390" s="365"/>
      <c r="R390" s="365"/>
      <c r="S390" s="365"/>
      <c r="T390" s="365"/>
      <c r="U390" s="366"/>
      <c r="V390" s="367"/>
      <c r="W390" s="367"/>
      <c r="X390" s="367"/>
      <c r="Y390" s="367"/>
      <c r="Z390" s="367"/>
      <c r="AA390" s="367"/>
      <c r="AB390" s="367"/>
      <c r="AC390" s="367"/>
      <c r="AD390" s="367"/>
      <c r="AE390" s="367"/>
      <c r="AF390" s="367"/>
      <c r="AG390" s="367"/>
      <c r="AH390" s="367"/>
      <c r="AI390" s="367"/>
      <c r="AJ390" s="367"/>
      <c r="AK390" s="367"/>
      <c r="AL390" s="367"/>
      <c r="AM390" s="367"/>
      <c r="AN390" s="367"/>
      <c r="AO390" s="367"/>
      <c r="AP390" s="367"/>
      <c r="AQ390" s="367"/>
      <c r="AR390" s="367"/>
      <c r="AS390" s="367"/>
      <c r="AT390" s="368"/>
      <c r="AU390" s="367"/>
    </row>
    <row r="391" spans="1:47" ht="12.75">
      <c r="A391" s="367"/>
      <c r="B391" s="367"/>
      <c r="C391" s="367"/>
      <c r="D391" s="367"/>
      <c r="E391" s="367"/>
      <c r="F391" s="367"/>
      <c r="G391" s="367"/>
      <c r="H391" s="367"/>
      <c r="I391" s="367"/>
      <c r="J391" s="367"/>
      <c r="K391" s="367"/>
      <c r="L391" s="367"/>
      <c r="M391" s="367"/>
      <c r="N391" s="367"/>
      <c r="O391" s="367"/>
      <c r="P391" s="364"/>
      <c r="Q391" s="365"/>
      <c r="R391" s="365"/>
      <c r="S391" s="365"/>
      <c r="T391" s="365"/>
      <c r="U391" s="366"/>
      <c r="V391" s="367"/>
      <c r="W391" s="367"/>
      <c r="X391" s="367"/>
      <c r="Y391" s="367"/>
      <c r="Z391" s="367"/>
      <c r="AA391" s="367"/>
      <c r="AB391" s="367"/>
      <c r="AC391" s="367"/>
      <c r="AD391" s="367"/>
      <c r="AE391" s="367"/>
      <c r="AF391" s="367"/>
      <c r="AG391" s="367"/>
      <c r="AH391" s="367"/>
      <c r="AI391" s="367"/>
      <c r="AJ391" s="367"/>
      <c r="AK391" s="367"/>
      <c r="AL391" s="367"/>
      <c r="AM391" s="367"/>
      <c r="AN391" s="367"/>
      <c r="AO391" s="367"/>
      <c r="AP391" s="367"/>
      <c r="AQ391" s="367"/>
      <c r="AR391" s="367"/>
      <c r="AS391" s="367"/>
      <c r="AT391" s="368"/>
      <c r="AU391" s="367"/>
    </row>
    <row r="392" spans="1:47" ht="12.75">
      <c r="A392" s="367"/>
      <c r="B392" s="367"/>
      <c r="C392" s="367"/>
      <c r="D392" s="367"/>
      <c r="E392" s="367"/>
      <c r="F392" s="367"/>
      <c r="G392" s="367"/>
      <c r="H392" s="367"/>
      <c r="I392" s="367"/>
      <c r="J392" s="367"/>
      <c r="K392" s="367"/>
      <c r="L392" s="367"/>
      <c r="M392" s="367"/>
      <c r="N392" s="367"/>
      <c r="O392" s="367"/>
      <c r="P392" s="364"/>
      <c r="Q392" s="365"/>
      <c r="R392" s="365"/>
      <c r="S392" s="365"/>
      <c r="T392" s="365"/>
      <c r="U392" s="366"/>
      <c r="V392" s="367"/>
      <c r="W392" s="367"/>
      <c r="X392" s="367"/>
      <c r="Y392" s="367"/>
      <c r="Z392" s="367"/>
      <c r="AA392" s="367"/>
      <c r="AB392" s="367"/>
      <c r="AC392" s="367"/>
      <c r="AD392" s="367"/>
      <c r="AE392" s="367"/>
      <c r="AF392" s="367"/>
      <c r="AG392" s="367"/>
      <c r="AH392" s="367"/>
      <c r="AI392" s="367"/>
      <c r="AJ392" s="367"/>
      <c r="AK392" s="367"/>
      <c r="AL392" s="367"/>
      <c r="AM392" s="367"/>
      <c r="AN392" s="367"/>
      <c r="AO392" s="367"/>
      <c r="AP392" s="367"/>
      <c r="AQ392" s="367"/>
      <c r="AR392" s="367"/>
      <c r="AS392" s="367"/>
      <c r="AT392" s="368"/>
      <c r="AU392" s="367"/>
    </row>
    <row r="393" spans="1:47" ht="12.75">
      <c r="A393" s="367"/>
      <c r="B393" s="367"/>
      <c r="C393" s="367"/>
      <c r="D393" s="367"/>
      <c r="E393" s="367"/>
      <c r="F393" s="367"/>
      <c r="G393" s="367"/>
      <c r="H393" s="367"/>
      <c r="I393" s="367"/>
      <c r="J393" s="367"/>
      <c r="K393" s="367"/>
      <c r="L393" s="367"/>
      <c r="M393" s="367"/>
      <c r="N393" s="367"/>
      <c r="O393" s="367"/>
      <c r="P393" s="364"/>
      <c r="Q393" s="365"/>
      <c r="R393" s="365"/>
      <c r="S393" s="365"/>
      <c r="T393" s="365"/>
      <c r="U393" s="366"/>
      <c r="V393" s="367"/>
      <c r="W393" s="367"/>
      <c r="X393" s="367"/>
      <c r="Y393" s="367"/>
      <c r="Z393" s="367"/>
      <c r="AA393" s="367"/>
      <c r="AB393" s="367"/>
      <c r="AC393" s="367"/>
      <c r="AD393" s="367"/>
      <c r="AE393" s="367"/>
      <c r="AF393" s="367"/>
      <c r="AG393" s="367"/>
      <c r="AH393" s="367"/>
      <c r="AI393" s="367"/>
      <c r="AJ393" s="367"/>
      <c r="AK393" s="367"/>
      <c r="AL393" s="367"/>
      <c r="AM393" s="367"/>
      <c r="AN393" s="367"/>
      <c r="AO393" s="367"/>
      <c r="AP393" s="367"/>
      <c r="AQ393" s="367"/>
      <c r="AR393" s="367"/>
      <c r="AS393" s="367"/>
      <c r="AT393" s="368"/>
      <c r="AU393" s="367"/>
    </row>
    <row r="394" spans="1:47" ht="12.75">
      <c r="A394" s="367"/>
      <c r="B394" s="367"/>
      <c r="C394" s="367"/>
      <c r="D394" s="367"/>
      <c r="E394" s="367"/>
      <c r="F394" s="367"/>
      <c r="G394" s="367"/>
      <c r="H394" s="367"/>
      <c r="I394" s="367"/>
      <c r="J394" s="367"/>
      <c r="K394" s="367"/>
      <c r="L394" s="367"/>
      <c r="M394" s="367"/>
      <c r="N394" s="367"/>
      <c r="O394" s="367"/>
      <c r="P394" s="364"/>
      <c r="Q394" s="365"/>
      <c r="R394" s="365"/>
      <c r="S394" s="365"/>
      <c r="T394" s="365"/>
      <c r="U394" s="366"/>
      <c r="V394" s="367"/>
      <c r="W394" s="367"/>
      <c r="X394" s="367"/>
      <c r="Y394" s="367"/>
      <c r="Z394" s="367"/>
      <c r="AA394" s="367"/>
      <c r="AB394" s="367"/>
      <c r="AC394" s="367"/>
      <c r="AD394" s="367"/>
      <c r="AE394" s="367"/>
      <c r="AF394" s="367"/>
      <c r="AG394" s="367"/>
      <c r="AH394" s="367"/>
      <c r="AI394" s="367"/>
      <c r="AJ394" s="367"/>
      <c r="AK394" s="367"/>
      <c r="AL394" s="367"/>
      <c r="AM394" s="367"/>
      <c r="AN394" s="367"/>
      <c r="AO394" s="367"/>
      <c r="AP394" s="367"/>
      <c r="AQ394" s="367"/>
      <c r="AR394" s="367"/>
      <c r="AS394" s="367"/>
      <c r="AT394" s="368"/>
      <c r="AU394" s="367"/>
    </row>
    <row r="395" spans="1:47" ht="12.75">
      <c r="A395" s="367"/>
      <c r="B395" s="367"/>
      <c r="C395" s="367"/>
      <c r="D395" s="367"/>
      <c r="E395" s="367"/>
      <c r="F395" s="367"/>
      <c r="G395" s="367"/>
      <c r="H395" s="367"/>
      <c r="I395" s="367"/>
      <c r="J395" s="367"/>
      <c r="K395" s="367"/>
      <c r="L395" s="367"/>
      <c r="M395" s="367"/>
      <c r="N395" s="367"/>
      <c r="O395" s="367"/>
      <c r="P395" s="364"/>
      <c r="Q395" s="365"/>
      <c r="R395" s="365"/>
      <c r="S395" s="365"/>
      <c r="T395" s="365"/>
      <c r="U395" s="366"/>
      <c r="V395" s="367"/>
      <c r="W395" s="367"/>
      <c r="X395" s="367"/>
      <c r="Y395" s="367"/>
      <c r="Z395" s="367"/>
      <c r="AA395" s="367"/>
      <c r="AB395" s="367"/>
      <c r="AC395" s="367"/>
      <c r="AD395" s="367"/>
      <c r="AE395" s="367"/>
      <c r="AF395" s="367"/>
      <c r="AG395" s="367"/>
      <c r="AH395" s="367"/>
      <c r="AI395" s="367"/>
      <c r="AJ395" s="367"/>
      <c r="AK395" s="367"/>
      <c r="AL395" s="367"/>
      <c r="AM395" s="367"/>
      <c r="AN395" s="367"/>
      <c r="AO395" s="367"/>
      <c r="AP395" s="367"/>
      <c r="AQ395" s="367"/>
      <c r="AR395" s="367"/>
      <c r="AS395" s="367"/>
      <c r="AT395" s="368"/>
      <c r="AU395" s="367"/>
    </row>
    <row r="396" spans="1:47" ht="12.75">
      <c r="A396" s="367"/>
      <c r="B396" s="367"/>
      <c r="C396" s="367"/>
      <c r="D396" s="367"/>
      <c r="E396" s="367"/>
      <c r="F396" s="367"/>
      <c r="G396" s="367"/>
      <c r="H396" s="367"/>
      <c r="I396" s="367"/>
      <c r="J396" s="367"/>
      <c r="K396" s="367"/>
      <c r="L396" s="367"/>
      <c r="M396" s="367"/>
      <c r="N396" s="367"/>
      <c r="O396" s="367"/>
      <c r="P396" s="364"/>
      <c r="Q396" s="365"/>
      <c r="R396" s="365"/>
      <c r="S396" s="365"/>
      <c r="T396" s="365"/>
      <c r="U396" s="366"/>
      <c r="V396" s="367"/>
      <c r="W396" s="367"/>
      <c r="X396" s="367"/>
      <c r="Y396" s="367"/>
      <c r="Z396" s="367"/>
      <c r="AA396" s="367"/>
      <c r="AB396" s="367"/>
      <c r="AC396" s="367"/>
      <c r="AD396" s="367"/>
      <c r="AE396" s="367"/>
      <c r="AF396" s="367"/>
      <c r="AG396" s="367"/>
      <c r="AH396" s="367"/>
      <c r="AI396" s="367"/>
      <c r="AJ396" s="367"/>
      <c r="AK396" s="367"/>
      <c r="AL396" s="367"/>
      <c r="AM396" s="367"/>
      <c r="AN396" s="367"/>
      <c r="AO396" s="367"/>
      <c r="AP396" s="367"/>
      <c r="AQ396" s="367"/>
      <c r="AR396" s="367"/>
      <c r="AS396" s="367"/>
      <c r="AT396" s="368"/>
      <c r="AU396" s="367"/>
    </row>
    <row r="397" spans="1:47" ht="12.75">
      <c r="A397" s="367"/>
      <c r="B397" s="367"/>
      <c r="C397" s="367"/>
      <c r="D397" s="367"/>
      <c r="E397" s="367"/>
      <c r="F397" s="367"/>
      <c r="G397" s="367"/>
      <c r="H397" s="367"/>
      <c r="I397" s="367"/>
      <c r="J397" s="367"/>
      <c r="K397" s="367"/>
      <c r="L397" s="367"/>
      <c r="M397" s="367"/>
      <c r="N397" s="367"/>
      <c r="O397" s="367"/>
      <c r="P397" s="364"/>
      <c r="Q397" s="365"/>
      <c r="R397" s="365"/>
      <c r="S397" s="365"/>
      <c r="T397" s="365"/>
      <c r="U397" s="366"/>
      <c r="V397" s="367"/>
      <c r="W397" s="367"/>
      <c r="X397" s="367"/>
      <c r="Y397" s="367"/>
      <c r="Z397" s="367"/>
      <c r="AA397" s="367"/>
      <c r="AB397" s="367"/>
      <c r="AC397" s="367"/>
      <c r="AD397" s="367"/>
      <c r="AE397" s="367"/>
      <c r="AF397" s="367"/>
      <c r="AG397" s="367"/>
      <c r="AH397" s="367"/>
      <c r="AI397" s="367"/>
      <c r="AJ397" s="367"/>
      <c r="AK397" s="367"/>
      <c r="AL397" s="367"/>
      <c r="AM397" s="367"/>
      <c r="AN397" s="367"/>
      <c r="AO397" s="367"/>
      <c r="AP397" s="367"/>
      <c r="AQ397" s="367"/>
      <c r="AR397" s="367"/>
      <c r="AS397" s="367"/>
      <c r="AT397" s="368"/>
      <c r="AU397" s="367"/>
    </row>
    <row r="398" spans="1:47" ht="12.75">
      <c r="A398" s="367"/>
      <c r="B398" s="367"/>
      <c r="C398" s="367"/>
      <c r="D398" s="367"/>
      <c r="E398" s="367"/>
      <c r="F398" s="367"/>
      <c r="G398" s="367"/>
      <c r="H398" s="367"/>
      <c r="I398" s="367"/>
      <c r="J398" s="367"/>
      <c r="K398" s="367"/>
      <c r="L398" s="367"/>
      <c r="M398" s="367"/>
      <c r="N398" s="367"/>
      <c r="O398" s="367"/>
      <c r="P398" s="364"/>
      <c r="Q398" s="365"/>
      <c r="R398" s="365"/>
      <c r="S398" s="365"/>
      <c r="T398" s="365"/>
      <c r="U398" s="366"/>
      <c r="V398" s="367"/>
      <c r="W398" s="367"/>
      <c r="X398" s="367"/>
      <c r="Y398" s="367"/>
      <c r="Z398" s="367"/>
      <c r="AA398" s="367"/>
      <c r="AB398" s="367"/>
      <c r="AC398" s="367"/>
      <c r="AD398" s="367"/>
      <c r="AE398" s="367"/>
      <c r="AF398" s="367"/>
      <c r="AG398" s="367"/>
      <c r="AH398" s="367"/>
      <c r="AI398" s="367"/>
      <c r="AJ398" s="367"/>
      <c r="AK398" s="367"/>
      <c r="AL398" s="367"/>
      <c r="AM398" s="367"/>
      <c r="AN398" s="367"/>
      <c r="AO398" s="367"/>
      <c r="AP398" s="367"/>
      <c r="AQ398" s="367"/>
      <c r="AR398" s="367"/>
      <c r="AS398" s="367"/>
      <c r="AT398" s="368"/>
      <c r="AU398" s="367"/>
    </row>
    <row r="399" spans="1:47" ht="12.75">
      <c r="A399" s="367"/>
      <c r="B399" s="367"/>
      <c r="C399" s="367"/>
      <c r="D399" s="367"/>
      <c r="E399" s="367"/>
      <c r="F399" s="367"/>
      <c r="G399" s="367"/>
      <c r="H399" s="367"/>
      <c r="I399" s="367"/>
      <c r="J399" s="367"/>
      <c r="K399" s="367"/>
      <c r="L399" s="367"/>
      <c r="M399" s="367"/>
      <c r="N399" s="367"/>
      <c r="O399" s="367"/>
      <c r="P399" s="364"/>
      <c r="Q399" s="365"/>
      <c r="R399" s="365"/>
      <c r="S399" s="365"/>
      <c r="T399" s="365"/>
      <c r="U399" s="366"/>
      <c r="V399" s="367"/>
      <c r="W399" s="367"/>
      <c r="X399" s="367"/>
      <c r="Y399" s="367"/>
      <c r="Z399" s="367"/>
      <c r="AA399" s="367"/>
      <c r="AB399" s="367"/>
      <c r="AC399" s="367"/>
      <c r="AD399" s="367"/>
      <c r="AE399" s="367"/>
      <c r="AF399" s="367"/>
      <c r="AG399" s="367"/>
      <c r="AH399" s="367"/>
      <c r="AI399" s="367"/>
      <c r="AJ399" s="367"/>
      <c r="AK399" s="367"/>
      <c r="AL399" s="367"/>
      <c r="AM399" s="367"/>
      <c r="AN399" s="367"/>
      <c r="AO399" s="367"/>
      <c r="AP399" s="367"/>
      <c r="AQ399" s="367"/>
      <c r="AR399" s="367"/>
      <c r="AS399" s="367"/>
      <c r="AT399" s="368"/>
      <c r="AU399" s="367"/>
    </row>
    <row r="400" spans="1:47" ht="12.75">
      <c r="A400" s="367"/>
      <c r="B400" s="367"/>
      <c r="C400" s="367"/>
      <c r="D400" s="367"/>
      <c r="E400" s="367"/>
      <c r="F400" s="367"/>
      <c r="G400" s="367"/>
      <c r="H400" s="367"/>
      <c r="I400" s="367"/>
      <c r="J400" s="367"/>
      <c r="K400" s="367"/>
      <c r="L400" s="367"/>
      <c r="M400" s="367"/>
      <c r="N400" s="367"/>
      <c r="O400" s="367"/>
      <c r="P400" s="364"/>
      <c r="Q400" s="365"/>
      <c r="R400" s="365"/>
      <c r="S400" s="365"/>
      <c r="T400" s="365"/>
      <c r="U400" s="366"/>
      <c r="V400" s="367"/>
      <c r="W400" s="367"/>
      <c r="X400" s="367"/>
      <c r="Y400" s="367"/>
      <c r="Z400" s="367"/>
      <c r="AA400" s="367"/>
      <c r="AB400" s="367"/>
      <c r="AC400" s="367"/>
      <c r="AD400" s="367"/>
      <c r="AE400" s="367"/>
      <c r="AF400" s="367"/>
      <c r="AG400" s="367"/>
      <c r="AH400" s="367"/>
      <c r="AI400" s="367"/>
      <c r="AJ400" s="367"/>
      <c r="AK400" s="367"/>
      <c r="AL400" s="367"/>
      <c r="AM400" s="367"/>
      <c r="AN400" s="367"/>
      <c r="AO400" s="367"/>
      <c r="AP400" s="367"/>
      <c r="AQ400" s="367"/>
      <c r="AR400" s="367"/>
      <c r="AS400" s="367"/>
      <c r="AT400" s="368"/>
      <c r="AU400" s="367"/>
    </row>
    <row r="401" spans="1:47" ht="12.75">
      <c r="A401" s="367"/>
      <c r="B401" s="367"/>
      <c r="C401" s="367"/>
      <c r="D401" s="367"/>
      <c r="E401" s="367"/>
      <c r="F401" s="367"/>
      <c r="G401" s="367"/>
      <c r="H401" s="367"/>
      <c r="I401" s="367"/>
      <c r="J401" s="367"/>
      <c r="K401" s="367"/>
      <c r="L401" s="367"/>
      <c r="M401" s="367"/>
      <c r="N401" s="367"/>
      <c r="O401" s="367"/>
      <c r="P401" s="364"/>
      <c r="Q401" s="365"/>
      <c r="R401" s="365"/>
      <c r="S401" s="365"/>
      <c r="T401" s="365"/>
      <c r="U401" s="366"/>
      <c r="V401" s="367"/>
      <c r="W401" s="367"/>
      <c r="X401" s="367"/>
      <c r="Y401" s="367"/>
      <c r="Z401" s="367"/>
      <c r="AA401" s="367"/>
      <c r="AB401" s="367"/>
      <c r="AC401" s="367"/>
      <c r="AD401" s="367"/>
      <c r="AE401" s="367"/>
      <c r="AF401" s="367"/>
      <c r="AG401" s="367"/>
      <c r="AH401" s="367"/>
      <c r="AI401" s="367"/>
      <c r="AJ401" s="367"/>
      <c r="AK401" s="367"/>
      <c r="AL401" s="367"/>
      <c r="AM401" s="367"/>
      <c r="AN401" s="367"/>
      <c r="AO401" s="367"/>
      <c r="AP401" s="367"/>
      <c r="AQ401" s="367"/>
      <c r="AR401" s="367"/>
      <c r="AS401" s="367"/>
      <c r="AT401" s="368"/>
      <c r="AU401" s="367"/>
    </row>
    <row r="402" spans="1:47" ht="12.75">
      <c r="A402" s="367"/>
      <c r="B402" s="367"/>
      <c r="C402" s="367"/>
      <c r="D402" s="367"/>
      <c r="E402" s="367"/>
      <c r="F402" s="367"/>
      <c r="G402" s="367"/>
      <c r="H402" s="367"/>
      <c r="I402" s="367"/>
      <c r="J402" s="367"/>
      <c r="K402" s="367"/>
      <c r="L402" s="367"/>
      <c r="M402" s="367"/>
      <c r="N402" s="367"/>
      <c r="O402" s="367"/>
      <c r="P402" s="364"/>
      <c r="Q402" s="365"/>
      <c r="R402" s="365"/>
      <c r="S402" s="365"/>
      <c r="T402" s="365"/>
      <c r="U402" s="366"/>
      <c r="V402" s="367"/>
      <c r="W402" s="367"/>
      <c r="X402" s="367"/>
      <c r="Y402" s="367"/>
      <c r="Z402" s="367"/>
      <c r="AA402" s="367"/>
      <c r="AB402" s="367"/>
      <c r="AC402" s="367"/>
      <c r="AD402" s="367"/>
      <c r="AE402" s="367"/>
      <c r="AF402" s="367"/>
      <c r="AG402" s="367"/>
      <c r="AH402" s="367"/>
      <c r="AI402" s="367"/>
      <c r="AJ402" s="367"/>
      <c r="AK402" s="367"/>
      <c r="AL402" s="367"/>
      <c r="AM402" s="367"/>
      <c r="AN402" s="367"/>
      <c r="AO402" s="367"/>
      <c r="AP402" s="367"/>
      <c r="AQ402" s="367"/>
      <c r="AR402" s="367"/>
      <c r="AS402" s="367"/>
      <c r="AT402" s="368"/>
      <c r="AU402" s="367"/>
    </row>
    <row r="403" spans="1:47" ht="12.75">
      <c r="A403" s="367"/>
      <c r="B403" s="367"/>
      <c r="C403" s="367"/>
      <c r="D403" s="367"/>
      <c r="E403" s="367"/>
      <c r="F403" s="367"/>
      <c r="G403" s="367"/>
      <c r="H403" s="367"/>
      <c r="I403" s="367"/>
      <c r="J403" s="367"/>
      <c r="K403" s="367"/>
      <c r="L403" s="367"/>
      <c r="M403" s="367"/>
      <c r="N403" s="367"/>
      <c r="O403" s="367"/>
      <c r="P403" s="364"/>
      <c r="Q403" s="365"/>
      <c r="R403" s="365"/>
      <c r="S403" s="365"/>
      <c r="T403" s="365"/>
      <c r="U403" s="366"/>
      <c r="V403" s="367"/>
      <c r="W403" s="367"/>
      <c r="X403" s="367"/>
      <c r="Y403" s="367"/>
      <c r="Z403" s="367"/>
      <c r="AA403" s="367"/>
      <c r="AB403" s="367"/>
      <c r="AC403" s="367"/>
      <c r="AD403" s="367"/>
      <c r="AE403" s="367"/>
      <c r="AF403" s="367"/>
      <c r="AG403" s="367"/>
      <c r="AH403" s="367"/>
      <c r="AI403" s="367"/>
      <c r="AJ403" s="367"/>
      <c r="AK403" s="367"/>
      <c r="AL403" s="367"/>
      <c r="AM403" s="367"/>
      <c r="AN403" s="367"/>
      <c r="AO403" s="367"/>
      <c r="AP403" s="367"/>
      <c r="AQ403" s="367"/>
      <c r="AR403" s="367"/>
      <c r="AS403" s="367"/>
      <c r="AT403" s="368"/>
      <c r="AU403" s="367"/>
    </row>
    <row r="404" spans="1:47" ht="12.75">
      <c r="A404" s="367"/>
      <c r="B404" s="367"/>
      <c r="C404" s="367"/>
      <c r="D404" s="367"/>
      <c r="E404" s="367"/>
      <c r="F404" s="367"/>
      <c r="G404" s="367"/>
      <c r="H404" s="367"/>
      <c r="I404" s="367"/>
      <c r="J404" s="367"/>
      <c r="K404" s="367"/>
      <c r="L404" s="367"/>
      <c r="M404" s="367"/>
      <c r="N404" s="367"/>
      <c r="O404" s="367"/>
      <c r="P404" s="364"/>
      <c r="Q404" s="365"/>
      <c r="R404" s="365"/>
      <c r="S404" s="365"/>
      <c r="T404" s="365"/>
      <c r="U404" s="366"/>
      <c r="V404" s="367"/>
      <c r="W404" s="367"/>
      <c r="X404" s="367"/>
      <c r="Y404" s="367"/>
      <c r="Z404" s="367"/>
      <c r="AA404" s="367"/>
      <c r="AB404" s="367"/>
      <c r="AC404" s="367"/>
      <c r="AD404" s="367"/>
      <c r="AE404" s="367"/>
      <c r="AF404" s="367"/>
      <c r="AG404" s="367"/>
      <c r="AH404" s="367"/>
      <c r="AI404" s="367"/>
      <c r="AJ404" s="367"/>
      <c r="AK404" s="367"/>
      <c r="AL404" s="367"/>
      <c r="AM404" s="367"/>
      <c r="AN404" s="367"/>
      <c r="AO404" s="367"/>
      <c r="AP404" s="367"/>
      <c r="AQ404" s="367"/>
      <c r="AR404" s="367"/>
      <c r="AS404" s="367"/>
      <c r="AT404" s="368"/>
      <c r="AU404" s="367"/>
    </row>
    <row r="405" spans="1:47" ht="12.75">
      <c r="A405" s="367"/>
      <c r="B405" s="367"/>
      <c r="C405" s="367"/>
      <c r="D405" s="367"/>
      <c r="E405" s="367"/>
      <c r="F405" s="367"/>
      <c r="G405" s="367"/>
      <c r="H405" s="367"/>
      <c r="I405" s="367"/>
      <c r="J405" s="367"/>
      <c r="K405" s="367"/>
      <c r="L405" s="367"/>
      <c r="M405" s="367"/>
      <c r="N405" s="367"/>
      <c r="O405" s="367"/>
      <c r="P405" s="364"/>
      <c r="Q405" s="365"/>
      <c r="R405" s="365"/>
      <c r="S405" s="365"/>
      <c r="T405" s="365"/>
      <c r="U405" s="366"/>
      <c r="V405" s="367"/>
      <c r="W405" s="367"/>
      <c r="X405" s="367"/>
      <c r="Y405" s="367"/>
      <c r="Z405" s="367"/>
      <c r="AA405" s="367"/>
      <c r="AB405" s="367"/>
      <c r="AC405" s="367"/>
      <c r="AD405" s="367"/>
      <c r="AE405" s="367"/>
      <c r="AF405" s="367"/>
      <c r="AG405" s="367"/>
      <c r="AH405" s="367"/>
      <c r="AI405" s="367"/>
      <c r="AJ405" s="367"/>
      <c r="AK405" s="367"/>
      <c r="AL405" s="367"/>
      <c r="AM405" s="367"/>
      <c r="AN405" s="367"/>
      <c r="AO405" s="367"/>
      <c r="AP405" s="367"/>
      <c r="AQ405" s="367"/>
      <c r="AR405" s="367"/>
      <c r="AS405" s="367"/>
      <c r="AT405" s="368"/>
      <c r="AU405" s="367"/>
    </row>
    <row r="406" spans="1:47" ht="12.75">
      <c r="A406" s="367"/>
      <c r="B406" s="367"/>
      <c r="C406" s="367"/>
      <c r="D406" s="367"/>
      <c r="E406" s="367"/>
      <c r="F406" s="367"/>
      <c r="G406" s="367"/>
      <c r="H406" s="367"/>
      <c r="I406" s="367"/>
      <c r="J406" s="367"/>
      <c r="K406" s="367"/>
      <c r="L406" s="367"/>
      <c r="M406" s="367"/>
      <c r="N406" s="367"/>
      <c r="O406" s="367"/>
      <c r="P406" s="364"/>
      <c r="Q406" s="365"/>
      <c r="R406" s="365"/>
      <c r="S406" s="365"/>
      <c r="T406" s="365"/>
      <c r="U406" s="366"/>
      <c r="V406" s="367"/>
      <c r="W406" s="367"/>
      <c r="X406" s="367"/>
      <c r="Y406" s="367"/>
      <c r="Z406" s="367"/>
      <c r="AA406" s="367"/>
      <c r="AB406" s="367"/>
      <c r="AC406" s="367"/>
      <c r="AD406" s="367"/>
      <c r="AE406" s="367"/>
      <c r="AF406" s="367"/>
      <c r="AG406" s="367"/>
      <c r="AH406" s="367"/>
      <c r="AI406" s="367"/>
      <c r="AJ406" s="367"/>
      <c r="AK406" s="367"/>
      <c r="AL406" s="367"/>
      <c r="AM406" s="367"/>
      <c r="AN406" s="367"/>
      <c r="AO406" s="367"/>
      <c r="AP406" s="367"/>
      <c r="AQ406" s="367"/>
      <c r="AR406" s="367"/>
      <c r="AS406" s="367"/>
      <c r="AT406" s="368"/>
      <c r="AU406" s="367"/>
    </row>
    <row r="407" spans="1:47" ht="12.75">
      <c r="A407" s="367"/>
      <c r="B407" s="367"/>
      <c r="C407" s="367"/>
      <c r="D407" s="367"/>
      <c r="E407" s="367"/>
      <c r="F407" s="367"/>
      <c r="G407" s="367"/>
      <c r="H407" s="367"/>
      <c r="I407" s="367"/>
      <c r="J407" s="367"/>
      <c r="K407" s="367"/>
      <c r="L407" s="367"/>
      <c r="M407" s="367"/>
      <c r="N407" s="367"/>
      <c r="O407" s="367"/>
      <c r="P407" s="364"/>
      <c r="Q407" s="365"/>
      <c r="R407" s="365"/>
      <c r="S407" s="365"/>
      <c r="T407" s="365"/>
      <c r="U407" s="366"/>
      <c r="V407" s="367"/>
      <c r="W407" s="367"/>
      <c r="X407" s="367"/>
      <c r="Y407" s="367"/>
      <c r="Z407" s="367"/>
      <c r="AA407" s="367"/>
      <c r="AB407" s="367"/>
      <c r="AC407" s="367"/>
      <c r="AD407" s="367"/>
      <c r="AE407" s="367"/>
      <c r="AF407" s="367"/>
      <c r="AG407" s="367"/>
      <c r="AH407" s="367"/>
      <c r="AI407" s="367"/>
      <c r="AJ407" s="367"/>
      <c r="AK407" s="367"/>
      <c r="AL407" s="367"/>
      <c r="AM407" s="367"/>
      <c r="AN407" s="367"/>
      <c r="AO407" s="367"/>
      <c r="AP407" s="367"/>
      <c r="AQ407" s="367"/>
      <c r="AR407" s="367"/>
      <c r="AS407" s="367"/>
      <c r="AT407" s="368"/>
      <c r="AU407" s="367"/>
    </row>
    <row r="408" spans="1:47" ht="12.75">
      <c r="A408" s="367"/>
      <c r="B408" s="367"/>
      <c r="C408" s="367"/>
      <c r="D408" s="367"/>
      <c r="E408" s="367"/>
      <c r="F408" s="367"/>
      <c r="G408" s="367"/>
      <c r="H408" s="367"/>
      <c r="I408" s="367"/>
      <c r="J408" s="367"/>
      <c r="K408" s="367"/>
      <c r="L408" s="367"/>
      <c r="M408" s="367"/>
      <c r="N408" s="367"/>
      <c r="O408" s="367"/>
      <c r="P408" s="364"/>
      <c r="Q408" s="365"/>
      <c r="R408" s="365"/>
      <c r="S408" s="365"/>
      <c r="T408" s="365"/>
      <c r="U408" s="366"/>
      <c r="V408" s="367"/>
      <c r="W408" s="367"/>
      <c r="X408" s="367"/>
      <c r="Y408" s="367"/>
      <c r="Z408" s="367"/>
      <c r="AA408" s="367"/>
      <c r="AB408" s="367"/>
      <c r="AC408" s="367"/>
      <c r="AD408" s="367"/>
      <c r="AE408" s="367"/>
      <c r="AF408" s="367"/>
      <c r="AG408" s="367"/>
      <c r="AH408" s="367"/>
      <c r="AI408" s="367"/>
      <c r="AJ408" s="367"/>
      <c r="AK408" s="367"/>
      <c r="AL408" s="367"/>
      <c r="AM408" s="367"/>
      <c r="AN408" s="367"/>
      <c r="AO408" s="367"/>
      <c r="AP408" s="367"/>
      <c r="AQ408" s="367"/>
      <c r="AR408" s="367"/>
      <c r="AS408" s="367"/>
      <c r="AT408" s="368"/>
      <c r="AU408" s="367"/>
    </row>
    <row r="409" spans="1:47" ht="12.75">
      <c r="A409" s="367"/>
      <c r="B409" s="367"/>
      <c r="C409" s="367"/>
      <c r="D409" s="367"/>
      <c r="E409" s="367"/>
      <c r="F409" s="367"/>
      <c r="G409" s="367"/>
      <c r="H409" s="367"/>
      <c r="I409" s="367"/>
      <c r="J409" s="367"/>
      <c r="K409" s="367"/>
      <c r="L409" s="367"/>
      <c r="M409" s="367"/>
      <c r="N409" s="367"/>
      <c r="O409" s="367"/>
      <c r="P409" s="364"/>
      <c r="Q409" s="365"/>
      <c r="R409" s="365"/>
      <c r="S409" s="365"/>
      <c r="T409" s="365"/>
      <c r="U409" s="366"/>
      <c r="V409" s="367"/>
      <c r="W409" s="367"/>
      <c r="X409" s="367"/>
      <c r="Y409" s="367"/>
      <c r="Z409" s="367"/>
      <c r="AA409" s="367"/>
      <c r="AB409" s="367"/>
      <c r="AC409" s="367"/>
      <c r="AD409" s="367"/>
      <c r="AE409" s="367"/>
      <c r="AF409" s="367"/>
      <c r="AG409" s="367"/>
      <c r="AH409" s="367"/>
      <c r="AI409" s="367"/>
      <c r="AJ409" s="367"/>
      <c r="AK409" s="367"/>
      <c r="AL409" s="367"/>
      <c r="AM409" s="367"/>
      <c r="AN409" s="367"/>
      <c r="AO409" s="367"/>
      <c r="AP409" s="367"/>
      <c r="AQ409" s="367"/>
      <c r="AR409" s="367"/>
      <c r="AS409" s="367"/>
      <c r="AT409" s="368"/>
      <c r="AU409" s="367"/>
    </row>
    <row r="410" spans="1:47" ht="12.75">
      <c r="A410" s="367"/>
      <c r="B410" s="367"/>
      <c r="C410" s="367"/>
      <c r="D410" s="367"/>
      <c r="E410" s="367"/>
      <c r="F410" s="367"/>
      <c r="G410" s="367"/>
      <c r="H410" s="367"/>
      <c r="I410" s="367"/>
      <c r="J410" s="367"/>
      <c r="K410" s="367"/>
      <c r="L410" s="367"/>
      <c r="M410" s="367"/>
      <c r="N410" s="367"/>
      <c r="O410" s="367"/>
      <c r="P410" s="364"/>
      <c r="Q410" s="365"/>
      <c r="R410" s="365"/>
      <c r="S410" s="365"/>
      <c r="T410" s="365"/>
      <c r="U410" s="366"/>
      <c r="V410" s="367"/>
      <c r="W410" s="367"/>
      <c r="X410" s="367"/>
      <c r="Y410" s="367"/>
      <c r="Z410" s="367"/>
      <c r="AA410" s="367"/>
      <c r="AB410" s="367"/>
      <c r="AC410" s="367"/>
      <c r="AD410" s="367"/>
      <c r="AE410" s="367"/>
      <c r="AF410" s="367"/>
      <c r="AG410" s="367"/>
      <c r="AH410" s="367"/>
      <c r="AI410" s="367"/>
      <c r="AJ410" s="367"/>
      <c r="AK410" s="367"/>
      <c r="AL410" s="367"/>
      <c r="AM410" s="367"/>
      <c r="AN410" s="367"/>
      <c r="AO410" s="367"/>
      <c r="AP410" s="367"/>
      <c r="AQ410" s="367"/>
      <c r="AR410" s="367"/>
      <c r="AS410" s="367"/>
      <c r="AT410" s="368"/>
      <c r="AU410" s="367"/>
    </row>
    <row r="411" spans="1:47" ht="12.75">
      <c r="A411" s="367"/>
      <c r="B411" s="367"/>
      <c r="C411" s="367"/>
      <c r="D411" s="367"/>
      <c r="E411" s="367"/>
      <c r="F411" s="367"/>
      <c r="G411" s="367"/>
      <c r="H411" s="367"/>
      <c r="I411" s="367"/>
      <c r="J411" s="367"/>
      <c r="K411" s="367"/>
      <c r="L411" s="367"/>
      <c r="M411" s="367"/>
      <c r="N411" s="367"/>
      <c r="O411" s="367"/>
      <c r="P411" s="364"/>
      <c r="Q411" s="365"/>
      <c r="R411" s="365"/>
      <c r="S411" s="365"/>
      <c r="T411" s="365"/>
      <c r="U411" s="366"/>
      <c r="V411" s="367"/>
      <c r="W411" s="367"/>
      <c r="X411" s="367"/>
      <c r="Y411" s="367"/>
      <c r="Z411" s="367"/>
      <c r="AA411" s="367"/>
      <c r="AB411" s="367"/>
      <c r="AC411" s="367"/>
      <c r="AD411" s="367"/>
      <c r="AE411" s="367"/>
      <c r="AF411" s="367"/>
      <c r="AG411" s="367"/>
      <c r="AH411" s="367"/>
      <c r="AI411" s="367"/>
      <c r="AJ411" s="367"/>
      <c r="AK411" s="367"/>
      <c r="AL411" s="367"/>
      <c r="AM411" s="367"/>
      <c r="AN411" s="367"/>
      <c r="AO411" s="367"/>
      <c r="AP411" s="367"/>
      <c r="AQ411" s="367"/>
      <c r="AR411" s="367"/>
      <c r="AS411" s="367"/>
      <c r="AT411" s="368"/>
      <c r="AU411" s="367"/>
    </row>
    <row r="412" spans="1:47" ht="12.75">
      <c r="A412" s="367"/>
      <c r="B412" s="367"/>
      <c r="C412" s="367"/>
      <c r="D412" s="367"/>
      <c r="E412" s="367"/>
      <c r="F412" s="367"/>
      <c r="G412" s="367"/>
      <c r="H412" s="367"/>
      <c r="I412" s="367"/>
      <c r="J412" s="367"/>
      <c r="K412" s="367"/>
      <c r="L412" s="367"/>
      <c r="M412" s="367"/>
      <c r="N412" s="367"/>
      <c r="O412" s="367"/>
      <c r="P412" s="364"/>
      <c r="Q412" s="365"/>
      <c r="R412" s="365"/>
      <c r="S412" s="365"/>
      <c r="T412" s="365"/>
      <c r="U412" s="366"/>
      <c r="V412" s="367"/>
      <c r="W412" s="367"/>
      <c r="X412" s="367"/>
      <c r="Y412" s="367"/>
      <c r="Z412" s="367"/>
      <c r="AA412" s="367"/>
      <c r="AB412" s="367"/>
      <c r="AC412" s="367"/>
      <c r="AD412" s="367"/>
      <c r="AE412" s="367"/>
      <c r="AF412" s="367"/>
      <c r="AG412" s="367"/>
      <c r="AH412" s="367"/>
      <c r="AI412" s="367"/>
      <c r="AJ412" s="367"/>
      <c r="AK412" s="367"/>
      <c r="AL412" s="367"/>
      <c r="AM412" s="367"/>
      <c r="AN412" s="367"/>
      <c r="AO412" s="367"/>
      <c r="AP412" s="367"/>
      <c r="AQ412" s="367"/>
      <c r="AR412" s="367"/>
      <c r="AS412" s="367"/>
      <c r="AT412" s="368"/>
      <c r="AU412" s="367"/>
    </row>
    <row r="413" spans="1:47" ht="12.75">
      <c r="A413" s="367"/>
      <c r="B413" s="367"/>
      <c r="C413" s="367"/>
      <c r="D413" s="367"/>
      <c r="E413" s="367"/>
      <c r="F413" s="367"/>
      <c r="G413" s="367"/>
      <c r="H413" s="367"/>
      <c r="I413" s="367"/>
      <c r="J413" s="367"/>
      <c r="K413" s="367"/>
      <c r="L413" s="367"/>
      <c r="M413" s="367"/>
      <c r="N413" s="367"/>
      <c r="O413" s="367"/>
      <c r="P413" s="364"/>
      <c r="Q413" s="365"/>
      <c r="R413" s="365"/>
      <c r="S413" s="365"/>
      <c r="T413" s="365"/>
      <c r="U413" s="366"/>
      <c r="V413" s="367"/>
      <c r="W413" s="367"/>
      <c r="X413" s="367"/>
      <c r="Y413" s="367"/>
      <c r="Z413" s="367"/>
      <c r="AA413" s="367"/>
      <c r="AB413" s="367"/>
      <c r="AC413" s="367"/>
      <c r="AD413" s="367"/>
      <c r="AE413" s="367"/>
      <c r="AF413" s="367"/>
      <c r="AG413" s="367"/>
      <c r="AH413" s="367"/>
      <c r="AI413" s="367"/>
      <c r="AJ413" s="367"/>
      <c r="AK413" s="367"/>
      <c r="AL413" s="367"/>
      <c r="AM413" s="367"/>
      <c r="AN413" s="367"/>
      <c r="AO413" s="367"/>
      <c r="AP413" s="367"/>
      <c r="AQ413" s="367"/>
      <c r="AR413" s="367"/>
      <c r="AS413" s="367"/>
      <c r="AT413" s="368"/>
      <c r="AU413" s="367"/>
    </row>
    <row r="414" spans="1:47" ht="12.75">
      <c r="A414" s="367"/>
      <c r="B414" s="367"/>
      <c r="C414" s="367"/>
      <c r="D414" s="367"/>
      <c r="E414" s="367"/>
      <c r="F414" s="367"/>
      <c r="G414" s="367"/>
      <c r="H414" s="367"/>
      <c r="I414" s="367"/>
      <c r="J414" s="367"/>
      <c r="K414" s="367"/>
      <c r="L414" s="367"/>
      <c r="M414" s="367"/>
      <c r="N414" s="367"/>
      <c r="O414" s="367"/>
      <c r="P414" s="364"/>
      <c r="Q414" s="365"/>
      <c r="R414" s="365"/>
      <c r="S414" s="365"/>
      <c r="T414" s="365"/>
      <c r="U414" s="366"/>
      <c r="V414" s="367"/>
      <c r="W414" s="367"/>
      <c r="X414" s="367"/>
      <c r="Y414" s="367"/>
      <c r="Z414" s="367"/>
      <c r="AA414" s="367"/>
      <c r="AB414" s="367"/>
      <c r="AC414" s="367"/>
      <c r="AD414" s="367"/>
      <c r="AE414" s="367"/>
      <c r="AF414" s="367"/>
      <c r="AG414" s="367"/>
      <c r="AH414" s="367"/>
      <c r="AI414" s="367"/>
      <c r="AJ414" s="367"/>
      <c r="AK414" s="367"/>
      <c r="AL414" s="367"/>
      <c r="AM414" s="367"/>
      <c r="AN414" s="367"/>
      <c r="AO414" s="367"/>
      <c r="AP414" s="367"/>
      <c r="AQ414" s="367"/>
      <c r="AR414" s="367"/>
      <c r="AS414" s="367"/>
      <c r="AT414" s="368"/>
      <c r="AU414" s="367"/>
    </row>
    <row r="415" spans="1:47" ht="12.75">
      <c r="A415" s="367"/>
      <c r="B415" s="367"/>
      <c r="C415" s="367"/>
      <c r="D415" s="367"/>
      <c r="E415" s="367"/>
      <c r="F415" s="367"/>
      <c r="G415" s="367"/>
      <c r="H415" s="367"/>
      <c r="I415" s="367"/>
      <c r="J415" s="367"/>
      <c r="K415" s="367"/>
      <c r="L415" s="367"/>
      <c r="M415" s="367"/>
      <c r="N415" s="367"/>
      <c r="O415" s="367"/>
      <c r="P415" s="364"/>
      <c r="Q415" s="365"/>
      <c r="R415" s="365"/>
      <c r="S415" s="365"/>
      <c r="T415" s="365"/>
      <c r="U415" s="366"/>
      <c r="V415" s="367"/>
      <c r="W415" s="367"/>
      <c r="X415" s="367"/>
      <c r="Y415" s="367"/>
      <c r="Z415" s="367"/>
      <c r="AA415" s="367"/>
      <c r="AB415" s="367"/>
      <c r="AC415" s="367"/>
      <c r="AD415" s="367"/>
      <c r="AE415" s="367"/>
      <c r="AF415" s="367"/>
      <c r="AG415" s="367"/>
      <c r="AH415" s="367"/>
      <c r="AI415" s="367"/>
      <c r="AJ415" s="367"/>
      <c r="AK415" s="367"/>
      <c r="AL415" s="367"/>
      <c r="AM415" s="367"/>
      <c r="AN415" s="367"/>
      <c r="AO415" s="367"/>
      <c r="AP415" s="367"/>
      <c r="AQ415" s="367"/>
      <c r="AR415" s="367"/>
      <c r="AS415" s="367"/>
      <c r="AT415" s="368"/>
      <c r="AU415" s="367"/>
    </row>
    <row r="416" spans="1:47" ht="12.75">
      <c r="A416" s="367"/>
      <c r="B416" s="367"/>
      <c r="C416" s="367"/>
      <c r="D416" s="367"/>
      <c r="E416" s="367"/>
      <c r="F416" s="367"/>
      <c r="G416" s="367"/>
      <c r="H416" s="367"/>
      <c r="I416" s="367"/>
      <c r="J416" s="367"/>
      <c r="K416" s="367"/>
      <c r="L416" s="367"/>
      <c r="M416" s="367"/>
      <c r="N416" s="367"/>
      <c r="O416" s="367"/>
      <c r="P416" s="364"/>
      <c r="Q416" s="365"/>
      <c r="R416" s="365"/>
      <c r="S416" s="365"/>
      <c r="T416" s="365"/>
      <c r="U416" s="366"/>
      <c r="V416" s="367"/>
      <c r="W416" s="367"/>
      <c r="X416" s="367"/>
      <c r="Y416" s="367"/>
      <c r="Z416" s="367"/>
      <c r="AA416" s="367"/>
      <c r="AB416" s="367"/>
      <c r="AC416" s="367"/>
      <c r="AD416" s="367"/>
      <c r="AE416" s="367"/>
      <c r="AF416" s="367"/>
      <c r="AG416" s="367"/>
      <c r="AH416" s="367"/>
      <c r="AI416" s="367"/>
      <c r="AJ416" s="367"/>
      <c r="AK416" s="367"/>
      <c r="AL416" s="367"/>
      <c r="AM416" s="367"/>
      <c r="AN416" s="367"/>
      <c r="AO416" s="367"/>
      <c r="AP416" s="367"/>
      <c r="AQ416" s="367"/>
      <c r="AR416" s="367"/>
      <c r="AS416" s="367"/>
      <c r="AT416" s="368"/>
      <c r="AU416" s="367"/>
    </row>
    <row r="417" spans="1:47" ht="12.75">
      <c r="A417" s="367"/>
      <c r="B417" s="367"/>
      <c r="C417" s="367"/>
      <c r="D417" s="367"/>
      <c r="E417" s="367"/>
      <c r="F417" s="367"/>
      <c r="G417" s="367"/>
      <c r="H417" s="367"/>
      <c r="I417" s="367"/>
      <c r="J417" s="367"/>
      <c r="K417" s="367"/>
      <c r="L417" s="367"/>
      <c r="M417" s="367"/>
      <c r="N417" s="367"/>
      <c r="O417" s="367"/>
      <c r="P417" s="364"/>
      <c r="Q417" s="365"/>
      <c r="R417" s="365"/>
      <c r="S417" s="365"/>
      <c r="T417" s="365"/>
      <c r="U417" s="366"/>
      <c r="V417" s="367"/>
      <c r="W417" s="367"/>
      <c r="X417" s="367"/>
      <c r="Y417" s="367"/>
      <c r="Z417" s="367"/>
      <c r="AA417" s="367"/>
      <c r="AB417" s="367"/>
      <c r="AC417" s="367"/>
      <c r="AD417" s="367"/>
      <c r="AE417" s="367"/>
      <c r="AF417" s="367"/>
      <c r="AG417" s="367"/>
      <c r="AH417" s="367"/>
      <c r="AI417" s="367"/>
      <c r="AJ417" s="367"/>
      <c r="AK417" s="367"/>
      <c r="AL417" s="367"/>
      <c r="AM417" s="367"/>
      <c r="AN417" s="367"/>
      <c r="AO417" s="367"/>
      <c r="AP417" s="367"/>
      <c r="AQ417" s="367"/>
      <c r="AR417" s="367"/>
      <c r="AS417" s="367"/>
      <c r="AT417" s="368"/>
      <c r="AU417" s="367"/>
    </row>
    <row r="418" spans="1:47" ht="12.75">
      <c r="A418" s="367"/>
      <c r="B418" s="367"/>
      <c r="C418" s="367"/>
      <c r="D418" s="367"/>
      <c r="E418" s="367"/>
      <c r="F418" s="367"/>
      <c r="G418" s="367"/>
      <c r="H418" s="367"/>
      <c r="I418" s="367"/>
      <c r="J418" s="367"/>
      <c r="K418" s="367"/>
      <c r="L418" s="367"/>
      <c r="M418" s="367"/>
      <c r="N418" s="367"/>
      <c r="O418" s="367"/>
      <c r="P418" s="364"/>
      <c r="Q418" s="365"/>
      <c r="R418" s="365"/>
      <c r="S418" s="365"/>
      <c r="T418" s="365"/>
      <c r="U418" s="366"/>
      <c r="V418" s="367"/>
      <c r="W418" s="367"/>
      <c r="X418" s="367"/>
      <c r="Y418" s="367"/>
      <c r="Z418" s="367"/>
      <c r="AA418" s="367"/>
      <c r="AB418" s="367"/>
      <c r="AC418" s="367"/>
      <c r="AD418" s="367"/>
      <c r="AE418" s="367"/>
      <c r="AF418" s="367"/>
      <c r="AG418" s="367"/>
      <c r="AH418" s="367"/>
      <c r="AI418" s="367"/>
      <c r="AJ418" s="367"/>
      <c r="AK418" s="367"/>
      <c r="AL418" s="367"/>
      <c r="AM418" s="367"/>
      <c r="AN418" s="367"/>
      <c r="AO418" s="367"/>
      <c r="AP418" s="367"/>
      <c r="AQ418" s="367"/>
      <c r="AR418" s="367"/>
      <c r="AS418" s="367"/>
      <c r="AT418" s="368"/>
      <c r="AU418" s="367"/>
    </row>
    <row r="419" spans="1:47" ht="12.75">
      <c r="A419" s="367"/>
      <c r="B419" s="367"/>
      <c r="C419" s="367"/>
      <c r="D419" s="367"/>
      <c r="E419" s="367"/>
      <c r="F419" s="367"/>
      <c r="G419" s="367"/>
      <c r="H419" s="367"/>
      <c r="I419" s="367"/>
      <c r="J419" s="367"/>
      <c r="K419" s="367"/>
      <c r="L419" s="367"/>
      <c r="M419" s="367"/>
      <c r="N419" s="367"/>
      <c r="O419" s="367"/>
      <c r="P419" s="364"/>
      <c r="Q419" s="365"/>
      <c r="R419" s="365"/>
      <c r="S419" s="365"/>
      <c r="T419" s="365"/>
      <c r="U419" s="366"/>
      <c r="V419" s="367"/>
      <c r="W419" s="367"/>
      <c r="X419" s="367"/>
      <c r="Y419" s="367"/>
      <c r="Z419" s="367"/>
      <c r="AA419" s="367"/>
      <c r="AB419" s="367"/>
      <c r="AC419" s="367"/>
      <c r="AD419" s="367"/>
      <c r="AE419" s="367"/>
      <c r="AF419" s="367"/>
      <c r="AG419" s="367"/>
      <c r="AH419" s="367"/>
      <c r="AI419" s="367"/>
      <c r="AJ419" s="367"/>
      <c r="AK419" s="367"/>
      <c r="AL419" s="367"/>
      <c r="AM419" s="367"/>
      <c r="AN419" s="367"/>
      <c r="AO419" s="367"/>
      <c r="AP419" s="367"/>
      <c r="AQ419" s="367"/>
      <c r="AR419" s="367"/>
      <c r="AS419" s="367"/>
      <c r="AT419" s="368"/>
      <c r="AU419" s="367"/>
    </row>
    <row r="420" spans="1:47" ht="12.75">
      <c r="A420" s="367"/>
      <c r="B420" s="367"/>
      <c r="C420" s="367"/>
      <c r="D420" s="367"/>
      <c r="E420" s="367"/>
      <c r="F420" s="367"/>
      <c r="G420" s="367"/>
      <c r="H420" s="367"/>
      <c r="I420" s="367"/>
      <c r="J420" s="367"/>
      <c r="K420" s="367"/>
      <c r="L420" s="367"/>
      <c r="M420" s="367"/>
      <c r="N420" s="367"/>
      <c r="O420" s="367"/>
      <c r="P420" s="364"/>
      <c r="Q420" s="365"/>
      <c r="R420" s="365"/>
      <c r="S420" s="365"/>
      <c r="T420" s="365"/>
      <c r="U420" s="366"/>
      <c r="V420" s="367"/>
      <c r="W420" s="367"/>
      <c r="X420" s="367"/>
      <c r="Y420" s="367"/>
      <c r="Z420" s="367"/>
      <c r="AA420" s="367"/>
      <c r="AB420" s="367"/>
      <c r="AC420" s="367"/>
      <c r="AD420" s="367"/>
      <c r="AE420" s="367"/>
      <c r="AF420" s="367"/>
      <c r="AG420" s="367"/>
      <c r="AH420" s="367"/>
      <c r="AI420" s="367"/>
      <c r="AJ420" s="367"/>
      <c r="AK420" s="367"/>
      <c r="AL420" s="367"/>
      <c r="AM420" s="367"/>
      <c r="AN420" s="367"/>
      <c r="AO420" s="367"/>
      <c r="AP420" s="367"/>
      <c r="AQ420" s="367"/>
      <c r="AR420" s="367"/>
      <c r="AS420" s="367"/>
      <c r="AT420" s="368"/>
      <c r="AU420" s="367"/>
    </row>
    <row r="421" spans="1:47" ht="12.75">
      <c r="A421" s="367"/>
      <c r="B421" s="367"/>
      <c r="C421" s="367"/>
      <c r="D421" s="367"/>
      <c r="E421" s="367"/>
      <c r="F421" s="367"/>
      <c r="G421" s="367"/>
      <c r="H421" s="367"/>
      <c r="I421" s="367"/>
      <c r="J421" s="367"/>
      <c r="K421" s="367"/>
      <c r="L421" s="367"/>
      <c r="M421" s="367"/>
      <c r="N421" s="367"/>
      <c r="O421" s="367"/>
      <c r="P421" s="364"/>
      <c r="Q421" s="365"/>
      <c r="R421" s="365"/>
      <c r="S421" s="365"/>
      <c r="T421" s="365"/>
      <c r="U421" s="366"/>
      <c r="V421" s="367"/>
      <c r="W421" s="367"/>
      <c r="X421" s="367"/>
      <c r="Y421" s="367"/>
      <c r="Z421" s="367"/>
      <c r="AA421" s="367"/>
      <c r="AB421" s="367"/>
      <c r="AC421" s="367"/>
      <c r="AD421" s="367"/>
      <c r="AE421" s="367"/>
      <c r="AF421" s="367"/>
      <c r="AG421" s="367"/>
      <c r="AH421" s="367"/>
      <c r="AI421" s="367"/>
      <c r="AJ421" s="367"/>
      <c r="AK421" s="367"/>
      <c r="AL421" s="367"/>
      <c r="AM421" s="367"/>
      <c r="AN421" s="367"/>
      <c r="AO421" s="367"/>
      <c r="AP421" s="367"/>
      <c r="AQ421" s="367"/>
      <c r="AR421" s="367"/>
      <c r="AS421" s="367"/>
      <c r="AT421" s="368"/>
      <c r="AU421" s="367"/>
    </row>
    <row r="422" spans="1:47" ht="12.75">
      <c r="A422" s="367"/>
      <c r="B422" s="367"/>
      <c r="C422" s="367"/>
      <c r="D422" s="367"/>
      <c r="E422" s="367"/>
      <c r="F422" s="367"/>
      <c r="G422" s="367"/>
      <c r="H422" s="367"/>
      <c r="I422" s="367"/>
      <c r="J422" s="367"/>
      <c r="K422" s="367"/>
      <c r="L422" s="367"/>
      <c r="M422" s="367"/>
      <c r="N422" s="367"/>
      <c r="O422" s="367"/>
      <c r="P422" s="364"/>
      <c r="Q422" s="365"/>
      <c r="R422" s="365"/>
      <c r="S422" s="365"/>
      <c r="T422" s="365"/>
      <c r="U422" s="366"/>
      <c r="V422" s="367"/>
      <c r="W422" s="367"/>
      <c r="X422" s="367"/>
      <c r="Y422" s="367"/>
      <c r="Z422" s="367"/>
      <c r="AA422" s="367"/>
      <c r="AB422" s="367"/>
      <c r="AC422" s="367"/>
      <c r="AD422" s="367"/>
      <c r="AE422" s="367"/>
      <c r="AF422" s="367"/>
      <c r="AG422" s="367"/>
      <c r="AH422" s="367"/>
      <c r="AI422" s="367"/>
      <c r="AJ422" s="367"/>
      <c r="AK422" s="367"/>
      <c r="AL422" s="367"/>
      <c r="AM422" s="367"/>
      <c r="AN422" s="367"/>
      <c r="AO422" s="367"/>
      <c r="AP422" s="367"/>
      <c r="AQ422" s="367"/>
      <c r="AR422" s="367"/>
      <c r="AS422" s="367"/>
      <c r="AT422" s="368"/>
      <c r="AU422" s="367"/>
    </row>
    <row r="423" spans="1:47" ht="12.75">
      <c r="A423" s="367"/>
      <c r="B423" s="367"/>
      <c r="C423" s="367"/>
      <c r="D423" s="367"/>
      <c r="E423" s="367"/>
      <c r="F423" s="367"/>
      <c r="G423" s="367"/>
      <c r="H423" s="367"/>
      <c r="I423" s="367"/>
      <c r="J423" s="367"/>
      <c r="K423" s="367"/>
      <c r="L423" s="367"/>
      <c r="M423" s="367"/>
      <c r="N423" s="367"/>
      <c r="O423" s="367"/>
      <c r="P423" s="364"/>
      <c r="Q423" s="365"/>
      <c r="R423" s="365"/>
      <c r="S423" s="365"/>
      <c r="T423" s="365"/>
      <c r="U423" s="366"/>
      <c r="V423" s="367"/>
      <c r="W423" s="367"/>
      <c r="X423" s="367"/>
      <c r="Y423" s="367"/>
      <c r="Z423" s="367"/>
      <c r="AA423" s="367"/>
      <c r="AB423" s="367"/>
      <c r="AC423" s="367"/>
      <c r="AD423" s="367"/>
      <c r="AE423" s="367"/>
      <c r="AF423" s="367"/>
      <c r="AG423" s="367"/>
      <c r="AH423" s="367"/>
      <c r="AI423" s="367"/>
      <c r="AJ423" s="367"/>
      <c r="AK423" s="367"/>
      <c r="AL423" s="367"/>
      <c r="AM423" s="367"/>
      <c r="AN423" s="367"/>
      <c r="AO423" s="367"/>
      <c r="AP423" s="367"/>
      <c r="AQ423" s="367"/>
      <c r="AR423" s="367"/>
      <c r="AS423" s="367"/>
      <c r="AT423" s="368"/>
      <c r="AU423" s="367"/>
    </row>
    <row r="424" spans="1:47" ht="12.75">
      <c r="A424" s="367"/>
      <c r="B424" s="367"/>
      <c r="C424" s="367"/>
      <c r="D424" s="367"/>
      <c r="E424" s="367"/>
      <c r="F424" s="367"/>
      <c r="G424" s="367"/>
      <c r="H424" s="367"/>
      <c r="I424" s="367"/>
      <c r="J424" s="367"/>
      <c r="K424" s="367"/>
      <c r="L424" s="367"/>
      <c r="M424" s="367"/>
      <c r="N424" s="367"/>
      <c r="O424" s="367"/>
      <c r="P424" s="364"/>
      <c r="Q424" s="365"/>
      <c r="R424" s="365"/>
      <c r="S424" s="365"/>
      <c r="T424" s="365"/>
      <c r="U424" s="366"/>
      <c r="V424" s="367"/>
      <c r="W424" s="367"/>
      <c r="X424" s="367"/>
      <c r="Y424" s="367"/>
      <c r="Z424" s="367"/>
      <c r="AA424" s="367"/>
      <c r="AB424" s="367"/>
      <c r="AC424" s="367"/>
      <c r="AD424" s="367"/>
      <c r="AE424" s="367"/>
      <c r="AF424" s="367"/>
      <c r="AG424" s="367"/>
      <c r="AH424" s="367"/>
      <c r="AI424" s="367"/>
      <c r="AJ424" s="367"/>
      <c r="AK424" s="367"/>
      <c r="AL424" s="367"/>
      <c r="AM424" s="367"/>
      <c r="AN424" s="367"/>
      <c r="AO424" s="367"/>
      <c r="AP424" s="367"/>
      <c r="AQ424" s="367"/>
      <c r="AR424" s="367"/>
      <c r="AS424" s="367"/>
      <c r="AT424" s="368"/>
      <c r="AU424" s="367"/>
    </row>
    <row r="425" spans="1:47" ht="12.75">
      <c r="A425" s="367"/>
      <c r="B425" s="367"/>
      <c r="C425" s="367"/>
      <c r="D425" s="367"/>
      <c r="E425" s="367"/>
      <c r="F425" s="367"/>
      <c r="G425" s="367"/>
      <c r="H425" s="367"/>
      <c r="I425" s="367"/>
      <c r="J425" s="367"/>
      <c r="K425" s="367"/>
      <c r="L425" s="367"/>
      <c r="M425" s="367"/>
      <c r="N425" s="367"/>
      <c r="O425" s="367"/>
      <c r="P425" s="364"/>
      <c r="Q425" s="365"/>
      <c r="R425" s="365"/>
      <c r="S425" s="365"/>
      <c r="T425" s="365"/>
      <c r="U425" s="366"/>
      <c r="V425" s="367"/>
      <c r="W425" s="367"/>
      <c r="X425" s="367"/>
      <c r="Y425" s="367"/>
      <c r="Z425" s="367"/>
      <c r="AA425" s="367"/>
      <c r="AB425" s="367"/>
      <c r="AC425" s="367"/>
      <c r="AD425" s="367"/>
      <c r="AE425" s="367"/>
      <c r="AF425" s="367"/>
      <c r="AG425" s="367"/>
      <c r="AH425" s="367"/>
      <c r="AI425" s="367"/>
      <c r="AJ425" s="367"/>
      <c r="AK425" s="367"/>
      <c r="AL425" s="367"/>
      <c r="AM425" s="367"/>
      <c r="AN425" s="367"/>
      <c r="AO425" s="367"/>
      <c r="AP425" s="367"/>
      <c r="AQ425" s="367"/>
      <c r="AR425" s="367"/>
      <c r="AS425" s="367"/>
      <c r="AT425" s="368"/>
      <c r="AU425" s="367"/>
    </row>
    <row r="426" spans="1:47" ht="12.75">
      <c r="A426" s="367"/>
      <c r="B426" s="367"/>
      <c r="C426" s="367"/>
      <c r="D426" s="367"/>
      <c r="E426" s="367"/>
      <c r="F426" s="367"/>
      <c r="G426" s="367"/>
      <c r="H426" s="367"/>
      <c r="I426" s="367"/>
      <c r="J426" s="367"/>
      <c r="K426" s="367"/>
      <c r="L426" s="367"/>
      <c r="M426" s="367"/>
      <c r="N426" s="367"/>
      <c r="O426" s="367"/>
      <c r="P426" s="364"/>
      <c r="Q426" s="365"/>
      <c r="R426" s="365"/>
      <c r="S426" s="365"/>
      <c r="T426" s="365"/>
      <c r="U426" s="366"/>
      <c r="V426" s="367"/>
      <c r="W426" s="367"/>
      <c r="X426" s="367"/>
      <c r="Y426" s="367"/>
      <c r="Z426" s="367"/>
      <c r="AA426" s="367"/>
      <c r="AB426" s="367"/>
      <c r="AC426" s="367"/>
      <c r="AD426" s="367"/>
      <c r="AE426" s="367"/>
      <c r="AF426" s="367"/>
      <c r="AG426" s="367"/>
      <c r="AH426" s="367"/>
      <c r="AI426" s="367"/>
      <c r="AJ426" s="367"/>
      <c r="AK426" s="367"/>
      <c r="AL426" s="367"/>
      <c r="AM426" s="367"/>
      <c r="AN426" s="367"/>
      <c r="AO426" s="367"/>
      <c r="AP426" s="367"/>
      <c r="AQ426" s="367"/>
      <c r="AR426" s="367"/>
      <c r="AS426" s="367"/>
      <c r="AT426" s="368"/>
      <c r="AU426" s="367"/>
    </row>
    <row r="427" spans="1:47" ht="12.75">
      <c r="A427" s="367"/>
      <c r="B427" s="367"/>
      <c r="C427" s="367"/>
      <c r="D427" s="367"/>
      <c r="E427" s="367"/>
      <c r="F427" s="367"/>
      <c r="G427" s="367"/>
      <c r="H427" s="367"/>
      <c r="I427" s="367"/>
      <c r="J427" s="367"/>
      <c r="K427" s="367"/>
      <c r="L427" s="367"/>
      <c r="M427" s="367"/>
      <c r="N427" s="367"/>
      <c r="O427" s="367"/>
      <c r="P427" s="364"/>
      <c r="Q427" s="365"/>
      <c r="R427" s="365"/>
      <c r="S427" s="365"/>
      <c r="T427" s="365"/>
      <c r="U427" s="366"/>
      <c r="V427" s="367"/>
      <c r="W427" s="367"/>
      <c r="X427" s="367"/>
      <c r="Y427" s="367"/>
      <c r="Z427" s="367"/>
      <c r="AA427" s="367"/>
      <c r="AB427" s="367"/>
      <c r="AC427" s="367"/>
      <c r="AD427" s="367"/>
      <c r="AE427" s="367"/>
      <c r="AF427" s="367"/>
      <c r="AG427" s="367"/>
      <c r="AH427" s="367"/>
      <c r="AI427" s="367"/>
      <c r="AJ427" s="367"/>
      <c r="AK427" s="367"/>
      <c r="AL427" s="367"/>
      <c r="AM427" s="367"/>
      <c r="AN427" s="367"/>
      <c r="AO427" s="367"/>
      <c r="AP427" s="367"/>
      <c r="AQ427" s="367"/>
      <c r="AR427" s="367"/>
      <c r="AS427" s="367"/>
      <c r="AT427" s="368"/>
      <c r="AU427" s="367"/>
    </row>
    <row r="428" spans="1:47" ht="12.75">
      <c r="A428" s="367"/>
      <c r="B428" s="367"/>
      <c r="C428" s="367"/>
      <c r="D428" s="367"/>
      <c r="E428" s="367"/>
      <c r="F428" s="367"/>
      <c r="G428" s="367"/>
      <c r="H428" s="367"/>
      <c r="I428" s="367"/>
      <c r="J428" s="367"/>
      <c r="K428" s="367"/>
      <c r="L428" s="367"/>
      <c r="M428" s="367"/>
      <c r="N428" s="367"/>
      <c r="O428" s="367"/>
      <c r="P428" s="364"/>
      <c r="Q428" s="365"/>
      <c r="R428" s="365"/>
      <c r="S428" s="365"/>
      <c r="T428" s="365"/>
      <c r="U428" s="366"/>
      <c r="V428" s="367"/>
      <c r="W428" s="367"/>
      <c r="X428" s="367"/>
      <c r="Y428" s="367"/>
      <c r="Z428" s="367"/>
      <c r="AA428" s="367"/>
      <c r="AB428" s="367"/>
      <c r="AC428" s="367"/>
      <c r="AD428" s="367"/>
      <c r="AE428" s="367"/>
      <c r="AF428" s="367"/>
      <c r="AG428" s="367"/>
      <c r="AH428" s="367"/>
      <c r="AI428" s="367"/>
      <c r="AJ428" s="367"/>
      <c r="AK428" s="367"/>
      <c r="AL428" s="367"/>
      <c r="AM428" s="367"/>
      <c r="AN428" s="367"/>
      <c r="AO428" s="367"/>
      <c r="AP428" s="367"/>
      <c r="AQ428" s="367"/>
      <c r="AR428" s="367"/>
      <c r="AS428" s="367"/>
      <c r="AT428" s="368"/>
      <c r="AU428" s="367"/>
    </row>
    <row r="429" spans="1:47" ht="12.75">
      <c r="A429" s="367"/>
      <c r="B429" s="367"/>
      <c r="C429" s="367"/>
      <c r="D429" s="367"/>
      <c r="E429" s="367"/>
      <c r="F429" s="367"/>
      <c r="G429" s="367"/>
      <c r="H429" s="367"/>
      <c r="I429" s="367"/>
      <c r="J429" s="367"/>
      <c r="K429" s="367"/>
      <c r="L429" s="367"/>
      <c r="M429" s="367"/>
      <c r="N429" s="367"/>
      <c r="O429" s="367"/>
      <c r="P429" s="364"/>
      <c r="Q429" s="365"/>
      <c r="R429" s="365"/>
      <c r="S429" s="365"/>
      <c r="T429" s="365"/>
      <c r="U429" s="366"/>
      <c r="V429" s="367"/>
      <c r="W429" s="367"/>
      <c r="X429" s="367"/>
      <c r="Y429" s="367"/>
      <c r="Z429" s="367"/>
      <c r="AA429" s="367"/>
      <c r="AB429" s="367"/>
      <c r="AC429" s="367"/>
      <c r="AD429" s="367"/>
      <c r="AE429" s="367"/>
      <c r="AF429" s="367"/>
      <c r="AG429" s="367"/>
      <c r="AH429" s="367"/>
      <c r="AI429" s="367"/>
      <c r="AJ429" s="367"/>
      <c r="AK429" s="367"/>
      <c r="AL429" s="367"/>
      <c r="AM429" s="367"/>
      <c r="AN429" s="367"/>
      <c r="AO429" s="367"/>
      <c r="AP429" s="367"/>
      <c r="AQ429" s="367"/>
      <c r="AR429" s="367"/>
      <c r="AS429" s="367"/>
      <c r="AT429" s="368"/>
      <c r="AU429" s="367"/>
    </row>
    <row r="430" spans="1:47" ht="12.75">
      <c r="A430" s="367"/>
      <c r="B430" s="367"/>
      <c r="C430" s="367"/>
      <c r="D430" s="367"/>
      <c r="E430" s="367"/>
      <c r="F430" s="367"/>
      <c r="G430" s="367"/>
      <c r="H430" s="367"/>
      <c r="I430" s="367"/>
      <c r="J430" s="367"/>
      <c r="K430" s="367"/>
      <c r="L430" s="367"/>
      <c r="M430" s="367"/>
      <c r="N430" s="367"/>
      <c r="O430" s="367"/>
      <c r="P430" s="364"/>
      <c r="Q430" s="365"/>
      <c r="R430" s="365"/>
      <c r="S430" s="365"/>
      <c r="T430" s="365"/>
      <c r="U430" s="366"/>
      <c r="V430" s="367"/>
      <c r="W430" s="367"/>
      <c r="X430" s="367"/>
      <c r="Y430" s="367"/>
      <c r="Z430" s="367"/>
      <c r="AA430" s="367"/>
      <c r="AB430" s="367"/>
      <c r="AC430" s="367"/>
      <c r="AD430" s="367"/>
      <c r="AE430" s="367"/>
      <c r="AF430" s="367"/>
      <c r="AG430" s="367"/>
      <c r="AH430" s="367"/>
      <c r="AI430" s="367"/>
      <c r="AJ430" s="367"/>
      <c r="AK430" s="367"/>
      <c r="AL430" s="367"/>
      <c r="AM430" s="367"/>
      <c r="AN430" s="367"/>
      <c r="AO430" s="367"/>
      <c r="AP430" s="367"/>
      <c r="AQ430" s="367"/>
      <c r="AR430" s="367"/>
      <c r="AS430" s="367"/>
      <c r="AT430" s="368"/>
      <c r="AU430" s="367"/>
    </row>
    <row r="431" spans="1:47" ht="12.75">
      <c r="A431" s="367"/>
      <c r="B431" s="367"/>
      <c r="C431" s="367"/>
      <c r="D431" s="367"/>
      <c r="E431" s="367"/>
      <c r="F431" s="367"/>
      <c r="G431" s="367"/>
      <c r="H431" s="367"/>
      <c r="I431" s="367"/>
      <c r="J431" s="367"/>
      <c r="K431" s="367"/>
      <c r="L431" s="367"/>
      <c r="M431" s="367"/>
      <c r="N431" s="367"/>
      <c r="O431" s="367"/>
      <c r="P431" s="364"/>
      <c r="Q431" s="365"/>
      <c r="R431" s="365"/>
      <c r="S431" s="365"/>
      <c r="T431" s="365"/>
      <c r="U431" s="366"/>
      <c r="V431" s="367"/>
      <c r="W431" s="367"/>
      <c r="X431" s="367"/>
      <c r="Y431" s="367"/>
      <c r="Z431" s="367"/>
      <c r="AA431" s="367"/>
      <c r="AB431" s="367"/>
      <c r="AC431" s="367"/>
      <c r="AD431" s="367"/>
      <c r="AE431" s="367"/>
      <c r="AF431" s="367"/>
      <c r="AG431" s="367"/>
      <c r="AH431" s="367"/>
      <c r="AI431" s="367"/>
      <c r="AJ431" s="367"/>
      <c r="AK431" s="367"/>
      <c r="AL431" s="367"/>
      <c r="AM431" s="367"/>
      <c r="AN431" s="367"/>
      <c r="AO431" s="367"/>
      <c r="AP431" s="367"/>
      <c r="AQ431" s="367"/>
      <c r="AR431" s="367"/>
      <c r="AS431" s="367"/>
      <c r="AT431" s="368"/>
      <c r="AU431" s="367"/>
    </row>
    <row r="432" spans="1:47" ht="12.75">
      <c r="A432" s="367"/>
      <c r="B432" s="367"/>
      <c r="C432" s="367"/>
      <c r="D432" s="367"/>
      <c r="E432" s="367"/>
      <c r="F432" s="367"/>
      <c r="G432" s="367"/>
      <c r="H432" s="367"/>
      <c r="I432" s="367"/>
      <c r="J432" s="367"/>
      <c r="K432" s="367"/>
      <c r="L432" s="367"/>
      <c r="M432" s="367"/>
      <c r="N432" s="367"/>
      <c r="O432" s="367"/>
      <c r="P432" s="364"/>
      <c r="Q432" s="365"/>
      <c r="R432" s="365"/>
      <c r="S432" s="365"/>
      <c r="T432" s="365"/>
      <c r="U432" s="366"/>
      <c r="V432" s="367"/>
      <c r="W432" s="367"/>
      <c r="X432" s="367"/>
      <c r="Y432" s="367"/>
      <c r="Z432" s="367"/>
      <c r="AA432" s="367"/>
      <c r="AB432" s="367"/>
      <c r="AC432" s="367"/>
      <c r="AD432" s="367"/>
      <c r="AE432" s="367"/>
      <c r="AF432" s="367"/>
      <c r="AG432" s="367"/>
      <c r="AH432" s="367"/>
      <c r="AI432" s="367"/>
      <c r="AJ432" s="367"/>
      <c r="AK432" s="367"/>
      <c r="AL432" s="367"/>
      <c r="AM432" s="367"/>
      <c r="AN432" s="367"/>
      <c r="AO432" s="367"/>
      <c r="AP432" s="367"/>
      <c r="AQ432" s="367"/>
      <c r="AR432" s="367"/>
      <c r="AS432" s="367"/>
      <c r="AT432" s="368"/>
      <c r="AU432" s="367"/>
    </row>
    <row r="433" spans="1:47" ht="12.75">
      <c r="A433" s="367"/>
      <c r="B433" s="367"/>
      <c r="C433" s="367"/>
      <c r="D433" s="367"/>
      <c r="E433" s="367"/>
      <c r="F433" s="367"/>
      <c r="G433" s="367"/>
      <c r="H433" s="367"/>
      <c r="I433" s="367"/>
      <c r="J433" s="367"/>
      <c r="K433" s="367"/>
      <c r="L433" s="367"/>
      <c r="M433" s="367"/>
      <c r="N433" s="367"/>
      <c r="O433" s="367"/>
      <c r="P433" s="364"/>
      <c r="Q433" s="365"/>
      <c r="R433" s="365"/>
      <c r="S433" s="365"/>
      <c r="T433" s="365"/>
      <c r="U433" s="366"/>
      <c r="V433" s="367"/>
      <c r="W433" s="367"/>
      <c r="X433" s="367"/>
      <c r="Y433" s="367"/>
      <c r="Z433" s="367"/>
      <c r="AA433" s="367"/>
      <c r="AB433" s="367"/>
      <c r="AC433" s="367"/>
      <c r="AD433" s="367"/>
      <c r="AE433" s="367"/>
      <c r="AF433" s="367"/>
      <c r="AG433" s="367"/>
      <c r="AH433" s="367"/>
      <c r="AI433" s="367"/>
      <c r="AJ433" s="367"/>
      <c r="AK433" s="367"/>
      <c r="AL433" s="367"/>
      <c r="AM433" s="367"/>
      <c r="AN433" s="367"/>
      <c r="AO433" s="367"/>
      <c r="AP433" s="367"/>
      <c r="AQ433" s="367"/>
      <c r="AR433" s="367"/>
      <c r="AS433" s="367"/>
      <c r="AT433" s="368"/>
      <c r="AU433" s="367"/>
    </row>
    <row r="434" spans="1:47" ht="12.75">
      <c r="A434" s="367"/>
      <c r="B434" s="367"/>
      <c r="C434" s="367"/>
      <c r="D434" s="367"/>
      <c r="E434" s="367"/>
      <c r="F434" s="367"/>
      <c r="G434" s="367"/>
      <c r="H434" s="367"/>
      <c r="I434" s="367"/>
      <c r="J434" s="367"/>
      <c r="K434" s="367"/>
      <c r="L434" s="367"/>
      <c r="M434" s="367"/>
      <c r="N434" s="367"/>
      <c r="O434" s="367"/>
      <c r="P434" s="364"/>
      <c r="Q434" s="365"/>
      <c r="R434" s="365"/>
      <c r="S434" s="365"/>
      <c r="T434" s="365"/>
      <c r="U434" s="366"/>
      <c r="V434" s="367"/>
      <c r="W434" s="367"/>
      <c r="X434" s="367"/>
      <c r="Y434" s="367"/>
      <c r="Z434" s="367"/>
      <c r="AA434" s="367"/>
      <c r="AB434" s="367"/>
      <c r="AC434" s="367"/>
      <c r="AD434" s="367"/>
      <c r="AE434" s="367"/>
      <c r="AF434" s="367"/>
      <c r="AG434" s="367"/>
      <c r="AH434" s="367"/>
      <c r="AI434" s="367"/>
      <c r="AJ434" s="367"/>
      <c r="AK434" s="367"/>
      <c r="AL434" s="367"/>
      <c r="AM434" s="367"/>
      <c r="AN434" s="367"/>
      <c r="AO434" s="367"/>
      <c r="AP434" s="367"/>
      <c r="AQ434" s="367"/>
      <c r="AR434" s="367"/>
      <c r="AS434" s="367"/>
      <c r="AT434" s="368"/>
      <c r="AU434" s="367"/>
    </row>
    <row r="435" spans="1:47" ht="12.75">
      <c r="A435" s="367"/>
      <c r="B435" s="367"/>
      <c r="C435" s="367"/>
      <c r="D435" s="367"/>
      <c r="E435" s="367"/>
      <c r="F435" s="367"/>
      <c r="G435" s="367"/>
      <c r="H435" s="367"/>
      <c r="I435" s="367"/>
      <c r="J435" s="367"/>
      <c r="K435" s="367"/>
      <c r="L435" s="367"/>
      <c r="M435" s="367"/>
      <c r="N435" s="367"/>
      <c r="O435" s="367"/>
      <c r="P435" s="364"/>
      <c r="Q435" s="365"/>
      <c r="R435" s="365"/>
      <c r="S435" s="365"/>
      <c r="T435" s="365"/>
      <c r="U435" s="366"/>
      <c r="V435" s="367"/>
      <c r="W435" s="367"/>
      <c r="X435" s="367"/>
      <c r="Y435" s="367"/>
      <c r="Z435" s="367"/>
      <c r="AA435" s="367"/>
      <c r="AB435" s="367"/>
      <c r="AC435" s="367"/>
      <c r="AD435" s="367"/>
      <c r="AE435" s="367"/>
      <c r="AF435" s="367"/>
      <c r="AG435" s="367"/>
      <c r="AH435" s="367"/>
      <c r="AI435" s="367"/>
      <c r="AJ435" s="367"/>
      <c r="AK435" s="367"/>
      <c r="AL435" s="367"/>
      <c r="AM435" s="367"/>
      <c r="AN435" s="367"/>
      <c r="AO435" s="367"/>
      <c r="AP435" s="367"/>
      <c r="AQ435" s="367"/>
      <c r="AR435" s="367"/>
      <c r="AS435" s="367"/>
      <c r="AT435" s="368"/>
      <c r="AU435" s="367"/>
    </row>
    <row r="436" spans="1:47" ht="12.75">
      <c r="A436" s="367"/>
      <c r="B436" s="367"/>
      <c r="C436" s="367"/>
      <c r="D436" s="367"/>
      <c r="E436" s="367"/>
      <c r="F436" s="367"/>
      <c r="G436" s="367"/>
      <c r="H436" s="367"/>
      <c r="I436" s="367"/>
      <c r="J436" s="367"/>
      <c r="K436" s="367"/>
      <c r="L436" s="367"/>
      <c r="M436" s="367"/>
      <c r="N436" s="367"/>
      <c r="O436" s="367"/>
      <c r="P436" s="364"/>
      <c r="Q436" s="365"/>
      <c r="R436" s="365"/>
      <c r="S436" s="365"/>
      <c r="T436" s="365"/>
      <c r="U436" s="366"/>
      <c r="V436" s="367"/>
      <c r="W436" s="367"/>
      <c r="X436" s="367"/>
      <c r="Y436" s="367"/>
      <c r="Z436" s="367"/>
      <c r="AA436" s="367"/>
      <c r="AB436" s="367"/>
      <c r="AC436" s="367"/>
      <c r="AD436" s="367"/>
      <c r="AE436" s="367"/>
      <c r="AF436" s="367"/>
      <c r="AG436" s="367"/>
      <c r="AH436" s="367"/>
      <c r="AI436" s="367"/>
      <c r="AJ436" s="367"/>
      <c r="AK436" s="367"/>
      <c r="AL436" s="367"/>
      <c r="AM436" s="367"/>
      <c r="AN436" s="367"/>
      <c r="AO436" s="367"/>
      <c r="AP436" s="367"/>
      <c r="AQ436" s="367"/>
      <c r="AR436" s="367"/>
      <c r="AS436" s="367"/>
      <c r="AT436" s="368"/>
      <c r="AU436" s="367"/>
    </row>
    <row r="437" spans="1:47" ht="12.75">
      <c r="A437" s="367"/>
      <c r="B437" s="367"/>
      <c r="C437" s="367"/>
      <c r="D437" s="367"/>
      <c r="E437" s="367"/>
      <c r="F437" s="367"/>
      <c r="G437" s="367"/>
      <c r="H437" s="367"/>
      <c r="I437" s="367"/>
      <c r="J437" s="367"/>
      <c r="K437" s="367"/>
      <c r="L437" s="367"/>
      <c r="M437" s="367"/>
      <c r="N437" s="367"/>
      <c r="O437" s="367"/>
      <c r="P437" s="364"/>
      <c r="Q437" s="365"/>
      <c r="R437" s="365"/>
      <c r="S437" s="365"/>
      <c r="T437" s="365"/>
      <c r="U437" s="366"/>
      <c r="V437" s="367"/>
      <c r="W437" s="367"/>
      <c r="X437" s="367"/>
      <c r="Y437" s="367"/>
      <c r="Z437" s="367"/>
      <c r="AA437" s="367"/>
      <c r="AB437" s="367"/>
      <c r="AC437" s="367"/>
      <c r="AD437" s="367"/>
      <c r="AE437" s="367"/>
      <c r="AF437" s="367"/>
      <c r="AG437" s="367"/>
      <c r="AH437" s="367"/>
      <c r="AI437" s="367"/>
      <c r="AJ437" s="367"/>
      <c r="AK437" s="367"/>
      <c r="AL437" s="367"/>
      <c r="AM437" s="367"/>
      <c r="AN437" s="367"/>
      <c r="AO437" s="367"/>
      <c r="AP437" s="367"/>
      <c r="AQ437" s="367"/>
      <c r="AR437" s="367"/>
      <c r="AS437" s="367"/>
      <c r="AT437" s="368"/>
      <c r="AU437" s="367"/>
    </row>
    <row r="438" spans="1:47" ht="12.75">
      <c r="A438" s="367"/>
      <c r="B438" s="367"/>
      <c r="C438" s="367"/>
      <c r="D438" s="367"/>
      <c r="E438" s="367"/>
      <c r="F438" s="367"/>
      <c r="G438" s="367"/>
      <c r="H438" s="367"/>
      <c r="I438" s="367"/>
      <c r="J438" s="367"/>
      <c r="K438" s="367"/>
      <c r="L438" s="367"/>
      <c r="M438" s="367"/>
      <c r="N438" s="367"/>
      <c r="O438" s="367"/>
      <c r="P438" s="364"/>
      <c r="Q438" s="365"/>
      <c r="R438" s="365"/>
      <c r="S438" s="365"/>
      <c r="T438" s="365"/>
      <c r="U438" s="366"/>
      <c r="V438" s="367"/>
      <c r="W438" s="367"/>
      <c r="X438" s="367"/>
      <c r="Y438" s="367"/>
      <c r="Z438" s="367"/>
      <c r="AA438" s="367"/>
      <c r="AB438" s="367"/>
      <c r="AC438" s="367"/>
      <c r="AD438" s="367"/>
      <c r="AE438" s="367"/>
      <c r="AF438" s="367"/>
      <c r="AG438" s="367"/>
      <c r="AH438" s="367"/>
      <c r="AI438" s="367"/>
      <c r="AJ438" s="367"/>
      <c r="AK438" s="367"/>
      <c r="AL438" s="367"/>
      <c r="AM438" s="367"/>
      <c r="AN438" s="367"/>
      <c r="AO438" s="367"/>
      <c r="AP438" s="367"/>
      <c r="AQ438" s="367"/>
      <c r="AR438" s="367"/>
      <c r="AS438" s="367"/>
      <c r="AT438" s="368"/>
      <c r="AU438" s="367"/>
    </row>
    <row r="439" spans="1:47" ht="12.75">
      <c r="A439" s="367"/>
      <c r="B439" s="367"/>
      <c r="C439" s="367"/>
      <c r="D439" s="367"/>
      <c r="E439" s="367"/>
      <c r="F439" s="367"/>
      <c r="G439" s="367"/>
      <c r="H439" s="367"/>
      <c r="I439" s="367"/>
      <c r="J439" s="367"/>
      <c r="K439" s="367"/>
      <c r="L439" s="367"/>
      <c r="M439" s="367"/>
      <c r="N439" s="367"/>
      <c r="O439" s="367"/>
      <c r="P439" s="364"/>
      <c r="Q439" s="365"/>
      <c r="R439" s="365"/>
      <c r="S439" s="365"/>
      <c r="T439" s="365"/>
      <c r="U439" s="366"/>
      <c r="V439" s="367"/>
      <c r="W439" s="367"/>
      <c r="X439" s="367"/>
      <c r="Y439" s="367"/>
      <c r="Z439" s="367"/>
      <c r="AA439" s="367"/>
      <c r="AB439" s="367"/>
      <c r="AC439" s="367"/>
      <c r="AD439" s="367"/>
      <c r="AE439" s="367"/>
      <c r="AF439" s="367"/>
      <c r="AG439" s="367"/>
      <c r="AH439" s="367"/>
      <c r="AI439" s="367"/>
      <c r="AJ439" s="367"/>
      <c r="AK439" s="367"/>
      <c r="AL439" s="367"/>
      <c r="AM439" s="367"/>
      <c r="AN439" s="367"/>
      <c r="AO439" s="367"/>
      <c r="AP439" s="367"/>
      <c r="AQ439" s="367"/>
      <c r="AR439" s="367"/>
      <c r="AS439" s="367"/>
      <c r="AT439" s="368"/>
      <c r="AU439" s="367"/>
    </row>
    <row r="440" spans="1:47" ht="12.75">
      <c r="A440" s="367"/>
      <c r="B440" s="367"/>
      <c r="C440" s="367"/>
      <c r="D440" s="367"/>
      <c r="E440" s="367"/>
      <c r="F440" s="367"/>
      <c r="G440" s="367"/>
      <c r="H440" s="367"/>
      <c r="I440" s="367"/>
      <c r="J440" s="367"/>
      <c r="K440" s="367"/>
      <c r="L440" s="367"/>
      <c r="M440" s="367"/>
      <c r="N440" s="367"/>
      <c r="O440" s="367"/>
      <c r="P440" s="364"/>
      <c r="Q440" s="365"/>
      <c r="R440" s="365"/>
      <c r="S440" s="365"/>
      <c r="T440" s="365"/>
      <c r="U440" s="366"/>
      <c r="V440" s="367"/>
      <c r="W440" s="367"/>
      <c r="X440" s="367"/>
      <c r="Y440" s="367"/>
      <c r="Z440" s="367"/>
      <c r="AA440" s="367"/>
      <c r="AB440" s="367"/>
      <c r="AC440" s="367"/>
      <c r="AD440" s="367"/>
      <c r="AE440" s="367"/>
      <c r="AF440" s="367"/>
      <c r="AG440" s="367"/>
      <c r="AH440" s="367"/>
      <c r="AI440" s="367"/>
      <c r="AJ440" s="367"/>
      <c r="AK440" s="367"/>
      <c r="AL440" s="367"/>
      <c r="AM440" s="367"/>
      <c r="AN440" s="367"/>
      <c r="AO440" s="367"/>
      <c r="AP440" s="367"/>
      <c r="AQ440" s="367"/>
      <c r="AR440" s="367"/>
      <c r="AS440" s="367"/>
      <c r="AT440" s="368"/>
      <c r="AU440" s="367"/>
    </row>
    <row r="441" spans="1:47" ht="12.75">
      <c r="A441" s="367"/>
      <c r="B441" s="367"/>
      <c r="C441" s="367"/>
      <c r="D441" s="367"/>
      <c r="E441" s="367"/>
      <c r="F441" s="367"/>
      <c r="G441" s="367"/>
      <c r="H441" s="367"/>
      <c r="I441" s="367"/>
      <c r="J441" s="367"/>
      <c r="K441" s="367"/>
      <c r="L441" s="367"/>
      <c r="M441" s="367"/>
      <c r="N441" s="367"/>
      <c r="O441" s="367"/>
      <c r="P441" s="364"/>
      <c r="Q441" s="365"/>
      <c r="R441" s="365"/>
      <c r="S441" s="365"/>
      <c r="T441" s="365"/>
      <c r="U441" s="366"/>
      <c r="V441" s="367"/>
      <c r="W441" s="367"/>
      <c r="X441" s="367"/>
      <c r="Y441" s="367"/>
      <c r="Z441" s="367"/>
      <c r="AA441" s="367"/>
      <c r="AB441" s="367"/>
      <c r="AC441" s="367"/>
      <c r="AD441" s="367"/>
      <c r="AE441" s="367"/>
      <c r="AF441" s="367"/>
      <c r="AG441" s="367"/>
      <c r="AH441" s="367"/>
      <c r="AI441" s="367"/>
      <c r="AJ441" s="367"/>
      <c r="AK441" s="367"/>
      <c r="AL441" s="367"/>
      <c r="AM441" s="367"/>
      <c r="AN441" s="367"/>
      <c r="AO441" s="367"/>
      <c r="AP441" s="367"/>
      <c r="AQ441" s="367"/>
      <c r="AR441" s="367"/>
      <c r="AS441" s="367"/>
      <c r="AT441" s="368"/>
      <c r="AU441" s="367"/>
    </row>
    <row r="442" spans="1:47" ht="12.75">
      <c r="A442" s="367"/>
      <c r="B442" s="367"/>
      <c r="C442" s="367"/>
      <c r="D442" s="367"/>
      <c r="E442" s="367"/>
      <c r="F442" s="367"/>
      <c r="G442" s="367"/>
      <c r="H442" s="367"/>
      <c r="I442" s="367"/>
      <c r="J442" s="367"/>
      <c r="K442" s="367"/>
      <c r="L442" s="367"/>
      <c r="M442" s="367"/>
      <c r="N442" s="367"/>
      <c r="O442" s="367"/>
      <c r="P442" s="364"/>
      <c r="Q442" s="365"/>
      <c r="R442" s="365"/>
      <c r="S442" s="365"/>
      <c r="T442" s="365"/>
      <c r="U442" s="366"/>
      <c r="V442" s="367"/>
      <c r="W442" s="367"/>
      <c r="X442" s="367"/>
      <c r="Y442" s="367"/>
      <c r="Z442" s="367"/>
      <c r="AA442" s="367"/>
      <c r="AB442" s="367"/>
      <c r="AC442" s="367"/>
      <c r="AD442" s="367"/>
      <c r="AE442" s="367"/>
      <c r="AF442" s="367"/>
      <c r="AG442" s="367"/>
      <c r="AH442" s="367"/>
      <c r="AI442" s="367"/>
      <c r="AJ442" s="367"/>
      <c r="AK442" s="367"/>
      <c r="AL442" s="367"/>
      <c r="AM442" s="367"/>
      <c r="AN442" s="367"/>
      <c r="AO442" s="367"/>
      <c r="AP442" s="367"/>
      <c r="AQ442" s="367"/>
      <c r="AR442" s="367"/>
      <c r="AS442" s="367"/>
      <c r="AT442" s="368"/>
      <c r="AU442" s="367"/>
    </row>
    <row r="443" spans="1:47" ht="12.75">
      <c r="A443" s="367"/>
      <c r="B443" s="367"/>
      <c r="C443" s="367"/>
      <c r="D443" s="367"/>
      <c r="E443" s="367"/>
      <c r="F443" s="367"/>
      <c r="G443" s="367"/>
      <c r="H443" s="367"/>
      <c r="I443" s="367"/>
      <c r="J443" s="367"/>
      <c r="K443" s="367"/>
      <c r="L443" s="367"/>
      <c r="M443" s="367"/>
      <c r="N443" s="367"/>
      <c r="O443" s="367"/>
      <c r="P443" s="364"/>
      <c r="Q443" s="365"/>
      <c r="R443" s="365"/>
      <c r="S443" s="365"/>
      <c r="T443" s="365"/>
      <c r="U443" s="366"/>
      <c r="V443" s="367"/>
      <c r="W443" s="367"/>
      <c r="X443" s="367"/>
      <c r="Y443" s="367"/>
      <c r="Z443" s="367"/>
      <c r="AA443" s="367"/>
      <c r="AB443" s="367"/>
      <c r="AC443" s="367"/>
      <c r="AD443" s="367"/>
      <c r="AE443" s="367"/>
      <c r="AF443" s="367"/>
      <c r="AG443" s="367"/>
      <c r="AH443" s="367"/>
      <c r="AI443" s="367"/>
      <c r="AJ443" s="367"/>
      <c r="AK443" s="367"/>
      <c r="AL443" s="367"/>
      <c r="AM443" s="367"/>
      <c r="AN443" s="367"/>
      <c r="AO443" s="367"/>
      <c r="AP443" s="367"/>
      <c r="AQ443" s="367"/>
      <c r="AR443" s="367"/>
      <c r="AS443" s="367"/>
      <c r="AT443" s="368"/>
      <c r="AU443" s="367"/>
    </row>
    <row r="444" spans="1:47" ht="12.75">
      <c r="A444" s="367"/>
      <c r="B444" s="367"/>
      <c r="C444" s="367"/>
      <c r="D444" s="367"/>
      <c r="E444" s="367"/>
      <c r="F444" s="367"/>
      <c r="G444" s="367"/>
      <c r="H444" s="367"/>
      <c r="I444" s="367"/>
      <c r="J444" s="367"/>
      <c r="K444" s="367"/>
      <c r="L444" s="367"/>
      <c r="M444" s="367"/>
      <c r="N444" s="367"/>
      <c r="O444" s="367"/>
      <c r="P444" s="364"/>
      <c r="Q444" s="365"/>
      <c r="R444" s="365"/>
      <c r="S444" s="365"/>
      <c r="T444" s="365"/>
      <c r="U444" s="366"/>
      <c r="V444" s="367"/>
      <c r="W444" s="367"/>
      <c r="X444" s="367"/>
      <c r="Y444" s="367"/>
      <c r="Z444" s="367"/>
      <c r="AA444" s="367"/>
      <c r="AB444" s="367"/>
      <c r="AC444" s="367"/>
      <c r="AD444" s="367"/>
      <c r="AE444" s="367"/>
      <c r="AF444" s="367"/>
      <c r="AG444" s="367"/>
      <c r="AH444" s="367"/>
      <c r="AI444" s="367"/>
      <c r="AJ444" s="367"/>
      <c r="AK444" s="367"/>
      <c r="AL444" s="367"/>
      <c r="AM444" s="367"/>
      <c r="AN444" s="367"/>
      <c r="AO444" s="367"/>
      <c r="AP444" s="367"/>
      <c r="AQ444" s="367"/>
      <c r="AR444" s="367"/>
      <c r="AS444" s="367"/>
      <c r="AT444" s="368"/>
      <c r="AU444" s="367"/>
    </row>
    <row r="445" spans="1:47" ht="12.75">
      <c r="A445" s="367"/>
      <c r="B445" s="367"/>
      <c r="C445" s="367"/>
      <c r="D445" s="367"/>
      <c r="E445" s="367"/>
      <c r="F445" s="367"/>
      <c r="G445" s="367"/>
      <c r="H445" s="367"/>
      <c r="I445" s="367"/>
      <c r="J445" s="367"/>
      <c r="K445" s="367"/>
      <c r="L445" s="367"/>
      <c r="M445" s="367"/>
      <c r="N445" s="367"/>
      <c r="O445" s="367"/>
      <c r="P445" s="364"/>
      <c r="Q445" s="365"/>
      <c r="R445" s="365"/>
      <c r="S445" s="365"/>
      <c r="T445" s="365"/>
      <c r="U445" s="366"/>
      <c r="V445" s="367"/>
      <c r="W445" s="367"/>
      <c r="X445" s="367"/>
      <c r="Y445" s="367"/>
      <c r="Z445" s="367"/>
      <c r="AA445" s="367"/>
      <c r="AB445" s="367"/>
      <c r="AC445" s="367"/>
      <c r="AD445" s="367"/>
      <c r="AE445" s="367"/>
      <c r="AF445" s="367"/>
      <c r="AG445" s="367"/>
      <c r="AH445" s="367"/>
      <c r="AI445" s="367"/>
      <c r="AJ445" s="367"/>
      <c r="AK445" s="367"/>
      <c r="AL445" s="367"/>
      <c r="AM445" s="367"/>
      <c r="AN445" s="367"/>
      <c r="AO445" s="367"/>
      <c r="AP445" s="367"/>
      <c r="AQ445" s="367"/>
      <c r="AR445" s="367"/>
      <c r="AS445" s="367"/>
      <c r="AT445" s="368"/>
      <c r="AU445" s="367"/>
    </row>
    <row r="446" spans="1:47" ht="12.75">
      <c r="A446" s="367"/>
      <c r="B446" s="367"/>
      <c r="C446" s="367"/>
      <c r="D446" s="367"/>
      <c r="E446" s="367"/>
      <c r="F446" s="367"/>
      <c r="G446" s="367"/>
      <c r="H446" s="367"/>
      <c r="I446" s="367"/>
      <c r="J446" s="367"/>
      <c r="K446" s="367"/>
      <c r="L446" s="367"/>
      <c r="M446" s="367"/>
      <c r="N446" s="367"/>
      <c r="O446" s="367"/>
      <c r="P446" s="364"/>
      <c r="Q446" s="365"/>
      <c r="R446" s="365"/>
      <c r="S446" s="365"/>
      <c r="T446" s="365"/>
      <c r="U446" s="366"/>
      <c r="V446" s="367"/>
      <c r="W446" s="367"/>
      <c r="X446" s="367"/>
      <c r="Y446" s="367"/>
      <c r="Z446" s="367"/>
      <c r="AA446" s="367"/>
      <c r="AB446" s="367"/>
      <c r="AC446" s="367"/>
      <c r="AD446" s="367"/>
      <c r="AE446" s="367"/>
      <c r="AF446" s="367"/>
      <c r="AG446" s="367"/>
      <c r="AH446" s="367"/>
      <c r="AI446" s="367"/>
      <c r="AJ446" s="367"/>
      <c r="AK446" s="367"/>
      <c r="AL446" s="367"/>
      <c r="AM446" s="367"/>
      <c r="AN446" s="367"/>
      <c r="AO446" s="367"/>
      <c r="AP446" s="367"/>
      <c r="AQ446" s="367"/>
      <c r="AR446" s="367"/>
      <c r="AS446" s="367"/>
      <c r="AT446" s="368"/>
      <c r="AU446" s="367"/>
    </row>
    <row r="447" spans="1:47" ht="12.75">
      <c r="A447" s="367"/>
      <c r="B447" s="367"/>
      <c r="C447" s="367"/>
      <c r="D447" s="367"/>
      <c r="E447" s="367"/>
      <c r="F447" s="367"/>
      <c r="G447" s="367"/>
      <c r="H447" s="367"/>
      <c r="I447" s="367"/>
      <c r="J447" s="367"/>
      <c r="K447" s="367"/>
      <c r="L447" s="367"/>
      <c r="M447" s="367"/>
      <c r="N447" s="367"/>
      <c r="O447" s="367"/>
      <c r="P447" s="364"/>
      <c r="Q447" s="365"/>
      <c r="R447" s="365"/>
      <c r="S447" s="365"/>
      <c r="T447" s="365"/>
      <c r="U447" s="366"/>
      <c r="V447" s="367"/>
      <c r="W447" s="367"/>
      <c r="X447" s="367"/>
      <c r="Y447" s="367"/>
      <c r="Z447" s="367"/>
      <c r="AA447" s="367"/>
      <c r="AB447" s="367"/>
      <c r="AC447" s="367"/>
      <c r="AD447" s="367"/>
      <c r="AE447" s="367"/>
      <c r="AF447" s="367"/>
      <c r="AG447" s="367"/>
      <c r="AH447" s="367"/>
      <c r="AI447" s="367"/>
      <c r="AJ447" s="367"/>
      <c r="AK447" s="367"/>
      <c r="AL447" s="367"/>
      <c r="AM447" s="367"/>
      <c r="AN447" s="367"/>
      <c r="AO447" s="367"/>
      <c r="AP447" s="367"/>
      <c r="AQ447" s="367"/>
      <c r="AR447" s="367"/>
      <c r="AS447" s="367"/>
      <c r="AT447" s="368"/>
      <c r="AU447" s="367"/>
    </row>
    <row r="448" spans="1:47" ht="12.75">
      <c r="A448" s="367"/>
      <c r="B448" s="367"/>
      <c r="C448" s="367"/>
      <c r="D448" s="367"/>
      <c r="E448" s="367"/>
      <c r="F448" s="367"/>
      <c r="G448" s="367"/>
      <c r="H448" s="367"/>
      <c r="I448" s="367"/>
      <c r="J448" s="367"/>
      <c r="K448" s="367"/>
      <c r="L448" s="367"/>
      <c r="M448" s="367"/>
      <c r="N448" s="367"/>
      <c r="O448" s="367"/>
      <c r="P448" s="364"/>
      <c r="Q448" s="365"/>
      <c r="R448" s="365"/>
      <c r="S448" s="365"/>
      <c r="T448" s="365"/>
      <c r="U448" s="366"/>
      <c r="V448" s="367"/>
      <c r="W448" s="367"/>
      <c r="X448" s="367"/>
      <c r="Y448" s="367"/>
      <c r="Z448" s="367"/>
      <c r="AA448" s="367"/>
      <c r="AB448" s="367"/>
      <c r="AC448" s="367"/>
      <c r="AD448" s="367"/>
      <c r="AE448" s="367"/>
      <c r="AF448" s="367"/>
      <c r="AG448" s="367"/>
      <c r="AH448" s="367"/>
      <c r="AI448" s="367"/>
      <c r="AJ448" s="367"/>
      <c r="AK448" s="367"/>
      <c r="AL448" s="367"/>
      <c r="AM448" s="367"/>
      <c r="AN448" s="367"/>
      <c r="AO448" s="367"/>
      <c r="AP448" s="367"/>
      <c r="AQ448" s="367"/>
      <c r="AR448" s="367"/>
      <c r="AS448" s="367"/>
      <c r="AT448" s="368"/>
      <c r="AU448" s="367"/>
    </row>
    <row r="449" spans="1:47" ht="12.75">
      <c r="A449" s="367"/>
      <c r="B449" s="367"/>
      <c r="C449" s="367"/>
      <c r="D449" s="367"/>
      <c r="E449" s="367"/>
      <c r="F449" s="367"/>
      <c r="G449" s="367"/>
      <c r="H449" s="367"/>
      <c r="I449" s="367"/>
      <c r="J449" s="367"/>
      <c r="K449" s="367"/>
      <c r="L449" s="367"/>
      <c r="M449" s="367"/>
      <c r="N449" s="367"/>
      <c r="O449" s="367"/>
      <c r="P449" s="364"/>
      <c r="Q449" s="365"/>
      <c r="R449" s="365"/>
      <c r="S449" s="365"/>
      <c r="T449" s="365"/>
      <c r="U449" s="366"/>
      <c r="V449" s="367"/>
      <c r="W449" s="367"/>
      <c r="X449" s="367"/>
      <c r="Y449" s="367"/>
      <c r="Z449" s="367"/>
      <c r="AA449" s="367"/>
      <c r="AB449" s="367"/>
      <c r="AC449" s="367"/>
      <c r="AD449" s="367"/>
      <c r="AE449" s="367"/>
      <c r="AF449" s="367"/>
      <c r="AG449" s="367"/>
      <c r="AH449" s="367"/>
      <c r="AI449" s="367"/>
      <c r="AJ449" s="367"/>
      <c r="AK449" s="367"/>
      <c r="AL449" s="367"/>
      <c r="AM449" s="367"/>
      <c r="AN449" s="367"/>
      <c r="AO449" s="367"/>
      <c r="AP449" s="367"/>
      <c r="AQ449" s="367"/>
      <c r="AR449" s="367"/>
      <c r="AS449" s="367"/>
      <c r="AT449" s="368"/>
      <c r="AU449" s="367"/>
    </row>
    <row r="450" spans="1:47" ht="12.75">
      <c r="A450" s="367"/>
      <c r="B450" s="367"/>
      <c r="C450" s="367"/>
      <c r="D450" s="367"/>
      <c r="E450" s="367"/>
      <c r="F450" s="367"/>
      <c r="G450" s="367"/>
      <c r="H450" s="367"/>
      <c r="I450" s="367"/>
      <c r="J450" s="367"/>
      <c r="K450" s="367"/>
      <c r="L450" s="367"/>
      <c r="M450" s="367"/>
      <c r="N450" s="367"/>
      <c r="O450" s="367"/>
      <c r="P450" s="364"/>
      <c r="Q450" s="365"/>
      <c r="R450" s="365"/>
      <c r="S450" s="365"/>
      <c r="T450" s="365"/>
      <c r="U450" s="366"/>
      <c r="V450" s="367"/>
      <c r="W450" s="367"/>
      <c r="X450" s="367"/>
      <c r="Y450" s="367"/>
      <c r="Z450" s="367"/>
      <c r="AA450" s="367"/>
      <c r="AB450" s="367"/>
      <c r="AC450" s="367"/>
      <c r="AD450" s="367"/>
      <c r="AE450" s="367"/>
      <c r="AF450" s="367"/>
      <c r="AG450" s="367"/>
      <c r="AH450" s="367"/>
      <c r="AI450" s="367"/>
      <c r="AJ450" s="367"/>
      <c r="AK450" s="367"/>
      <c r="AL450" s="367"/>
      <c r="AM450" s="367"/>
      <c r="AN450" s="367"/>
      <c r="AO450" s="367"/>
      <c r="AP450" s="367"/>
      <c r="AQ450" s="367"/>
      <c r="AR450" s="367"/>
      <c r="AS450" s="367"/>
      <c r="AT450" s="368"/>
      <c r="AU450" s="367"/>
    </row>
    <row r="451" spans="1:47" ht="12.75">
      <c r="A451" s="367"/>
      <c r="B451" s="367"/>
      <c r="C451" s="367"/>
      <c r="D451" s="367"/>
      <c r="E451" s="367"/>
      <c r="F451" s="367"/>
      <c r="G451" s="367"/>
      <c r="H451" s="367"/>
      <c r="I451" s="367"/>
      <c r="J451" s="367"/>
      <c r="K451" s="367"/>
      <c r="L451" s="367"/>
      <c r="M451" s="367"/>
      <c r="N451" s="367"/>
      <c r="O451" s="367"/>
      <c r="P451" s="364"/>
      <c r="Q451" s="365"/>
      <c r="R451" s="365"/>
      <c r="S451" s="365"/>
      <c r="T451" s="365"/>
      <c r="U451" s="366"/>
      <c r="V451" s="367"/>
      <c r="W451" s="367"/>
      <c r="X451" s="367"/>
      <c r="Y451" s="367"/>
      <c r="Z451" s="367"/>
      <c r="AA451" s="367"/>
      <c r="AB451" s="367"/>
      <c r="AC451" s="367"/>
      <c r="AD451" s="367"/>
      <c r="AE451" s="367"/>
      <c r="AF451" s="367"/>
      <c r="AG451" s="367"/>
      <c r="AH451" s="367"/>
      <c r="AI451" s="367"/>
      <c r="AJ451" s="367"/>
      <c r="AK451" s="367"/>
      <c r="AL451" s="367"/>
      <c r="AM451" s="367"/>
      <c r="AN451" s="367"/>
      <c r="AO451" s="367"/>
      <c r="AP451" s="367"/>
      <c r="AQ451" s="367"/>
      <c r="AR451" s="367"/>
      <c r="AS451" s="367"/>
      <c r="AT451" s="368"/>
      <c r="AU451" s="367"/>
    </row>
    <row r="452" spans="1:47" ht="12.75">
      <c r="A452" s="367"/>
      <c r="B452" s="367"/>
      <c r="C452" s="367"/>
      <c r="D452" s="367"/>
      <c r="E452" s="367"/>
      <c r="F452" s="367"/>
      <c r="G452" s="367"/>
      <c r="H452" s="367"/>
      <c r="I452" s="367"/>
      <c r="J452" s="367"/>
      <c r="K452" s="367"/>
      <c r="L452" s="367"/>
      <c r="M452" s="367"/>
      <c r="N452" s="367"/>
      <c r="O452" s="367"/>
      <c r="P452" s="364"/>
      <c r="Q452" s="365"/>
      <c r="R452" s="365"/>
      <c r="S452" s="365"/>
      <c r="T452" s="365"/>
      <c r="U452" s="366"/>
      <c r="V452" s="367"/>
      <c r="W452" s="367"/>
      <c r="X452" s="367"/>
      <c r="Y452" s="367"/>
      <c r="Z452" s="367"/>
      <c r="AA452" s="367"/>
      <c r="AB452" s="367"/>
      <c r="AC452" s="367"/>
      <c r="AD452" s="367"/>
      <c r="AE452" s="367"/>
      <c r="AF452" s="367"/>
      <c r="AG452" s="367"/>
      <c r="AH452" s="367"/>
      <c r="AI452" s="367"/>
      <c r="AJ452" s="367"/>
      <c r="AK452" s="367"/>
      <c r="AL452" s="367"/>
      <c r="AM452" s="367"/>
      <c r="AN452" s="367"/>
      <c r="AO452" s="367"/>
      <c r="AP452" s="367"/>
      <c r="AQ452" s="367"/>
      <c r="AR452" s="367"/>
      <c r="AS452" s="367"/>
      <c r="AT452" s="368"/>
      <c r="AU452" s="367"/>
    </row>
    <row r="453" spans="1:47" ht="12.75">
      <c r="A453" s="367"/>
      <c r="B453" s="367"/>
      <c r="C453" s="367"/>
      <c r="D453" s="367"/>
      <c r="E453" s="367"/>
      <c r="F453" s="367"/>
      <c r="G453" s="367"/>
      <c r="H453" s="367"/>
      <c r="I453" s="367"/>
      <c r="J453" s="367"/>
      <c r="K453" s="367"/>
      <c r="L453" s="367"/>
      <c r="M453" s="367"/>
      <c r="N453" s="367"/>
      <c r="O453" s="367"/>
      <c r="P453" s="364"/>
      <c r="Q453" s="365"/>
      <c r="R453" s="365"/>
      <c r="S453" s="365"/>
      <c r="T453" s="365"/>
      <c r="U453" s="366"/>
      <c r="V453" s="367"/>
      <c r="W453" s="367"/>
      <c r="X453" s="367"/>
      <c r="Y453" s="367"/>
      <c r="Z453" s="367"/>
      <c r="AA453" s="367"/>
      <c r="AB453" s="367"/>
      <c r="AC453" s="367"/>
      <c r="AD453" s="367"/>
      <c r="AE453" s="367"/>
      <c r="AF453" s="367"/>
      <c r="AG453" s="367"/>
      <c r="AH453" s="367"/>
      <c r="AI453" s="367"/>
      <c r="AJ453" s="367"/>
      <c r="AK453" s="367"/>
      <c r="AL453" s="367"/>
      <c r="AM453" s="367"/>
      <c r="AN453" s="367"/>
      <c r="AO453" s="367"/>
      <c r="AP453" s="367"/>
      <c r="AQ453" s="367"/>
      <c r="AR453" s="367"/>
      <c r="AS453" s="367"/>
      <c r="AT453" s="368"/>
      <c r="AU453" s="367"/>
    </row>
    <row r="454" spans="1:47" ht="12.75">
      <c r="A454" s="367"/>
      <c r="B454" s="367"/>
      <c r="C454" s="367"/>
      <c r="D454" s="367"/>
      <c r="E454" s="367"/>
      <c r="F454" s="367"/>
      <c r="G454" s="367"/>
      <c r="H454" s="367"/>
      <c r="I454" s="367"/>
      <c r="J454" s="367"/>
      <c r="K454" s="367"/>
      <c r="L454" s="367"/>
      <c r="M454" s="367"/>
      <c r="N454" s="367"/>
      <c r="O454" s="367"/>
      <c r="P454" s="364"/>
      <c r="Q454" s="365"/>
      <c r="R454" s="365"/>
      <c r="S454" s="365"/>
      <c r="T454" s="365"/>
      <c r="U454" s="366"/>
      <c r="V454" s="367"/>
      <c r="W454" s="367"/>
      <c r="X454" s="367"/>
      <c r="Y454" s="367"/>
      <c r="Z454" s="367"/>
      <c r="AA454" s="367"/>
      <c r="AB454" s="367"/>
      <c r="AC454" s="367"/>
      <c r="AD454" s="367"/>
      <c r="AE454" s="367"/>
      <c r="AF454" s="367"/>
      <c r="AG454" s="367"/>
      <c r="AH454" s="367"/>
      <c r="AI454" s="367"/>
      <c r="AJ454" s="367"/>
      <c r="AK454" s="367"/>
      <c r="AL454" s="367"/>
      <c r="AM454" s="367"/>
      <c r="AN454" s="367"/>
      <c r="AO454" s="367"/>
      <c r="AP454" s="367"/>
      <c r="AQ454" s="367"/>
      <c r="AR454" s="367"/>
      <c r="AS454" s="367"/>
      <c r="AT454" s="368"/>
      <c r="AU454" s="367"/>
    </row>
    <row r="455" spans="1:47" ht="12.75">
      <c r="A455" s="367"/>
      <c r="B455" s="367"/>
      <c r="C455" s="367"/>
      <c r="D455" s="367"/>
      <c r="E455" s="367"/>
      <c r="F455" s="367"/>
      <c r="G455" s="367"/>
      <c r="H455" s="367"/>
      <c r="I455" s="367"/>
      <c r="J455" s="367"/>
      <c r="K455" s="367"/>
      <c r="L455" s="367"/>
      <c r="M455" s="367"/>
      <c r="N455" s="367"/>
      <c r="O455" s="367"/>
      <c r="P455" s="364"/>
      <c r="Q455" s="365"/>
      <c r="R455" s="365"/>
      <c r="S455" s="365"/>
      <c r="T455" s="365"/>
      <c r="U455" s="366"/>
      <c r="V455" s="367"/>
      <c r="W455" s="367"/>
      <c r="X455" s="367"/>
      <c r="Y455" s="367"/>
      <c r="Z455" s="367"/>
      <c r="AA455" s="367"/>
      <c r="AB455" s="367"/>
      <c r="AC455" s="367"/>
      <c r="AD455" s="367"/>
      <c r="AE455" s="367"/>
      <c r="AF455" s="367"/>
      <c r="AG455" s="367"/>
      <c r="AH455" s="367"/>
      <c r="AI455" s="367"/>
      <c r="AJ455" s="367"/>
      <c r="AK455" s="367"/>
      <c r="AL455" s="367"/>
      <c r="AM455" s="367"/>
      <c r="AN455" s="367"/>
      <c r="AO455" s="367"/>
      <c r="AP455" s="367"/>
      <c r="AQ455" s="367"/>
      <c r="AR455" s="367"/>
      <c r="AS455" s="367"/>
      <c r="AT455" s="368"/>
      <c r="AU455" s="367"/>
    </row>
    <row r="456" spans="1:47" ht="12.75">
      <c r="A456" s="367"/>
      <c r="B456" s="367"/>
      <c r="C456" s="367"/>
      <c r="D456" s="367"/>
      <c r="E456" s="367"/>
      <c r="F456" s="367"/>
      <c r="G456" s="367"/>
      <c r="H456" s="367"/>
      <c r="I456" s="367"/>
      <c r="J456" s="367"/>
      <c r="K456" s="367"/>
      <c r="L456" s="367"/>
      <c r="M456" s="367"/>
      <c r="N456" s="367"/>
      <c r="O456" s="367"/>
      <c r="P456" s="364"/>
      <c r="Q456" s="365"/>
      <c r="R456" s="365"/>
      <c r="S456" s="365"/>
      <c r="T456" s="365"/>
      <c r="U456" s="366"/>
      <c r="V456" s="367"/>
      <c r="W456" s="367"/>
      <c r="X456" s="367"/>
      <c r="Y456" s="367"/>
      <c r="Z456" s="367"/>
      <c r="AA456" s="367"/>
      <c r="AB456" s="367"/>
      <c r="AC456" s="367"/>
      <c r="AD456" s="367"/>
      <c r="AE456" s="367"/>
      <c r="AF456" s="367"/>
      <c r="AG456" s="367"/>
      <c r="AH456" s="367"/>
      <c r="AI456" s="367"/>
      <c r="AJ456" s="367"/>
      <c r="AK456" s="367"/>
      <c r="AL456" s="367"/>
      <c r="AM456" s="367"/>
      <c r="AN456" s="367"/>
      <c r="AO456" s="367"/>
      <c r="AP456" s="367"/>
      <c r="AQ456" s="367"/>
      <c r="AR456" s="367"/>
      <c r="AS456" s="367"/>
      <c r="AT456" s="368"/>
      <c r="AU456" s="367"/>
    </row>
    <row r="457" spans="1:47" ht="12.75">
      <c r="A457" s="367"/>
      <c r="B457" s="367"/>
      <c r="C457" s="367"/>
      <c r="D457" s="367"/>
      <c r="E457" s="367"/>
      <c r="F457" s="367"/>
      <c r="G457" s="367"/>
      <c r="H457" s="367"/>
      <c r="I457" s="367"/>
      <c r="J457" s="367"/>
      <c r="K457" s="367"/>
      <c r="L457" s="367"/>
      <c r="M457" s="367"/>
      <c r="N457" s="367"/>
      <c r="O457" s="367"/>
      <c r="P457" s="364"/>
      <c r="Q457" s="365"/>
      <c r="R457" s="365"/>
      <c r="S457" s="365"/>
      <c r="T457" s="365"/>
      <c r="U457" s="366"/>
      <c r="V457" s="367"/>
      <c r="W457" s="367"/>
      <c r="X457" s="367"/>
      <c r="Y457" s="367"/>
      <c r="Z457" s="367"/>
      <c r="AA457" s="367"/>
      <c r="AB457" s="367"/>
      <c r="AC457" s="367"/>
      <c r="AD457" s="367"/>
      <c r="AE457" s="367"/>
      <c r="AF457" s="367"/>
      <c r="AG457" s="367"/>
      <c r="AH457" s="367"/>
      <c r="AI457" s="367"/>
      <c r="AJ457" s="367"/>
      <c r="AK457" s="367"/>
      <c r="AL457" s="367"/>
      <c r="AM457" s="367"/>
      <c r="AN457" s="367"/>
      <c r="AO457" s="367"/>
      <c r="AP457" s="367"/>
      <c r="AQ457" s="367"/>
      <c r="AR457" s="367"/>
      <c r="AS457" s="367"/>
      <c r="AT457" s="368"/>
      <c r="AU457" s="367"/>
    </row>
    <row r="458" spans="1:47" ht="12.75">
      <c r="A458" s="367"/>
      <c r="B458" s="367"/>
      <c r="C458" s="367"/>
      <c r="D458" s="367"/>
      <c r="E458" s="367"/>
      <c r="F458" s="367"/>
      <c r="G458" s="367"/>
      <c r="H458" s="367"/>
      <c r="I458" s="367"/>
      <c r="J458" s="367"/>
      <c r="K458" s="367"/>
      <c r="L458" s="367"/>
      <c r="M458" s="367"/>
      <c r="N458" s="367"/>
      <c r="O458" s="367"/>
      <c r="P458" s="364"/>
      <c r="Q458" s="365"/>
      <c r="R458" s="365"/>
      <c r="S458" s="365"/>
      <c r="T458" s="365"/>
      <c r="U458" s="366"/>
      <c r="V458" s="367"/>
      <c r="W458" s="367"/>
      <c r="X458" s="367"/>
      <c r="Y458" s="367"/>
      <c r="Z458" s="367"/>
      <c r="AA458" s="367"/>
      <c r="AB458" s="367"/>
      <c r="AC458" s="367"/>
      <c r="AD458" s="367"/>
      <c r="AE458" s="367"/>
      <c r="AF458" s="367"/>
      <c r="AG458" s="367"/>
      <c r="AH458" s="367"/>
      <c r="AI458" s="367"/>
      <c r="AJ458" s="367"/>
      <c r="AK458" s="367"/>
      <c r="AL458" s="367"/>
      <c r="AM458" s="367"/>
      <c r="AN458" s="367"/>
      <c r="AO458" s="367"/>
      <c r="AP458" s="367"/>
      <c r="AQ458" s="367"/>
      <c r="AR458" s="367"/>
      <c r="AS458" s="367"/>
      <c r="AT458" s="368"/>
      <c r="AU458" s="367"/>
    </row>
    <row r="459" spans="1:47" ht="12.75">
      <c r="A459" s="367"/>
      <c r="B459" s="367"/>
      <c r="C459" s="367"/>
      <c r="D459" s="367"/>
      <c r="E459" s="367"/>
      <c r="F459" s="367"/>
      <c r="G459" s="367"/>
      <c r="H459" s="367"/>
      <c r="I459" s="367"/>
      <c r="J459" s="367"/>
      <c r="K459" s="367"/>
      <c r="L459" s="367"/>
      <c r="M459" s="367"/>
      <c r="N459" s="367"/>
      <c r="O459" s="367"/>
      <c r="P459" s="364"/>
      <c r="Q459" s="365"/>
      <c r="R459" s="365"/>
      <c r="S459" s="365"/>
      <c r="T459" s="365"/>
      <c r="U459" s="366"/>
      <c r="V459" s="367"/>
      <c r="W459" s="367"/>
      <c r="X459" s="367"/>
      <c r="Y459" s="367"/>
      <c r="Z459" s="367"/>
      <c r="AA459" s="367"/>
      <c r="AB459" s="367"/>
      <c r="AC459" s="367"/>
      <c r="AD459" s="367"/>
      <c r="AE459" s="367"/>
      <c r="AF459" s="367"/>
      <c r="AG459" s="367"/>
      <c r="AH459" s="367"/>
      <c r="AI459" s="367"/>
      <c r="AJ459" s="367"/>
      <c r="AK459" s="367"/>
      <c r="AL459" s="367"/>
      <c r="AM459" s="367"/>
      <c r="AN459" s="367"/>
      <c r="AO459" s="367"/>
      <c r="AP459" s="367"/>
      <c r="AQ459" s="367"/>
      <c r="AR459" s="367"/>
      <c r="AS459" s="367"/>
      <c r="AT459" s="368"/>
      <c r="AU459" s="367"/>
    </row>
    <row r="460" spans="1:47" ht="12.75">
      <c r="A460" s="367"/>
      <c r="B460" s="367"/>
      <c r="C460" s="367"/>
      <c r="D460" s="367"/>
      <c r="E460" s="367"/>
      <c r="F460" s="367"/>
      <c r="G460" s="367"/>
      <c r="H460" s="367"/>
      <c r="I460" s="367"/>
      <c r="J460" s="367"/>
      <c r="K460" s="367"/>
      <c r="L460" s="367"/>
      <c r="M460" s="367"/>
      <c r="N460" s="367"/>
      <c r="O460" s="367"/>
      <c r="P460" s="364"/>
      <c r="Q460" s="365"/>
      <c r="R460" s="365"/>
      <c r="S460" s="365"/>
      <c r="T460" s="365"/>
      <c r="U460" s="366"/>
      <c r="V460" s="367"/>
      <c r="W460" s="367"/>
      <c r="X460" s="367"/>
      <c r="Y460" s="367"/>
      <c r="Z460" s="367"/>
      <c r="AA460" s="367"/>
      <c r="AB460" s="367"/>
      <c r="AC460" s="367"/>
      <c r="AD460" s="367"/>
      <c r="AE460" s="367"/>
      <c r="AF460" s="367"/>
      <c r="AG460" s="367"/>
      <c r="AH460" s="367"/>
      <c r="AI460" s="367"/>
      <c r="AJ460" s="367"/>
      <c r="AK460" s="367"/>
      <c r="AL460" s="367"/>
      <c r="AM460" s="367"/>
      <c r="AN460" s="367"/>
      <c r="AO460" s="367"/>
      <c r="AP460" s="367"/>
      <c r="AQ460" s="367"/>
      <c r="AR460" s="367"/>
      <c r="AS460" s="367"/>
      <c r="AT460" s="368"/>
      <c r="AU460" s="367"/>
    </row>
    <row r="461" spans="1:47" ht="12.75">
      <c r="A461" s="367"/>
      <c r="B461" s="367"/>
      <c r="C461" s="367"/>
      <c r="D461" s="367"/>
      <c r="E461" s="367"/>
      <c r="F461" s="367"/>
      <c r="G461" s="367"/>
      <c r="H461" s="367"/>
      <c r="I461" s="367"/>
      <c r="J461" s="367"/>
      <c r="K461" s="367"/>
      <c r="L461" s="367"/>
      <c r="M461" s="367"/>
      <c r="N461" s="367"/>
      <c r="O461" s="367"/>
      <c r="P461" s="364"/>
      <c r="Q461" s="365"/>
      <c r="R461" s="365"/>
      <c r="S461" s="365"/>
      <c r="T461" s="365"/>
      <c r="U461" s="366"/>
      <c r="V461" s="367"/>
      <c r="W461" s="367"/>
      <c r="X461" s="367"/>
      <c r="Y461" s="367"/>
      <c r="Z461" s="367"/>
      <c r="AA461" s="367"/>
      <c r="AB461" s="367"/>
      <c r="AC461" s="367"/>
      <c r="AD461" s="367"/>
      <c r="AE461" s="367"/>
      <c r="AF461" s="367"/>
      <c r="AG461" s="367"/>
      <c r="AH461" s="367"/>
      <c r="AI461" s="367"/>
      <c r="AJ461" s="367"/>
      <c r="AK461" s="367"/>
      <c r="AL461" s="367"/>
      <c r="AM461" s="367"/>
      <c r="AN461" s="367"/>
      <c r="AO461" s="367"/>
      <c r="AP461" s="367"/>
      <c r="AQ461" s="367"/>
      <c r="AR461" s="367"/>
      <c r="AS461" s="367"/>
      <c r="AT461" s="368"/>
      <c r="AU461" s="367"/>
    </row>
    <row r="462" spans="1:47" ht="12.75">
      <c r="A462" s="367"/>
      <c r="B462" s="367"/>
      <c r="C462" s="367"/>
      <c r="D462" s="367"/>
      <c r="E462" s="367"/>
      <c r="F462" s="367"/>
      <c r="G462" s="367"/>
      <c r="H462" s="367"/>
      <c r="I462" s="367"/>
      <c r="J462" s="367"/>
      <c r="K462" s="367"/>
      <c r="L462" s="367"/>
      <c r="M462" s="367"/>
      <c r="N462" s="367"/>
      <c r="O462" s="367"/>
      <c r="P462" s="364"/>
      <c r="Q462" s="365"/>
      <c r="R462" s="365"/>
      <c r="S462" s="365"/>
      <c r="T462" s="365"/>
      <c r="U462" s="366"/>
      <c r="V462" s="367"/>
      <c r="W462" s="367"/>
      <c r="X462" s="367"/>
      <c r="Y462" s="367"/>
      <c r="Z462" s="367"/>
      <c r="AA462" s="367"/>
      <c r="AB462" s="367"/>
      <c r="AC462" s="367"/>
      <c r="AD462" s="367"/>
      <c r="AE462" s="367"/>
      <c r="AF462" s="367"/>
      <c r="AG462" s="367"/>
      <c r="AH462" s="367"/>
      <c r="AI462" s="367"/>
      <c r="AJ462" s="367"/>
      <c r="AK462" s="367"/>
      <c r="AL462" s="367"/>
      <c r="AM462" s="367"/>
      <c r="AN462" s="367"/>
      <c r="AO462" s="367"/>
      <c r="AP462" s="367"/>
      <c r="AQ462" s="367"/>
      <c r="AR462" s="367"/>
      <c r="AS462" s="367"/>
      <c r="AT462" s="368"/>
      <c r="AU462" s="367"/>
    </row>
    <row r="463" spans="1:47" ht="12.75">
      <c r="A463" s="367"/>
      <c r="B463" s="367"/>
      <c r="C463" s="367"/>
      <c r="D463" s="367"/>
      <c r="E463" s="367"/>
      <c r="F463" s="367"/>
      <c r="G463" s="367"/>
      <c r="H463" s="367"/>
      <c r="I463" s="367"/>
      <c r="J463" s="367"/>
      <c r="K463" s="367"/>
      <c r="L463" s="367"/>
      <c r="M463" s="367"/>
      <c r="N463" s="367"/>
      <c r="O463" s="367"/>
      <c r="P463" s="364"/>
      <c r="Q463" s="365"/>
      <c r="R463" s="365"/>
      <c r="S463" s="365"/>
      <c r="T463" s="365"/>
      <c r="U463" s="366"/>
      <c r="V463" s="367"/>
      <c r="W463" s="367"/>
      <c r="X463" s="367"/>
      <c r="Y463" s="367"/>
      <c r="Z463" s="367"/>
      <c r="AA463" s="367"/>
      <c r="AB463" s="367"/>
      <c r="AC463" s="367"/>
      <c r="AD463" s="367"/>
      <c r="AE463" s="367"/>
      <c r="AF463" s="367"/>
      <c r="AG463" s="367"/>
      <c r="AH463" s="367"/>
      <c r="AI463" s="367"/>
      <c r="AJ463" s="367"/>
      <c r="AK463" s="367"/>
      <c r="AL463" s="367"/>
      <c r="AM463" s="367"/>
      <c r="AN463" s="367"/>
      <c r="AO463" s="367"/>
      <c r="AP463" s="367"/>
      <c r="AQ463" s="367"/>
      <c r="AR463" s="367"/>
      <c r="AS463" s="367"/>
      <c r="AT463" s="368"/>
      <c r="AU463" s="367"/>
    </row>
    <row r="464" spans="1:47" ht="12.75">
      <c r="A464" s="367"/>
      <c r="B464" s="367"/>
      <c r="C464" s="367"/>
      <c r="D464" s="367"/>
      <c r="E464" s="367"/>
      <c r="F464" s="367"/>
      <c r="G464" s="367"/>
      <c r="H464" s="367"/>
      <c r="I464" s="367"/>
      <c r="J464" s="367"/>
      <c r="K464" s="367"/>
      <c r="L464" s="367"/>
      <c r="M464" s="367"/>
      <c r="N464" s="367"/>
      <c r="O464" s="367"/>
      <c r="P464" s="364"/>
      <c r="Q464" s="365"/>
      <c r="R464" s="365"/>
      <c r="S464" s="365"/>
      <c r="T464" s="365"/>
      <c r="U464" s="366"/>
      <c r="V464" s="367"/>
      <c r="W464" s="367"/>
      <c r="X464" s="367"/>
      <c r="Y464" s="367"/>
      <c r="Z464" s="367"/>
      <c r="AA464" s="367"/>
      <c r="AB464" s="367"/>
      <c r="AC464" s="367"/>
      <c r="AD464" s="367"/>
      <c r="AE464" s="367"/>
      <c r="AF464" s="367"/>
      <c r="AG464" s="367"/>
      <c r="AH464" s="367"/>
      <c r="AI464" s="367"/>
      <c r="AJ464" s="367"/>
      <c r="AK464" s="367"/>
      <c r="AL464" s="367"/>
      <c r="AM464" s="367"/>
      <c r="AN464" s="367"/>
      <c r="AO464" s="367"/>
      <c r="AP464" s="367"/>
      <c r="AQ464" s="367"/>
      <c r="AR464" s="367"/>
      <c r="AS464" s="367"/>
      <c r="AT464" s="368"/>
      <c r="AU464" s="367"/>
    </row>
    <row r="465" spans="1:47" ht="12.75">
      <c r="A465" s="367"/>
      <c r="B465" s="367"/>
      <c r="C465" s="367"/>
      <c r="D465" s="367"/>
      <c r="E465" s="367"/>
      <c r="F465" s="367"/>
      <c r="G465" s="367"/>
      <c r="H465" s="367"/>
      <c r="I465" s="367"/>
      <c r="J465" s="367"/>
      <c r="K465" s="367"/>
      <c r="L465" s="367"/>
      <c r="M465" s="367"/>
      <c r="N465" s="367"/>
      <c r="O465" s="367"/>
      <c r="P465" s="364"/>
      <c r="Q465" s="365"/>
      <c r="R465" s="365"/>
      <c r="S465" s="365"/>
      <c r="T465" s="365"/>
      <c r="U465" s="366"/>
      <c r="V465" s="367"/>
      <c r="W465" s="367"/>
      <c r="X465" s="367"/>
      <c r="Y465" s="367"/>
      <c r="Z465" s="367"/>
      <c r="AA465" s="367"/>
      <c r="AB465" s="367"/>
      <c r="AC465" s="367"/>
      <c r="AD465" s="367"/>
      <c r="AE465" s="367"/>
      <c r="AF465" s="367"/>
      <c r="AG465" s="367"/>
      <c r="AH465" s="367"/>
      <c r="AI465" s="367"/>
      <c r="AJ465" s="367"/>
      <c r="AK465" s="367"/>
      <c r="AL465" s="367"/>
      <c r="AM465" s="367"/>
      <c r="AN465" s="367"/>
      <c r="AO465" s="367"/>
      <c r="AP465" s="367"/>
      <c r="AQ465" s="367"/>
      <c r="AR465" s="367"/>
      <c r="AS465" s="367"/>
      <c r="AT465" s="368"/>
      <c r="AU465" s="367"/>
    </row>
    <row r="466" spans="1:47" ht="12.75">
      <c r="A466" s="367"/>
      <c r="B466" s="367"/>
      <c r="C466" s="367"/>
      <c r="D466" s="367"/>
      <c r="E466" s="367"/>
      <c r="F466" s="367"/>
      <c r="G466" s="367"/>
      <c r="H466" s="367"/>
      <c r="I466" s="367"/>
      <c r="J466" s="367"/>
      <c r="K466" s="367"/>
      <c r="L466" s="367"/>
      <c r="M466" s="367"/>
      <c r="N466" s="367"/>
      <c r="O466" s="367"/>
      <c r="P466" s="364"/>
      <c r="Q466" s="365"/>
      <c r="R466" s="365"/>
      <c r="S466" s="365"/>
      <c r="T466" s="365"/>
      <c r="U466" s="366"/>
      <c r="V466" s="367"/>
      <c r="W466" s="367"/>
      <c r="X466" s="367"/>
      <c r="Y466" s="367"/>
      <c r="Z466" s="367"/>
      <c r="AA466" s="367"/>
      <c r="AB466" s="367"/>
      <c r="AC466" s="367"/>
      <c r="AD466" s="367"/>
      <c r="AE466" s="367"/>
      <c r="AF466" s="367"/>
      <c r="AG466" s="367"/>
      <c r="AH466" s="367"/>
      <c r="AI466" s="367"/>
      <c r="AJ466" s="367"/>
      <c r="AK466" s="367"/>
      <c r="AL466" s="367"/>
      <c r="AM466" s="367"/>
      <c r="AN466" s="367"/>
      <c r="AO466" s="367"/>
      <c r="AP466" s="367"/>
      <c r="AQ466" s="367"/>
      <c r="AR466" s="367"/>
      <c r="AS466" s="367"/>
      <c r="AT466" s="368"/>
      <c r="AU466" s="367"/>
    </row>
    <row r="467" spans="1:47" ht="12.75">
      <c r="A467" s="367"/>
      <c r="B467" s="367"/>
      <c r="C467" s="367"/>
      <c r="D467" s="367"/>
      <c r="E467" s="367"/>
      <c r="F467" s="367"/>
      <c r="G467" s="367"/>
      <c r="H467" s="367"/>
      <c r="I467" s="367"/>
      <c r="J467" s="367"/>
      <c r="K467" s="367"/>
      <c r="L467" s="367"/>
      <c r="M467" s="367"/>
      <c r="N467" s="367"/>
      <c r="O467" s="367"/>
      <c r="P467" s="364"/>
      <c r="Q467" s="365"/>
      <c r="R467" s="365"/>
      <c r="S467" s="365"/>
      <c r="T467" s="365"/>
      <c r="U467" s="366"/>
      <c r="V467" s="367"/>
      <c r="W467" s="367"/>
      <c r="X467" s="367"/>
      <c r="Y467" s="367"/>
      <c r="Z467" s="367"/>
      <c r="AA467" s="367"/>
      <c r="AB467" s="367"/>
      <c r="AC467" s="367"/>
      <c r="AD467" s="367"/>
      <c r="AE467" s="367"/>
      <c r="AF467" s="367"/>
      <c r="AG467" s="367"/>
      <c r="AH467" s="367"/>
      <c r="AI467" s="367"/>
      <c r="AJ467" s="367"/>
      <c r="AK467" s="367"/>
      <c r="AL467" s="367"/>
      <c r="AM467" s="367"/>
      <c r="AN467" s="367"/>
      <c r="AO467" s="367"/>
      <c r="AP467" s="367"/>
      <c r="AQ467" s="367"/>
      <c r="AR467" s="367"/>
      <c r="AS467" s="367"/>
      <c r="AT467" s="368"/>
      <c r="AU467" s="367"/>
    </row>
    <row r="468" spans="1:47" ht="12.75">
      <c r="A468" s="367"/>
      <c r="B468" s="367"/>
      <c r="C468" s="367"/>
      <c r="D468" s="367"/>
      <c r="E468" s="367"/>
      <c r="F468" s="367"/>
      <c r="G468" s="367"/>
      <c r="H468" s="367"/>
      <c r="I468" s="367"/>
      <c r="J468" s="367"/>
      <c r="K468" s="367"/>
      <c r="L468" s="367"/>
      <c r="M468" s="367"/>
      <c r="N468" s="367"/>
      <c r="O468" s="367"/>
      <c r="P468" s="364"/>
      <c r="Q468" s="365"/>
      <c r="R468" s="365"/>
      <c r="S468" s="365"/>
      <c r="T468" s="365"/>
      <c r="U468" s="366"/>
      <c r="V468" s="367"/>
      <c r="W468" s="367"/>
      <c r="X468" s="367"/>
      <c r="Y468" s="367"/>
      <c r="Z468" s="367"/>
      <c r="AA468" s="367"/>
      <c r="AB468" s="367"/>
      <c r="AC468" s="367"/>
      <c r="AD468" s="367"/>
      <c r="AE468" s="367"/>
      <c r="AF468" s="367"/>
      <c r="AG468" s="367"/>
      <c r="AH468" s="367"/>
      <c r="AI468" s="367"/>
      <c r="AJ468" s="367"/>
      <c r="AK468" s="367"/>
      <c r="AL468" s="367"/>
      <c r="AM468" s="367"/>
      <c r="AN468" s="367"/>
      <c r="AO468" s="367"/>
      <c r="AP468" s="367"/>
      <c r="AQ468" s="367"/>
      <c r="AR468" s="367"/>
      <c r="AS468" s="367"/>
      <c r="AT468" s="368"/>
      <c r="AU468" s="367"/>
    </row>
    <row r="469" spans="1:47" ht="12.75">
      <c r="A469" s="367"/>
      <c r="B469" s="367"/>
      <c r="C469" s="367"/>
      <c r="D469" s="367"/>
      <c r="E469" s="367"/>
      <c r="F469" s="367"/>
      <c r="G469" s="367"/>
      <c r="H469" s="367"/>
      <c r="I469" s="367"/>
      <c r="J469" s="367"/>
      <c r="K469" s="367"/>
      <c r="L469" s="367"/>
      <c r="M469" s="367"/>
      <c r="N469" s="367"/>
      <c r="O469" s="367"/>
      <c r="P469" s="364"/>
      <c r="Q469" s="365"/>
      <c r="R469" s="365"/>
      <c r="S469" s="365"/>
      <c r="T469" s="365"/>
      <c r="U469" s="366"/>
      <c r="V469" s="367"/>
      <c r="W469" s="367"/>
      <c r="X469" s="367"/>
      <c r="Y469" s="367"/>
      <c r="Z469" s="367"/>
      <c r="AA469" s="367"/>
      <c r="AB469" s="367"/>
      <c r="AC469" s="367"/>
      <c r="AD469" s="367"/>
      <c r="AE469" s="367"/>
      <c r="AF469" s="367"/>
      <c r="AG469" s="367"/>
      <c r="AH469" s="367"/>
      <c r="AI469" s="367"/>
      <c r="AJ469" s="367"/>
      <c r="AK469" s="367"/>
      <c r="AL469" s="367"/>
      <c r="AM469" s="367"/>
      <c r="AN469" s="367"/>
      <c r="AO469" s="367"/>
      <c r="AP469" s="367"/>
      <c r="AQ469" s="367"/>
      <c r="AR469" s="367"/>
      <c r="AS469" s="367"/>
      <c r="AT469" s="368"/>
      <c r="AU469" s="367"/>
    </row>
    <row r="470" spans="1:47" ht="12.75">
      <c r="A470" s="367"/>
      <c r="B470" s="367"/>
      <c r="C470" s="367"/>
      <c r="D470" s="367"/>
      <c r="E470" s="367"/>
      <c r="F470" s="367"/>
      <c r="G470" s="367"/>
      <c r="H470" s="367"/>
      <c r="I470" s="367"/>
      <c r="J470" s="367"/>
      <c r="K470" s="367"/>
      <c r="L470" s="367"/>
      <c r="M470" s="367"/>
      <c r="N470" s="367"/>
      <c r="O470" s="367"/>
      <c r="P470" s="364"/>
      <c r="Q470" s="365"/>
      <c r="R470" s="365"/>
      <c r="S470" s="365"/>
      <c r="T470" s="365"/>
      <c r="U470" s="366"/>
      <c r="V470" s="367"/>
      <c r="W470" s="367"/>
      <c r="X470" s="367"/>
      <c r="Y470" s="367"/>
      <c r="Z470" s="367"/>
      <c r="AA470" s="367"/>
      <c r="AB470" s="367"/>
      <c r="AC470" s="367"/>
      <c r="AD470" s="367"/>
      <c r="AE470" s="367"/>
      <c r="AF470" s="367"/>
      <c r="AG470" s="367"/>
      <c r="AH470" s="367"/>
      <c r="AI470" s="367"/>
      <c r="AJ470" s="367"/>
      <c r="AK470" s="367"/>
      <c r="AL470" s="367"/>
      <c r="AM470" s="367"/>
      <c r="AN470" s="367"/>
      <c r="AO470" s="367"/>
      <c r="AP470" s="367"/>
      <c r="AQ470" s="367"/>
      <c r="AR470" s="367"/>
      <c r="AS470" s="367"/>
      <c r="AT470" s="368"/>
      <c r="AU470" s="367"/>
    </row>
    <row r="471" spans="1:47" ht="12.75">
      <c r="A471" s="367"/>
      <c r="B471" s="367"/>
      <c r="C471" s="367"/>
      <c r="D471" s="367"/>
      <c r="E471" s="367"/>
      <c r="F471" s="367"/>
      <c r="G471" s="367"/>
      <c r="H471" s="367"/>
      <c r="I471" s="367"/>
      <c r="J471" s="367"/>
      <c r="K471" s="367"/>
      <c r="L471" s="367"/>
      <c r="M471" s="367"/>
      <c r="N471" s="367"/>
      <c r="O471" s="367"/>
      <c r="P471" s="364"/>
      <c r="Q471" s="365"/>
      <c r="R471" s="365"/>
      <c r="S471" s="365"/>
      <c r="T471" s="365"/>
      <c r="U471" s="366"/>
      <c r="V471" s="367"/>
      <c r="W471" s="367"/>
      <c r="X471" s="367"/>
      <c r="Y471" s="367"/>
      <c r="Z471" s="367"/>
      <c r="AA471" s="367"/>
      <c r="AB471" s="367"/>
      <c r="AC471" s="367"/>
      <c r="AD471" s="367"/>
      <c r="AE471" s="367"/>
      <c r="AF471" s="367"/>
      <c r="AG471" s="367"/>
      <c r="AH471" s="367"/>
      <c r="AI471" s="367"/>
      <c r="AJ471" s="367"/>
      <c r="AK471" s="367"/>
      <c r="AL471" s="367"/>
      <c r="AM471" s="367"/>
      <c r="AN471" s="367"/>
      <c r="AO471" s="367"/>
      <c r="AP471" s="367"/>
      <c r="AQ471" s="367"/>
      <c r="AR471" s="367"/>
      <c r="AS471" s="367"/>
      <c r="AT471" s="368"/>
      <c r="AU471" s="367"/>
    </row>
    <row r="472" spans="1:47" ht="12.75">
      <c r="A472" s="367"/>
      <c r="B472" s="367"/>
      <c r="C472" s="367"/>
      <c r="D472" s="367"/>
      <c r="E472" s="367"/>
      <c r="F472" s="367"/>
      <c r="G472" s="367"/>
      <c r="H472" s="367"/>
      <c r="I472" s="367"/>
      <c r="J472" s="367"/>
      <c r="K472" s="367"/>
      <c r="L472" s="367"/>
      <c r="M472" s="367"/>
      <c r="N472" s="367"/>
      <c r="O472" s="367"/>
      <c r="P472" s="364"/>
      <c r="Q472" s="365"/>
      <c r="R472" s="365"/>
      <c r="S472" s="365"/>
      <c r="T472" s="365"/>
      <c r="U472" s="366"/>
      <c r="V472" s="367"/>
      <c r="W472" s="367"/>
      <c r="X472" s="367"/>
      <c r="Y472" s="367"/>
      <c r="Z472" s="367"/>
      <c r="AA472" s="367"/>
      <c r="AB472" s="367"/>
      <c r="AC472" s="367"/>
      <c r="AD472" s="367"/>
      <c r="AE472" s="367"/>
      <c r="AF472" s="367"/>
      <c r="AG472" s="367"/>
      <c r="AH472" s="367"/>
      <c r="AI472" s="367"/>
      <c r="AJ472" s="367"/>
      <c r="AK472" s="367"/>
      <c r="AL472" s="367"/>
      <c r="AM472" s="367"/>
      <c r="AN472" s="367"/>
      <c r="AO472" s="367"/>
      <c r="AP472" s="367"/>
      <c r="AQ472" s="367"/>
      <c r="AR472" s="367"/>
      <c r="AS472" s="367"/>
      <c r="AT472" s="368"/>
      <c r="AU472" s="367"/>
    </row>
    <row r="473" spans="1:47" ht="12.75">
      <c r="A473" s="367"/>
      <c r="B473" s="367"/>
      <c r="C473" s="367"/>
      <c r="D473" s="367"/>
      <c r="E473" s="367"/>
      <c r="F473" s="367"/>
      <c r="G473" s="367"/>
      <c r="H473" s="367"/>
      <c r="I473" s="367"/>
      <c r="J473" s="367"/>
      <c r="K473" s="367"/>
      <c r="L473" s="367"/>
      <c r="M473" s="367"/>
      <c r="N473" s="367"/>
      <c r="O473" s="367"/>
      <c r="P473" s="364"/>
      <c r="Q473" s="365"/>
      <c r="R473" s="365"/>
      <c r="S473" s="365"/>
      <c r="T473" s="365"/>
      <c r="U473" s="366"/>
      <c r="V473" s="367"/>
      <c r="W473" s="367"/>
      <c r="X473" s="367"/>
      <c r="Y473" s="367"/>
      <c r="Z473" s="367"/>
      <c r="AA473" s="367"/>
      <c r="AB473" s="367"/>
      <c r="AC473" s="367"/>
      <c r="AD473" s="367"/>
      <c r="AE473" s="367"/>
      <c r="AF473" s="367"/>
      <c r="AG473" s="367"/>
      <c r="AH473" s="367"/>
      <c r="AI473" s="367"/>
      <c r="AJ473" s="367"/>
      <c r="AK473" s="367"/>
      <c r="AL473" s="367"/>
      <c r="AM473" s="367"/>
      <c r="AN473" s="367"/>
      <c r="AO473" s="367"/>
      <c r="AP473" s="367"/>
      <c r="AQ473" s="367"/>
      <c r="AR473" s="367"/>
      <c r="AS473" s="367"/>
      <c r="AT473" s="368"/>
      <c r="AU473" s="367"/>
    </row>
    <row r="474" spans="1:47" ht="12.75">
      <c r="A474" s="367"/>
      <c r="B474" s="367"/>
      <c r="C474" s="367"/>
      <c r="D474" s="367"/>
      <c r="E474" s="367"/>
      <c r="F474" s="367"/>
      <c r="G474" s="367"/>
      <c r="H474" s="367"/>
      <c r="I474" s="367"/>
      <c r="J474" s="367"/>
      <c r="K474" s="367"/>
      <c r="L474" s="367"/>
      <c r="M474" s="367"/>
      <c r="N474" s="367"/>
      <c r="O474" s="367"/>
      <c r="P474" s="364"/>
      <c r="Q474" s="365"/>
      <c r="R474" s="365"/>
      <c r="S474" s="365"/>
      <c r="T474" s="365"/>
      <c r="U474" s="366"/>
      <c r="V474" s="367"/>
      <c r="W474" s="367"/>
      <c r="X474" s="367"/>
      <c r="Y474" s="367"/>
      <c r="Z474" s="367"/>
      <c r="AA474" s="367"/>
      <c r="AB474" s="367"/>
      <c r="AC474" s="367"/>
      <c r="AD474" s="367"/>
      <c r="AE474" s="367"/>
      <c r="AF474" s="367"/>
      <c r="AG474" s="367"/>
      <c r="AH474" s="367"/>
      <c r="AI474" s="367"/>
      <c r="AJ474" s="367"/>
      <c r="AK474" s="367"/>
      <c r="AL474" s="367"/>
      <c r="AM474" s="367"/>
      <c r="AN474" s="367"/>
      <c r="AO474" s="367"/>
      <c r="AP474" s="367"/>
      <c r="AQ474" s="367"/>
      <c r="AR474" s="367"/>
      <c r="AS474" s="367"/>
      <c r="AT474" s="368"/>
      <c r="AU474" s="367"/>
    </row>
    <row r="475" spans="1:47" ht="12.75">
      <c r="A475" s="367"/>
      <c r="B475" s="367"/>
      <c r="C475" s="367"/>
      <c r="D475" s="367"/>
      <c r="E475" s="367"/>
      <c r="F475" s="367"/>
      <c r="G475" s="367"/>
      <c r="H475" s="367"/>
      <c r="I475" s="367"/>
      <c r="J475" s="367"/>
      <c r="K475" s="367"/>
      <c r="L475" s="367"/>
      <c r="M475" s="367"/>
      <c r="N475" s="367"/>
      <c r="O475" s="367"/>
      <c r="P475" s="364"/>
      <c r="Q475" s="365"/>
      <c r="R475" s="365"/>
      <c r="S475" s="365"/>
      <c r="T475" s="365"/>
      <c r="U475" s="366"/>
      <c r="V475" s="367"/>
      <c r="W475" s="367"/>
      <c r="X475" s="367"/>
      <c r="Y475" s="367"/>
      <c r="Z475" s="367"/>
      <c r="AA475" s="367"/>
      <c r="AB475" s="367"/>
      <c r="AC475" s="367"/>
      <c r="AD475" s="367"/>
      <c r="AE475" s="367"/>
      <c r="AF475" s="367"/>
      <c r="AG475" s="367"/>
      <c r="AH475" s="367"/>
      <c r="AI475" s="367"/>
      <c r="AJ475" s="367"/>
      <c r="AK475" s="367"/>
      <c r="AL475" s="367"/>
      <c r="AM475" s="367"/>
      <c r="AN475" s="367"/>
      <c r="AO475" s="367"/>
      <c r="AP475" s="367"/>
      <c r="AQ475" s="367"/>
      <c r="AR475" s="367"/>
      <c r="AS475" s="367"/>
      <c r="AT475" s="368"/>
      <c r="AU475" s="367"/>
    </row>
    <row r="476" spans="1:47" ht="12.75">
      <c r="A476" s="367"/>
      <c r="B476" s="367"/>
      <c r="C476" s="367"/>
      <c r="D476" s="367"/>
      <c r="E476" s="367"/>
      <c r="F476" s="367"/>
      <c r="G476" s="367"/>
      <c r="H476" s="367"/>
      <c r="I476" s="367"/>
      <c r="J476" s="367"/>
      <c r="K476" s="367"/>
      <c r="L476" s="367"/>
      <c r="M476" s="367"/>
      <c r="N476" s="367"/>
      <c r="O476" s="367"/>
      <c r="P476" s="364"/>
      <c r="Q476" s="365"/>
      <c r="R476" s="365"/>
      <c r="S476" s="365"/>
      <c r="T476" s="365"/>
      <c r="U476" s="366"/>
      <c r="V476" s="367"/>
      <c r="W476" s="367"/>
      <c r="X476" s="367"/>
      <c r="Y476" s="367"/>
      <c r="Z476" s="367"/>
      <c r="AA476" s="367"/>
      <c r="AB476" s="367"/>
      <c r="AC476" s="367"/>
      <c r="AD476" s="367"/>
      <c r="AE476" s="367"/>
      <c r="AF476" s="367"/>
      <c r="AG476" s="367"/>
      <c r="AH476" s="367"/>
      <c r="AI476" s="367"/>
      <c r="AJ476" s="367"/>
      <c r="AK476" s="367"/>
      <c r="AL476" s="367"/>
      <c r="AM476" s="367"/>
      <c r="AN476" s="367"/>
      <c r="AO476" s="367"/>
      <c r="AP476" s="367"/>
      <c r="AQ476" s="367"/>
      <c r="AR476" s="367"/>
      <c r="AS476" s="367"/>
      <c r="AT476" s="368"/>
      <c r="AU476" s="367"/>
    </row>
    <row r="477" spans="1:47" ht="12.75">
      <c r="A477" s="367"/>
      <c r="B477" s="367"/>
      <c r="C477" s="367"/>
      <c r="D477" s="367"/>
      <c r="E477" s="367"/>
      <c r="F477" s="367"/>
      <c r="G477" s="367"/>
      <c r="H477" s="367"/>
      <c r="I477" s="367"/>
      <c r="J477" s="367"/>
      <c r="K477" s="367"/>
      <c r="L477" s="367"/>
      <c r="M477" s="367"/>
      <c r="N477" s="367"/>
      <c r="O477" s="367"/>
      <c r="P477" s="364"/>
      <c r="Q477" s="365"/>
      <c r="R477" s="365"/>
      <c r="S477" s="365"/>
      <c r="T477" s="365"/>
      <c r="U477" s="366"/>
      <c r="V477" s="367"/>
      <c r="W477" s="367"/>
      <c r="X477" s="367"/>
      <c r="Y477" s="367"/>
      <c r="Z477" s="367"/>
      <c r="AA477" s="367"/>
      <c r="AB477" s="367"/>
      <c r="AC477" s="367"/>
      <c r="AD477" s="367"/>
      <c r="AE477" s="367"/>
      <c r="AF477" s="367"/>
      <c r="AG477" s="367"/>
      <c r="AH477" s="367"/>
      <c r="AI477" s="367"/>
      <c r="AJ477" s="367"/>
      <c r="AK477" s="367"/>
      <c r="AL477" s="367"/>
      <c r="AM477" s="367"/>
      <c r="AN477" s="367"/>
      <c r="AO477" s="367"/>
      <c r="AP477" s="367"/>
      <c r="AQ477" s="367"/>
      <c r="AR477" s="367"/>
      <c r="AS477" s="367"/>
      <c r="AT477" s="368"/>
      <c r="AU477" s="367"/>
    </row>
    <row r="478" spans="1:47" ht="12.75">
      <c r="A478" s="367"/>
      <c r="B478" s="367"/>
      <c r="C478" s="367"/>
      <c r="D478" s="367"/>
      <c r="E478" s="367"/>
      <c r="F478" s="367"/>
      <c r="G478" s="367"/>
      <c r="H478" s="367"/>
      <c r="I478" s="367"/>
      <c r="J478" s="367"/>
      <c r="K478" s="367"/>
      <c r="L478" s="367"/>
      <c r="M478" s="367"/>
      <c r="N478" s="367"/>
      <c r="O478" s="367"/>
      <c r="P478" s="364"/>
      <c r="Q478" s="365"/>
      <c r="R478" s="365"/>
      <c r="S478" s="365"/>
      <c r="T478" s="365"/>
      <c r="U478" s="366"/>
      <c r="V478" s="367"/>
      <c r="W478" s="367"/>
      <c r="X478" s="367"/>
      <c r="Y478" s="367"/>
      <c r="Z478" s="367"/>
      <c r="AA478" s="367"/>
      <c r="AB478" s="367"/>
      <c r="AC478" s="367"/>
      <c r="AD478" s="367"/>
      <c r="AE478" s="367"/>
      <c r="AF478" s="367"/>
      <c r="AG478" s="367"/>
      <c r="AH478" s="367"/>
      <c r="AI478" s="367"/>
      <c r="AJ478" s="367"/>
      <c r="AK478" s="367"/>
      <c r="AL478" s="367"/>
      <c r="AM478" s="367"/>
      <c r="AN478" s="367"/>
      <c r="AO478" s="367"/>
      <c r="AP478" s="367"/>
      <c r="AQ478" s="367"/>
      <c r="AR478" s="367"/>
      <c r="AS478" s="367"/>
      <c r="AT478" s="368"/>
      <c r="AU478" s="367"/>
    </row>
    <row r="479" spans="1:47" ht="12.75">
      <c r="A479" s="367"/>
      <c r="B479" s="367"/>
      <c r="C479" s="367"/>
      <c r="D479" s="367"/>
      <c r="E479" s="367"/>
      <c r="F479" s="367"/>
      <c r="G479" s="367"/>
      <c r="H479" s="367"/>
      <c r="I479" s="367"/>
      <c r="J479" s="367"/>
      <c r="K479" s="367"/>
      <c r="L479" s="367"/>
      <c r="M479" s="367"/>
      <c r="N479" s="367"/>
      <c r="O479" s="367"/>
      <c r="P479" s="364"/>
      <c r="Q479" s="365"/>
      <c r="R479" s="365"/>
      <c r="S479" s="365"/>
      <c r="T479" s="365"/>
      <c r="U479" s="366"/>
      <c r="V479" s="367"/>
      <c r="W479" s="367"/>
      <c r="X479" s="367"/>
      <c r="Y479" s="367"/>
      <c r="Z479" s="367"/>
      <c r="AA479" s="367"/>
      <c r="AB479" s="367"/>
      <c r="AC479" s="367"/>
      <c r="AD479" s="367"/>
      <c r="AE479" s="367"/>
      <c r="AF479" s="367"/>
      <c r="AG479" s="367"/>
      <c r="AH479" s="367"/>
      <c r="AI479" s="367"/>
      <c r="AJ479" s="367"/>
      <c r="AK479" s="367"/>
      <c r="AL479" s="367"/>
      <c r="AM479" s="367"/>
      <c r="AN479" s="367"/>
      <c r="AO479" s="367"/>
      <c r="AP479" s="367"/>
      <c r="AQ479" s="367"/>
      <c r="AR479" s="367"/>
      <c r="AS479" s="367"/>
      <c r="AT479" s="368"/>
      <c r="AU479" s="367"/>
    </row>
    <row r="480" spans="1:47" ht="12.75">
      <c r="A480" s="367"/>
      <c r="B480" s="367"/>
      <c r="C480" s="367"/>
      <c r="D480" s="367"/>
      <c r="E480" s="367"/>
      <c r="F480" s="367"/>
      <c r="G480" s="367"/>
      <c r="H480" s="367"/>
      <c r="I480" s="367"/>
      <c r="J480" s="367"/>
      <c r="K480" s="367"/>
      <c r="L480" s="367"/>
      <c r="M480" s="367"/>
      <c r="N480" s="367"/>
      <c r="O480" s="367"/>
      <c r="P480" s="364"/>
      <c r="Q480" s="365"/>
      <c r="R480" s="365"/>
      <c r="S480" s="365"/>
      <c r="T480" s="365"/>
      <c r="U480" s="366"/>
      <c r="V480" s="367"/>
      <c r="W480" s="367"/>
      <c r="X480" s="367"/>
      <c r="Y480" s="367"/>
      <c r="Z480" s="367"/>
      <c r="AA480" s="367"/>
      <c r="AB480" s="367"/>
      <c r="AC480" s="367"/>
      <c r="AD480" s="367"/>
      <c r="AE480" s="367"/>
      <c r="AF480" s="367"/>
      <c r="AG480" s="367"/>
      <c r="AH480" s="367"/>
      <c r="AI480" s="367"/>
      <c r="AJ480" s="367"/>
      <c r="AK480" s="367"/>
      <c r="AL480" s="367"/>
      <c r="AM480" s="367"/>
      <c r="AN480" s="367"/>
      <c r="AO480" s="367"/>
      <c r="AP480" s="367"/>
      <c r="AQ480" s="367"/>
      <c r="AR480" s="367"/>
      <c r="AS480" s="367"/>
      <c r="AT480" s="368"/>
      <c r="AU480" s="367"/>
    </row>
    <row r="481" spans="1:47" ht="12.75">
      <c r="A481" s="367"/>
      <c r="B481" s="367"/>
      <c r="C481" s="367"/>
      <c r="D481" s="367"/>
      <c r="E481" s="367"/>
      <c r="F481" s="367"/>
      <c r="G481" s="367"/>
      <c r="H481" s="367"/>
      <c r="I481" s="367"/>
      <c r="J481" s="367"/>
      <c r="K481" s="367"/>
      <c r="L481" s="367"/>
      <c r="M481" s="367"/>
      <c r="N481" s="367"/>
      <c r="O481" s="367"/>
      <c r="P481" s="364"/>
      <c r="Q481" s="365"/>
      <c r="R481" s="365"/>
      <c r="S481" s="365"/>
      <c r="T481" s="365"/>
      <c r="U481" s="366"/>
      <c r="V481" s="367"/>
      <c r="W481" s="367"/>
      <c r="X481" s="367"/>
      <c r="Y481" s="367"/>
      <c r="Z481" s="367"/>
      <c r="AA481" s="367"/>
      <c r="AB481" s="367"/>
      <c r="AC481" s="367"/>
      <c r="AD481" s="367"/>
      <c r="AE481" s="367"/>
      <c r="AF481" s="367"/>
      <c r="AG481" s="367"/>
      <c r="AH481" s="367"/>
      <c r="AI481" s="367"/>
      <c r="AJ481" s="367"/>
      <c r="AK481" s="367"/>
      <c r="AL481" s="367"/>
      <c r="AM481" s="367"/>
      <c r="AN481" s="367"/>
      <c r="AO481" s="367"/>
      <c r="AP481" s="367"/>
      <c r="AQ481" s="367"/>
      <c r="AR481" s="367"/>
      <c r="AS481" s="367"/>
      <c r="AT481" s="368"/>
      <c r="AU481" s="367"/>
    </row>
    <row r="482" spans="1:47" ht="12.75">
      <c r="A482" s="367"/>
      <c r="B482" s="367"/>
      <c r="C482" s="367"/>
      <c r="D482" s="367"/>
      <c r="E482" s="367"/>
      <c r="F482" s="367"/>
      <c r="G482" s="367"/>
      <c r="H482" s="367"/>
      <c r="I482" s="367"/>
      <c r="J482" s="367"/>
      <c r="K482" s="367"/>
      <c r="L482" s="367"/>
      <c r="M482" s="367"/>
      <c r="N482" s="367"/>
      <c r="O482" s="367"/>
      <c r="P482" s="364"/>
      <c r="Q482" s="365"/>
      <c r="R482" s="365"/>
      <c r="S482" s="365"/>
      <c r="T482" s="365"/>
      <c r="U482" s="366"/>
      <c r="V482" s="367"/>
      <c r="W482" s="367"/>
      <c r="X482" s="367"/>
      <c r="Y482" s="367"/>
      <c r="Z482" s="367"/>
      <c r="AA482" s="367"/>
      <c r="AB482" s="367"/>
      <c r="AC482" s="367"/>
      <c r="AD482" s="367"/>
      <c r="AE482" s="367"/>
      <c r="AF482" s="367"/>
      <c r="AG482" s="367"/>
      <c r="AH482" s="367"/>
      <c r="AI482" s="367"/>
      <c r="AJ482" s="367"/>
      <c r="AK482" s="367"/>
      <c r="AL482" s="367"/>
      <c r="AM482" s="367"/>
      <c r="AN482" s="367"/>
      <c r="AO482" s="367"/>
      <c r="AP482" s="367"/>
      <c r="AQ482" s="367"/>
      <c r="AR482" s="367"/>
      <c r="AS482" s="367"/>
      <c r="AT482" s="368"/>
      <c r="AU482" s="367"/>
    </row>
    <row r="483" spans="1:47" ht="12.75">
      <c r="A483" s="367"/>
      <c r="B483" s="367"/>
      <c r="C483" s="367"/>
      <c r="D483" s="367"/>
      <c r="E483" s="367"/>
      <c r="F483" s="367"/>
      <c r="G483" s="367"/>
      <c r="H483" s="367"/>
      <c r="I483" s="367"/>
      <c r="J483" s="367"/>
      <c r="K483" s="367"/>
      <c r="L483" s="367"/>
      <c r="M483" s="367"/>
      <c r="N483" s="367"/>
      <c r="O483" s="367"/>
      <c r="P483" s="364"/>
      <c r="Q483" s="365"/>
      <c r="R483" s="365"/>
      <c r="S483" s="365"/>
      <c r="T483" s="365"/>
      <c r="U483" s="366"/>
      <c r="V483" s="367"/>
      <c r="W483" s="367"/>
      <c r="X483" s="367"/>
      <c r="Y483" s="367"/>
      <c r="Z483" s="367"/>
      <c r="AA483" s="367"/>
      <c r="AB483" s="367"/>
      <c r="AC483" s="367"/>
      <c r="AD483" s="367"/>
      <c r="AE483" s="367"/>
      <c r="AF483" s="367"/>
      <c r="AG483" s="367"/>
      <c r="AH483" s="367"/>
      <c r="AI483" s="367"/>
      <c r="AJ483" s="367"/>
      <c r="AK483" s="367"/>
      <c r="AL483" s="367"/>
      <c r="AM483" s="367"/>
      <c r="AN483" s="367"/>
      <c r="AO483" s="367"/>
      <c r="AP483" s="367"/>
      <c r="AQ483" s="367"/>
      <c r="AR483" s="367"/>
      <c r="AS483" s="367"/>
      <c r="AT483" s="368"/>
      <c r="AU483" s="367"/>
    </row>
    <row r="484" spans="1:47" ht="12.75">
      <c r="A484" s="367"/>
      <c r="B484" s="367"/>
      <c r="C484" s="367"/>
      <c r="D484" s="367"/>
      <c r="E484" s="367"/>
      <c r="F484" s="367"/>
      <c r="G484" s="367"/>
      <c r="H484" s="367"/>
      <c r="I484" s="367"/>
      <c r="J484" s="367"/>
      <c r="K484" s="367"/>
      <c r="L484" s="367"/>
      <c r="M484" s="367"/>
      <c r="N484" s="367"/>
      <c r="O484" s="367"/>
      <c r="P484" s="364"/>
      <c r="Q484" s="365"/>
      <c r="R484" s="365"/>
      <c r="S484" s="365"/>
      <c r="T484" s="365"/>
      <c r="U484" s="366"/>
      <c r="V484" s="367"/>
      <c r="W484" s="367"/>
      <c r="X484" s="367"/>
      <c r="Y484" s="367"/>
      <c r="Z484" s="367"/>
      <c r="AA484" s="367"/>
      <c r="AB484" s="367"/>
      <c r="AC484" s="367"/>
      <c r="AD484" s="367"/>
      <c r="AE484" s="367"/>
      <c r="AF484" s="367"/>
      <c r="AG484" s="367"/>
      <c r="AH484" s="367"/>
      <c r="AI484" s="367"/>
      <c r="AJ484" s="367"/>
      <c r="AK484" s="367"/>
      <c r="AL484" s="367"/>
      <c r="AM484" s="367"/>
      <c r="AN484" s="367"/>
      <c r="AO484" s="367"/>
      <c r="AP484" s="367"/>
      <c r="AQ484" s="367"/>
      <c r="AR484" s="367"/>
      <c r="AS484" s="367"/>
      <c r="AT484" s="368"/>
      <c r="AU484" s="367"/>
    </row>
    <row r="485" spans="1:47" ht="12.75">
      <c r="A485" s="367"/>
      <c r="B485" s="367"/>
      <c r="C485" s="367"/>
      <c r="D485" s="367"/>
      <c r="E485" s="367"/>
      <c r="F485" s="367"/>
      <c r="G485" s="367"/>
      <c r="H485" s="367"/>
      <c r="I485" s="367"/>
      <c r="J485" s="367"/>
      <c r="K485" s="367"/>
      <c r="L485" s="367"/>
      <c r="M485" s="367"/>
      <c r="N485" s="367"/>
      <c r="O485" s="367"/>
      <c r="P485" s="364"/>
      <c r="Q485" s="365"/>
      <c r="R485" s="365"/>
      <c r="S485" s="365"/>
      <c r="T485" s="365"/>
      <c r="U485" s="366"/>
      <c r="V485" s="367"/>
      <c r="W485" s="367"/>
      <c r="X485" s="367"/>
      <c r="Y485" s="367"/>
      <c r="Z485" s="367"/>
      <c r="AA485" s="367"/>
      <c r="AB485" s="367"/>
      <c r="AC485" s="367"/>
      <c r="AD485" s="367"/>
      <c r="AE485" s="367"/>
      <c r="AF485" s="367"/>
      <c r="AG485" s="367"/>
      <c r="AH485" s="367"/>
      <c r="AI485" s="367"/>
      <c r="AJ485" s="367"/>
      <c r="AK485" s="367"/>
      <c r="AL485" s="367"/>
      <c r="AM485" s="367"/>
      <c r="AN485" s="367"/>
      <c r="AO485" s="367"/>
      <c r="AP485" s="367"/>
      <c r="AQ485" s="367"/>
      <c r="AR485" s="367"/>
      <c r="AS485" s="367"/>
      <c r="AT485" s="368"/>
      <c r="AU485" s="367"/>
    </row>
    <row r="486" spans="1:47" ht="12.75">
      <c r="A486" s="367"/>
      <c r="B486" s="367"/>
      <c r="C486" s="367"/>
      <c r="D486" s="367"/>
      <c r="E486" s="367"/>
      <c r="F486" s="367"/>
      <c r="G486" s="367"/>
      <c r="H486" s="367"/>
      <c r="I486" s="367"/>
      <c r="J486" s="367"/>
      <c r="K486" s="367"/>
      <c r="L486" s="367"/>
      <c r="M486" s="367"/>
      <c r="N486" s="367"/>
      <c r="O486" s="367"/>
      <c r="P486" s="364"/>
      <c r="Q486" s="365"/>
      <c r="R486" s="365"/>
      <c r="S486" s="365"/>
      <c r="T486" s="365"/>
      <c r="U486" s="366"/>
      <c r="V486" s="367"/>
      <c r="W486" s="367"/>
      <c r="X486" s="367"/>
      <c r="Y486" s="367"/>
      <c r="Z486" s="367"/>
      <c r="AA486" s="367"/>
      <c r="AB486" s="367"/>
      <c r="AC486" s="367"/>
      <c r="AD486" s="367"/>
      <c r="AE486" s="367"/>
      <c r="AF486" s="367"/>
      <c r="AG486" s="367"/>
      <c r="AH486" s="367"/>
      <c r="AI486" s="367"/>
      <c r="AJ486" s="367"/>
      <c r="AK486" s="367"/>
      <c r="AL486" s="367"/>
      <c r="AM486" s="367"/>
      <c r="AN486" s="367"/>
      <c r="AO486" s="367"/>
      <c r="AP486" s="367"/>
      <c r="AQ486" s="367"/>
      <c r="AR486" s="367"/>
      <c r="AS486" s="367"/>
      <c r="AT486" s="368"/>
      <c r="AU486" s="367"/>
    </row>
    <row r="487" spans="1:47" ht="12.75">
      <c r="A487" s="367"/>
      <c r="B487" s="367"/>
      <c r="C487" s="367"/>
      <c r="D487" s="367"/>
      <c r="E487" s="367"/>
      <c r="F487" s="367"/>
      <c r="G487" s="367"/>
      <c r="H487" s="367"/>
      <c r="I487" s="367"/>
      <c r="J487" s="367"/>
      <c r="K487" s="367"/>
      <c r="L487" s="367"/>
      <c r="M487" s="367"/>
      <c r="N487" s="367"/>
      <c r="O487" s="367"/>
      <c r="P487" s="364"/>
      <c r="Q487" s="365"/>
      <c r="R487" s="365"/>
      <c r="S487" s="365"/>
      <c r="T487" s="365"/>
      <c r="U487" s="366"/>
      <c r="V487" s="367"/>
      <c r="W487" s="367"/>
      <c r="X487" s="367"/>
      <c r="Y487" s="367"/>
      <c r="Z487" s="367"/>
      <c r="AA487" s="367"/>
      <c r="AB487" s="367"/>
      <c r="AC487" s="367"/>
      <c r="AD487" s="367"/>
      <c r="AE487" s="367"/>
      <c r="AF487" s="367"/>
      <c r="AG487" s="367"/>
      <c r="AH487" s="367"/>
      <c r="AI487" s="367"/>
      <c r="AJ487" s="367"/>
      <c r="AK487" s="367"/>
      <c r="AL487" s="367"/>
      <c r="AM487" s="367"/>
      <c r="AN487" s="367"/>
      <c r="AO487" s="367"/>
      <c r="AP487" s="367"/>
      <c r="AQ487" s="367"/>
      <c r="AR487" s="367"/>
      <c r="AS487" s="367"/>
      <c r="AT487" s="368"/>
      <c r="AU487" s="367"/>
    </row>
    <row r="488" spans="1:47" ht="12.75">
      <c r="A488" s="367"/>
      <c r="B488" s="367"/>
      <c r="C488" s="367"/>
      <c r="D488" s="367"/>
      <c r="E488" s="367"/>
      <c r="F488" s="367"/>
      <c r="G488" s="367"/>
      <c r="H488" s="367"/>
      <c r="I488" s="367"/>
      <c r="J488" s="367"/>
      <c r="K488" s="367"/>
      <c r="L488" s="367"/>
      <c r="M488" s="367"/>
      <c r="N488" s="367"/>
      <c r="O488" s="367"/>
      <c r="P488" s="364"/>
      <c r="Q488" s="365"/>
      <c r="R488" s="365"/>
      <c r="S488" s="365"/>
      <c r="T488" s="365"/>
      <c r="U488" s="366"/>
      <c r="V488" s="367"/>
      <c r="W488" s="367"/>
      <c r="X488" s="367"/>
      <c r="Y488" s="367"/>
      <c r="Z488" s="367"/>
      <c r="AA488" s="367"/>
      <c r="AB488" s="367"/>
      <c r="AC488" s="367"/>
      <c r="AD488" s="367"/>
      <c r="AE488" s="367"/>
      <c r="AF488" s="367"/>
      <c r="AG488" s="367"/>
      <c r="AH488" s="367"/>
      <c r="AI488" s="367"/>
      <c r="AJ488" s="367"/>
      <c r="AK488" s="367"/>
      <c r="AL488" s="367"/>
      <c r="AM488" s="367"/>
      <c r="AN488" s="367"/>
      <c r="AO488" s="367"/>
      <c r="AP488" s="367"/>
      <c r="AQ488" s="367"/>
      <c r="AR488" s="367"/>
      <c r="AS488" s="367"/>
      <c r="AT488" s="368"/>
      <c r="AU488" s="367"/>
    </row>
    <row r="489" spans="1:47" ht="12.75">
      <c r="A489" s="367"/>
      <c r="B489" s="367"/>
      <c r="C489" s="367"/>
      <c r="D489" s="367"/>
      <c r="E489" s="367"/>
      <c r="F489" s="367"/>
      <c r="G489" s="367"/>
      <c r="H489" s="367"/>
      <c r="I489" s="367"/>
      <c r="J489" s="367"/>
      <c r="K489" s="367"/>
      <c r="L489" s="367"/>
      <c r="M489" s="367"/>
      <c r="N489" s="367"/>
      <c r="O489" s="367"/>
      <c r="P489" s="364"/>
      <c r="Q489" s="365"/>
      <c r="R489" s="365"/>
      <c r="S489" s="365"/>
      <c r="T489" s="365"/>
      <c r="U489" s="366"/>
      <c r="V489" s="367"/>
      <c r="W489" s="367"/>
      <c r="X489" s="367"/>
      <c r="Y489" s="367"/>
      <c r="Z489" s="367"/>
      <c r="AA489" s="367"/>
      <c r="AB489" s="367"/>
      <c r="AC489" s="367"/>
      <c r="AD489" s="367"/>
      <c r="AE489" s="367"/>
      <c r="AF489" s="367"/>
      <c r="AG489" s="367"/>
      <c r="AH489" s="367"/>
      <c r="AI489" s="367"/>
      <c r="AJ489" s="367"/>
      <c r="AK489" s="367"/>
      <c r="AL489" s="367"/>
      <c r="AM489" s="367"/>
      <c r="AN489" s="367"/>
      <c r="AO489" s="367"/>
      <c r="AP489" s="367"/>
      <c r="AQ489" s="367"/>
      <c r="AR489" s="367"/>
      <c r="AS489" s="367"/>
      <c r="AT489" s="368"/>
      <c r="AU489" s="367"/>
    </row>
    <row r="490" spans="1:47" ht="12.75">
      <c r="A490" s="367"/>
      <c r="B490" s="367"/>
      <c r="C490" s="367"/>
      <c r="D490" s="367"/>
      <c r="E490" s="367"/>
      <c r="F490" s="367"/>
      <c r="G490" s="367"/>
      <c r="H490" s="367"/>
      <c r="I490" s="367"/>
      <c r="J490" s="367"/>
      <c r="K490" s="367"/>
      <c r="L490" s="367"/>
      <c r="M490" s="367"/>
      <c r="N490" s="367"/>
      <c r="O490" s="367"/>
      <c r="P490" s="364"/>
      <c r="Q490" s="365"/>
      <c r="R490" s="365"/>
      <c r="S490" s="365"/>
      <c r="T490" s="365"/>
      <c r="U490" s="366"/>
      <c r="V490" s="367"/>
      <c r="W490" s="367"/>
      <c r="X490" s="367"/>
      <c r="Y490" s="367"/>
      <c r="Z490" s="367"/>
      <c r="AA490" s="367"/>
      <c r="AB490" s="367"/>
      <c r="AC490" s="367"/>
      <c r="AD490" s="367"/>
      <c r="AE490" s="367"/>
      <c r="AF490" s="367"/>
      <c r="AG490" s="367"/>
      <c r="AH490" s="367"/>
      <c r="AI490" s="367"/>
      <c r="AJ490" s="367"/>
      <c r="AK490" s="367"/>
      <c r="AL490" s="367"/>
      <c r="AM490" s="367"/>
      <c r="AN490" s="367"/>
      <c r="AO490" s="367"/>
      <c r="AP490" s="367"/>
      <c r="AQ490" s="367"/>
      <c r="AR490" s="367"/>
      <c r="AS490" s="367"/>
      <c r="AT490" s="368"/>
      <c r="AU490" s="367"/>
    </row>
    <row r="491" spans="1:47" ht="12.75">
      <c r="A491" s="367"/>
      <c r="B491" s="367"/>
      <c r="C491" s="367"/>
      <c r="D491" s="367"/>
      <c r="E491" s="367"/>
      <c r="F491" s="367"/>
      <c r="G491" s="367"/>
      <c r="H491" s="367"/>
      <c r="I491" s="367"/>
      <c r="J491" s="367"/>
      <c r="K491" s="367"/>
      <c r="L491" s="367"/>
      <c r="M491" s="367"/>
      <c r="N491" s="367"/>
      <c r="O491" s="367"/>
      <c r="P491" s="364"/>
      <c r="Q491" s="365"/>
      <c r="R491" s="365"/>
      <c r="S491" s="365"/>
      <c r="T491" s="365"/>
      <c r="U491" s="366"/>
      <c r="V491" s="367"/>
      <c r="W491" s="367"/>
      <c r="X491" s="367"/>
      <c r="Y491" s="367"/>
      <c r="Z491" s="367"/>
      <c r="AA491" s="367"/>
      <c r="AB491" s="367"/>
      <c r="AC491" s="367"/>
      <c r="AD491" s="367"/>
      <c r="AE491" s="367"/>
      <c r="AF491" s="367"/>
      <c r="AG491" s="367"/>
      <c r="AH491" s="367"/>
      <c r="AI491" s="367"/>
      <c r="AJ491" s="367"/>
      <c r="AK491" s="367"/>
      <c r="AL491" s="367"/>
      <c r="AM491" s="367"/>
      <c r="AN491" s="367"/>
      <c r="AO491" s="367"/>
      <c r="AP491" s="367"/>
      <c r="AQ491" s="367"/>
      <c r="AR491" s="367"/>
      <c r="AS491" s="367"/>
      <c r="AT491" s="368"/>
      <c r="AU491" s="367"/>
    </row>
    <row r="492" spans="1:47" ht="12.75">
      <c r="A492" s="367"/>
      <c r="B492" s="367"/>
      <c r="C492" s="367"/>
      <c r="D492" s="367"/>
      <c r="E492" s="367"/>
      <c r="F492" s="367"/>
      <c r="G492" s="367"/>
      <c r="H492" s="367"/>
      <c r="I492" s="367"/>
      <c r="J492" s="367"/>
      <c r="K492" s="367"/>
      <c r="L492" s="367"/>
      <c r="M492" s="367"/>
      <c r="N492" s="367"/>
      <c r="O492" s="367"/>
      <c r="P492" s="364"/>
      <c r="Q492" s="365"/>
      <c r="R492" s="365"/>
      <c r="S492" s="365"/>
      <c r="T492" s="365"/>
      <c r="U492" s="366"/>
      <c r="V492" s="367"/>
      <c r="W492" s="367"/>
      <c r="X492" s="367"/>
      <c r="Y492" s="367"/>
      <c r="Z492" s="367"/>
      <c r="AA492" s="367"/>
      <c r="AB492" s="367"/>
      <c r="AC492" s="367"/>
      <c r="AD492" s="367"/>
      <c r="AE492" s="367"/>
      <c r="AF492" s="367"/>
      <c r="AG492" s="367"/>
      <c r="AH492" s="367"/>
      <c r="AI492" s="367"/>
      <c r="AJ492" s="367"/>
      <c r="AK492" s="367"/>
      <c r="AL492" s="367"/>
      <c r="AM492" s="367"/>
      <c r="AN492" s="367"/>
      <c r="AO492" s="367"/>
      <c r="AP492" s="367"/>
      <c r="AQ492" s="367"/>
      <c r="AR492" s="367"/>
      <c r="AS492" s="367"/>
      <c r="AT492" s="368"/>
      <c r="AU492" s="367"/>
    </row>
    <row r="493" spans="1:47" ht="12.75">
      <c r="A493" s="367"/>
      <c r="B493" s="367"/>
      <c r="C493" s="367"/>
      <c r="D493" s="367"/>
      <c r="E493" s="367"/>
      <c r="F493" s="367"/>
      <c r="G493" s="367"/>
      <c r="H493" s="367"/>
      <c r="I493" s="367"/>
      <c r="J493" s="367"/>
      <c r="K493" s="367"/>
      <c r="L493" s="367"/>
      <c r="M493" s="367"/>
      <c r="N493" s="367"/>
      <c r="O493" s="367"/>
      <c r="P493" s="364"/>
      <c r="Q493" s="365"/>
      <c r="R493" s="365"/>
      <c r="S493" s="365"/>
      <c r="T493" s="365"/>
      <c r="U493" s="366"/>
      <c r="V493" s="367"/>
      <c r="W493" s="367"/>
      <c r="X493" s="367"/>
      <c r="Y493" s="367"/>
      <c r="Z493" s="367"/>
      <c r="AA493" s="367"/>
      <c r="AB493" s="367"/>
      <c r="AC493" s="367"/>
      <c r="AD493" s="367"/>
      <c r="AE493" s="367"/>
      <c r="AF493" s="367"/>
      <c r="AG493" s="367"/>
      <c r="AH493" s="367"/>
      <c r="AI493" s="367"/>
      <c r="AJ493" s="367"/>
      <c r="AK493" s="367"/>
      <c r="AL493" s="367"/>
      <c r="AM493" s="367"/>
      <c r="AN493" s="367"/>
      <c r="AO493" s="367"/>
      <c r="AP493" s="367"/>
      <c r="AQ493" s="367"/>
      <c r="AR493" s="367"/>
      <c r="AS493" s="367"/>
      <c r="AT493" s="368"/>
      <c r="AU493" s="367"/>
    </row>
    <row r="494" spans="1:47" ht="12.75">
      <c r="A494" s="367"/>
      <c r="B494" s="367"/>
      <c r="C494" s="367"/>
      <c r="D494" s="367"/>
      <c r="E494" s="367"/>
      <c r="F494" s="367"/>
      <c r="G494" s="367"/>
      <c r="H494" s="367"/>
      <c r="I494" s="367"/>
      <c r="J494" s="367"/>
      <c r="K494" s="367"/>
      <c r="L494" s="367"/>
      <c r="M494" s="367"/>
      <c r="N494" s="367"/>
      <c r="O494" s="367"/>
      <c r="P494" s="364"/>
      <c r="Q494" s="365"/>
      <c r="R494" s="365"/>
      <c r="S494" s="365"/>
      <c r="T494" s="365"/>
      <c r="U494" s="366"/>
      <c r="V494" s="367"/>
      <c r="W494" s="367"/>
      <c r="X494" s="367"/>
      <c r="Y494" s="367"/>
      <c r="Z494" s="367"/>
      <c r="AA494" s="367"/>
      <c r="AB494" s="367"/>
      <c r="AC494" s="367"/>
      <c r="AD494" s="367"/>
      <c r="AE494" s="367"/>
      <c r="AF494" s="367"/>
      <c r="AG494" s="367"/>
      <c r="AH494" s="367"/>
      <c r="AI494" s="367"/>
      <c r="AJ494" s="367"/>
      <c r="AK494" s="367"/>
      <c r="AL494" s="367"/>
      <c r="AM494" s="367"/>
      <c r="AN494" s="367"/>
      <c r="AO494" s="367"/>
      <c r="AP494" s="367"/>
      <c r="AQ494" s="367"/>
      <c r="AR494" s="367"/>
      <c r="AS494" s="367"/>
      <c r="AT494" s="368"/>
      <c r="AU494" s="367"/>
    </row>
    <row r="495" spans="1:47" ht="12.75">
      <c r="A495" s="367"/>
      <c r="B495" s="367"/>
      <c r="C495" s="367"/>
      <c r="D495" s="367"/>
      <c r="E495" s="367"/>
      <c r="F495" s="367"/>
      <c r="G495" s="367"/>
      <c r="H495" s="367"/>
      <c r="I495" s="367"/>
      <c r="J495" s="367"/>
      <c r="K495" s="367"/>
      <c r="L495" s="367"/>
      <c r="M495" s="367"/>
      <c r="N495" s="367"/>
      <c r="O495" s="367"/>
      <c r="P495" s="364"/>
      <c r="Q495" s="365"/>
      <c r="R495" s="365"/>
      <c r="S495" s="365"/>
      <c r="T495" s="365"/>
      <c r="U495" s="366"/>
      <c r="V495" s="367"/>
      <c r="W495" s="367"/>
      <c r="X495" s="367"/>
      <c r="Y495" s="367"/>
      <c r="Z495" s="367"/>
      <c r="AA495" s="367"/>
      <c r="AB495" s="367"/>
      <c r="AC495" s="367"/>
      <c r="AD495" s="367"/>
      <c r="AE495" s="367"/>
      <c r="AF495" s="367"/>
      <c r="AG495" s="367"/>
      <c r="AH495" s="367"/>
      <c r="AI495" s="367"/>
      <c r="AJ495" s="367"/>
      <c r="AK495" s="367"/>
      <c r="AL495" s="367"/>
      <c r="AM495" s="367"/>
      <c r="AN495" s="367"/>
      <c r="AO495" s="367"/>
      <c r="AP495" s="367"/>
      <c r="AQ495" s="367"/>
      <c r="AR495" s="367"/>
      <c r="AS495" s="367"/>
      <c r="AT495" s="368"/>
      <c r="AU495" s="367"/>
    </row>
    <row r="496" spans="1:47" ht="12.75">
      <c r="A496" s="367"/>
      <c r="B496" s="367"/>
      <c r="C496" s="367"/>
      <c r="D496" s="367"/>
      <c r="E496" s="367"/>
      <c r="F496" s="367"/>
      <c r="G496" s="367"/>
      <c r="H496" s="367"/>
      <c r="I496" s="367"/>
      <c r="J496" s="367"/>
      <c r="K496" s="367"/>
      <c r="L496" s="367"/>
      <c r="M496" s="367"/>
      <c r="N496" s="367"/>
      <c r="O496" s="367"/>
      <c r="P496" s="364"/>
      <c r="Q496" s="365"/>
      <c r="R496" s="365"/>
      <c r="S496" s="365"/>
      <c r="T496" s="365"/>
      <c r="U496" s="366"/>
      <c r="V496" s="367"/>
      <c r="W496" s="367"/>
      <c r="X496" s="367"/>
      <c r="Y496" s="367"/>
      <c r="Z496" s="367"/>
      <c r="AA496" s="367"/>
      <c r="AB496" s="367"/>
      <c r="AC496" s="367"/>
      <c r="AD496" s="367"/>
      <c r="AE496" s="367"/>
      <c r="AF496" s="367"/>
      <c r="AG496" s="367"/>
      <c r="AH496" s="367"/>
      <c r="AI496" s="367"/>
      <c r="AJ496" s="367"/>
      <c r="AK496" s="367"/>
      <c r="AL496" s="367"/>
      <c r="AM496" s="367"/>
      <c r="AN496" s="367"/>
      <c r="AO496" s="367"/>
      <c r="AP496" s="367"/>
      <c r="AQ496" s="367"/>
      <c r="AR496" s="367"/>
      <c r="AS496" s="367"/>
      <c r="AT496" s="368"/>
      <c r="AU496" s="367"/>
    </row>
    <row r="497" spans="1:47" ht="12.75">
      <c r="A497" s="367"/>
      <c r="B497" s="367"/>
      <c r="C497" s="367"/>
      <c r="D497" s="367"/>
      <c r="E497" s="367"/>
      <c r="F497" s="367"/>
      <c r="G497" s="367"/>
      <c r="H497" s="367"/>
      <c r="I497" s="367"/>
      <c r="J497" s="367"/>
      <c r="K497" s="367"/>
      <c r="L497" s="367"/>
      <c r="M497" s="367"/>
      <c r="N497" s="367"/>
      <c r="O497" s="367"/>
      <c r="P497" s="364"/>
      <c r="Q497" s="365"/>
      <c r="R497" s="365"/>
      <c r="S497" s="365"/>
      <c r="T497" s="365"/>
      <c r="U497" s="366"/>
      <c r="V497" s="367"/>
      <c r="W497" s="367"/>
      <c r="X497" s="367"/>
      <c r="Y497" s="367"/>
      <c r="Z497" s="367"/>
      <c r="AA497" s="367"/>
      <c r="AB497" s="367"/>
      <c r="AC497" s="367"/>
      <c r="AD497" s="367"/>
      <c r="AE497" s="367"/>
      <c r="AF497" s="367"/>
      <c r="AG497" s="367"/>
      <c r="AH497" s="367"/>
      <c r="AI497" s="367"/>
      <c r="AJ497" s="367"/>
      <c r="AK497" s="367"/>
      <c r="AL497" s="367"/>
      <c r="AM497" s="367"/>
      <c r="AN497" s="367"/>
      <c r="AO497" s="367"/>
      <c r="AP497" s="367"/>
      <c r="AQ497" s="367"/>
      <c r="AR497" s="367"/>
      <c r="AS497" s="367"/>
      <c r="AT497" s="368"/>
      <c r="AU497" s="367"/>
    </row>
    <row r="498" spans="1:47" ht="12.75">
      <c r="A498" s="367"/>
      <c r="B498" s="367"/>
      <c r="C498" s="367"/>
      <c r="D498" s="367"/>
      <c r="E498" s="367"/>
      <c r="F498" s="367"/>
      <c r="G498" s="367"/>
      <c r="H498" s="367"/>
      <c r="I498" s="367"/>
      <c r="J498" s="367"/>
      <c r="K498" s="367"/>
      <c r="L498" s="367"/>
      <c r="M498" s="367"/>
      <c r="N498" s="367"/>
      <c r="O498" s="367"/>
      <c r="P498" s="364"/>
      <c r="Q498" s="365"/>
      <c r="R498" s="365"/>
      <c r="S498" s="365"/>
      <c r="T498" s="365"/>
      <c r="U498" s="366"/>
      <c r="V498" s="367"/>
      <c r="W498" s="367"/>
      <c r="X498" s="367"/>
      <c r="Y498" s="367"/>
      <c r="Z498" s="367"/>
      <c r="AA498" s="367"/>
      <c r="AB498" s="367"/>
      <c r="AC498" s="367"/>
      <c r="AD498" s="367"/>
      <c r="AE498" s="367"/>
      <c r="AF498" s="367"/>
      <c r="AG498" s="367"/>
      <c r="AH498" s="367"/>
      <c r="AI498" s="367"/>
      <c r="AJ498" s="367"/>
      <c r="AK498" s="367"/>
      <c r="AL498" s="367"/>
      <c r="AM498" s="367"/>
      <c r="AN498" s="367"/>
      <c r="AO498" s="367"/>
      <c r="AP498" s="367"/>
      <c r="AQ498" s="367"/>
      <c r="AR498" s="367"/>
      <c r="AS498" s="367"/>
      <c r="AT498" s="368"/>
      <c r="AU498" s="367"/>
    </row>
    <row r="499" spans="1:47" ht="12.75">
      <c r="A499" s="367"/>
      <c r="B499" s="367"/>
      <c r="C499" s="367"/>
      <c r="D499" s="367"/>
      <c r="E499" s="367"/>
      <c r="F499" s="367"/>
      <c r="G499" s="367"/>
      <c r="H499" s="367"/>
      <c r="I499" s="367"/>
      <c r="J499" s="367"/>
      <c r="K499" s="367"/>
      <c r="L499" s="367"/>
      <c r="M499" s="367"/>
      <c r="N499" s="367"/>
      <c r="O499" s="367"/>
      <c r="P499" s="364"/>
      <c r="Q499" s="365"/>
      <c r="R499" s="365"/>
      <c r="S499" s="365"/>
      <c r="T499" s="365"/>
      <c r="U499" s="366"/>
      <c r="V499" s="367"/>
      <c r="W499" s="367"/>
      <c r="X499" s="367"/>
      <c r="Y499" s="367"/>
      <c r="Z499" s="367"/>
      <c r="AA499" s="367"/>
      <c r="AB499" s="367"/>
      <c r="AC499" s="367"/>
      <c r="AD499" s="367"/>
      <c r="AE499" s="367"/>
      <c r="AF499" s="367"/>
      <c r="AG499" s="367"/>
      <c r="AH499" s="367"/>
      <c r="AI499" s="367"/>
      <c r="AJ499" s="367"/>
      <c r="AK499" s="367"/>
      <c r="AL499" s="367"/>
      <c r="AM499" s="367"/>
      <c r="AN499" s="367"/>
      <c r="AO499" s="367"/>
      <c r="AP499" s="367"/>
      <c r="AQ499" s="367"/>
      <c r="AR499" s="367"/>
      <c r="AS499" s="367"/>
      <c r="AT499" s="368"/>
      <c r="AU499" s="367"/>
    </row>
    <row r="500" spans="1:47" ht="12.75">
      <c r="A500" s="367"/>
      <c r="B500" s="367"/>
      <c r="C500" s="367"/>
      <c r="D500" s="367"/>
      <c r="E500" s="367"/>
      <c r="F500" s="367"/>
      <c r="G500" s="367"/>
      <c r="H500" s="367"/>
      <c r="I500" s="367"/>
      <c r="J500" s="367"/>
      <c r="K500" s="367"/>
      <c r="L500" s="367"/>
      <c r="M500" s="367"/>
      <c r="N500" s="367"/>
      <c r="O500" s="367"/>
      <c r="P500" s="364"/>
      <c r="Q500" s="365"/>
      <c r="R500" s="365"/>
      <c r="S500" s="365"/>
      <c r="T500" s="365"/>
      <c r="U500" s="366"/>
      <c r="V500" s="367"/>
      <c r="W500" s="367"/>
      <c r="X500" s="367"/>
      <c r="Y500" s="367"/>
      <c r="Z500" s="367"/>
      <c r="AA500" s="367"/>
      <c r="AB500" s="367"/>
      <c r="AC500" s="367"/>
      <c r="AD500" s="367"/>
      <c r="AE500" s="367"/>
      <c r="AF500" s="367"/>
      <c r="AG500" s="367"/>
      <c r="AH500" s="367"/>
      <c r="AI500" s="367"/>
      <c r="AJ500" s="367"/>
      <c r="AK500" s="367"/>
      <c r="AL500" s="367"/>
      <c r="AM500" s="367"/>
      <c r="AN500" s="367"/>
      <c r="AO500" s="367"/>
      <c r="AP500" s="367"/>
      <c r="AQ500" s="367"/>
      <c r="AR500" s="367"/>
      <c r="AS500" s="367"/>
      <c r="AT500" s="368"/>
      <c r="AU500" s="367"/>
    </row>
    <row r="501" spans="1:47" ht="12.75">
      <c r="A501" s="367"/>
      <c r="B501" s="367"/>
      <c r="C501" s="367"/>
      <c r="D501" s="367"/>
      <c r="E501" s="367"/>
      <c r="F501" s="367"/>
      <c r="G501" s="367"/>
      <c r="H501" s="367"/>
      <c r="I501" s="367"/>
      <c r="J501" s="367"/>
      <c r="K501" s="367"/>
      <c r="L501" s="367"/>
      <c r="M501" s="367"/>
      <c r="N501" s="367"/>
      <c r="O501" s="367"/>
      <c r="P501" s="364"/>
      <c r="Q501" s="365"/>
      <c r="R501" s="365"/>
      <c r="S501" s="365"/>
      <c r="T501" s="365"/>
      <c r="U501" s="366"/>
      <c r="V501" s="367"/>
      <c r="W501" s="367"/>
      <c r="X501" s="367"/>
      <c r="Y501" s="367"/>
      <c r="Z501" s="367"/>
      <c r="AA501" s="367"/>
      <c r="AB501" s="367"/>
      <c r="AC501" s="367"/>
      <c r="AD501" s="367"/>
      <c r="AE501" s="367"/>
      <c r="AF501" s="367"/>
      <c r="AG501" s="367"/>
      <c r="AH501" s="367"/>
      <c r="AI501" s="367"/>
      <c r="AJ501" s="367"/>
      <c r="AK501" s="367"/>
      <c r="AL501" s="367"/>
      <c r="AM501" s="367"/>
      <c r="AN501" s="367"/>
      <c r="AO501" s="367"/>
      <c r="AP501" s="367"/>
      <c r="AQ501" s="367"/>
      <c r="AR501" s="367"/>
      <c r="AS501" s="367"/>
      <c r="AT501" s="368"/>
      <c r="AU501" s="367"/>
    </row>
    <row r="502" spans="1:47" ht="12.75">
      <c r="A502" s="367"/>
      <c r="B502" s="367"/>
      <c r="C502" s="367"/>
      <c r="D502" s="367"/>
      <c r="E502" s="367"/>
      <c r="F502" s="367"/>
      <c r="G502" s="367"/>
      <c r="H502" s="367"/>
      <c r="I502" s="367"/>
      <c r="J502" s="367"/>
      <c r="K502" s="367"/>
      <c r="L502" s="367"/>
      <c r="M502" s="367"/>
      <c r="N502" s="367"/>
      <c r="O502" s="367"/>
      <c r="P502" s="364"/>
      <c r="Q502" s="365"/>
      <c r="R502" s="365"/>
      <c r="S502" s="365"/>
      <c r="T502" s="365"/>
      <c r="U502" s="366"/>
      <c r="V502" s="367"/>
      <c r="W502" s="367"/>
      <c r="X502" s="367"/>
      <c r="Y502" s="367"/>
      <c r="Z502" s="367"/>
      <c r="AA502" s="367"/>
      <c r="AB502" s="367"/>
      <c r="AC502" s="367"/>
      <c r="AD502" s="367"/>
      <c r="AE502" s="367"/>
      <c r="AF502" s="367"/>
      <c r="AG502" s="367"/>
      <c r="AH502" s="367"/>
      <c r="AI502" s="367"/>
      <c r="AJ502" s="367"/>
      <c r="AK502" s="367"/>
      <c r="AL502" s="367"/>
      <c r="AM502" s="367"/>
      <c r="AN502" s="367"/>
      <c r="AO502" s="367"/>
      <c r="AP502" s="367"/>
      <c r="AQ502" s="367"/>
      <c r="AR502" s="367"/>
      <c r="AS502" s="367"/>
      <c r="AT502" s="368"/>
      <c r="AU502" s="367"/>
    </row>
    <row r="503" spans="1:47" ht="12.75">
      <c r="A503" s="367"/>
      <c r="B503" s="367"/>
      <c r="C503" s="367"/>
      <c r="D503" s="367"/>
      <c r="E503" s="367"/>
      <c r="F503" s="367"/>
      <c r="G503" s="367"/>
      <c r="H503" s="367"/>
      <c r="I503" s="367"/>
      <c r="J503" s="367"/>
      <c r="K503" s="367"/>
      <c r="L503" s="367"/>
      <c r="M503" s="367"/>
      <c r="N503" s="367"/>
      <c r="O503" s="367"/>
      <c r="P503" s="364"/>
      <c r="Q503" s="365"/>
      <c r="R503" s="365"/>
      <c r="S503" s="365"/>
      <c r="T503" s="365"/>
      <c r="U503" s="366"/>
      <c r="V503" s="367"/>
      <c r="W503" s="367"/>
      <c r="X503" s="367"/>
      <c r="Y503" s="367"/>
      <c r="Z503" s="367"/>
      <c r="AA503" s="367"/>
      <c r="AB503" s="367"/>
      <c r="AC503" s="367"/>
      <c r="AD503" s="367"/>
      <c r="AE503" s="367"/>
      <c r="AF503" s="367"/>
      <c r="AG503" s="367"/>
      <c r="AH503" s="367"/>
      <c r="AI503" s="367"/>
      <c r="AJ503" s="367"/>
      <c r="AK503" s="367"/>
      <c r="AL503" s="367"/>
      <c r="AM503" s="367"/>
      <c r="AN503" s="367"/>
      <c r="AO503" s="367"/>
      <c r="AP503" s="367"/>
      <c r="AQ503" s="367"/>
      <c r="AR503" s="367"/>
      <c r="AS503" s="367"/>
      <c r="AT503" s="368"/>
      <c r="AU503" s="367"/>
    </row>
    <row r="504" spans="1:47" ht="12.75">
      <c r="A504" s="367"/>
      <c r="B504" s="367"/>
      <c r="C504" s="367"/>
      <c r="D504" s="367"/>
      <c r="E504" s="367"/>
      <c r="F504" s="367"/>
      <c r="G504" s="367"/>
      <c r="H504" s="367"/>
      <c r="I504" s="367"/>
      <c r="J504" s="367"/>
      <c r="K504" s="367"/>
      <c r="L504" s="367"/>
      <c r="M504" s="367"/>
      <c r="N504" s="367"/>
      <c r="O504" s="367"/>
      <c r="P504" s="364"/>
      <c r="Q504" s="365"/>
      <c r="R504" s="365"/>
      <c r="S504" s="365"/>
      <c r="T504" s="365"/>
      <c r="U504" s="366"/>
      <c r="V504" s="367"/>
      <c r="W504" s="367"/>
      <c r="X504" s="367"/>
      <c r="Y504" s="367"/>
      <c r="Z504" s="367"/>
      <c r="AA504" s="367"/>
      <c r="AB504" s="367"/>
      <c r="AC504" s="367"/>
      <c r="AD504" s="367"/>
      <c r="AE504" s="367"/>
      <c r="AF504" s="367"/>
      <c r="AG504" s="367"/>
      <c r="AH504" s="367"/>
      <c r="AI504" s="367"/>
      <c r="AJ504" s="367"/>
      <c r="AK504" s="367"/>
      <c r="AL504" s="367"/>
      <c r="AM504" s="367"/>
      <c r="AN504" s="367"/>
      <c r="AO504" s="367"/>
      <c r="AP504" s="367"/>
      <c r="AQ504" s="367"/>
      <c r="AR504" s="367"/>
      <c r="AS504" s="367"/>
      <c r="AT504" s="368"/>
      <c r="AU504" s="367"/>
    </row>
    <row r="505" spans="1:47" ht="12.75">
      <c r="A505" s="367"/>
      <c r="B505" s="367"/>
      <c r="C505" s="367"/>
      <c r="D505" s="367"/>
      <c r="E505" s="367"/>
      <c r="F505" s="367"/>
      <c r="G505" s="367"/>
      <c r="H505" s="367"/>
      <c r="I505" s="367"/>
      <c r="J505" s="367"/>
      <c r="K505" s="367"/>
      <c r="L505" s="367"/>
      <c r="M505" s="367"/>
      <c r="N505" s="367"/>
      <c r="O505" s="367"/>
      <c r="P505" s="364"/>
      <c r="Q505" s="365"/>
      <c r="R505" s="365"/>
      <c r="S505" s="365"/>
      <c r="T505" s="365"/>
      <c r="U505" s="366"/>
      <c r="V505" s="367"/>
      <c r="W505" s="367"/>
      <c r="X505" s="367"/>
      <c r="Y505" s="367"/>
      <c r="Z505" s="367"/>
      <c r="AA505" s="367"/>
      <c r="AB505" s="367"/>
      <c r="AC505" s="367"/>
      <c r="AD505" s="367"/>
      <c r="AE505" s="367"/>
      <c r="AF505" s="367"/>
      <c r="AG505" s="367"/>
      <c r="AH505" s="367"/>
      <c r="AI505" s="367"/>
      <c r="AJ505" s="367"/>
      <c r="AK505" s="367"/>
      <c r="AL505" s="367"/>
      <c r="AM505" s="367"/>
      <c r="AN505" s="367"/>
      <c r="AO505" s="367"/>
      <c r="AP505" s="367"/>
      <c r="AQ505" s="367"/>
      <c r="AR505" s="367"/>
      <c r="AS505" s="367"/>
      <c r="AT505" s="368"/>
      <c r="AU505" s="367"/>
    </row>
    <row r="506" spans="1:47" ht="12.75">
      <c r="A506" s="367"/>
      <c r="B506" s="367"/>
      <c r="C506" s="367"/>
      <c r="D506" s="367"/>
      <c r="E506" s="367"/>
      <c r="F506" s="367"/>
      <c r="G506" s="367"/>
      <c r="H506" s="367"/>
      <c r="I506" s="367"/>
      <c r="J506" s="367"/>
      <c r="K506" s="367"/>
      <c r="L506" s="367"/>
      <c r="M506" s="367"/>
      <c r="N506" s="367"/>
      <c r="O506" s="367"/>
      <c r="P506" s="364"/>
      <c r="Q506" s="365"/>
      <c r="R506" s="365"/>
      <c r="S506" s="365"/>
      <c r="T506" s="365"/>
      <c r="U506" s="366"/>
      <c r="V506" s="367"/>
      <c r="W506" s="367"/>
      <c r="X506" s="367"/>
      <c r="Y506" s="367"/>
      <c r="Z506" s="367"/>
      <c r="AA506" s="367"/>
      <c r="AB506" s="367"/>
      <c r="AC506" s="367"/>
      <c r="AD506" s="367"/>
      <c r="AE506" s="367"/>
      <c r="AF506" s="367"/>
      <c r="AG506" s="367"/>
      <c r="AH506" s="367"/>
      <c r="AI506" s="367"/>
      <c r="AJ506" s="367"/>
      <c r="AK506" s="367"/>
      <c r="AL506" s="367"/>
      <c r="AM506" s="367"/>
      <c r="AN506" s="367"/>
      <c r="AO506" s="367"/>
      <c r="AP506" s="367"/>
      <c r="AQ506" s="367"/>
      <c r="AR506" s="367"/>
      <c r="AS506" s="367"/>
      <c r="AT506" s="368"/>
      <c r="AU506" s="367"/>
    </row>
    <row r="507" spans="1:47" ht="12.75">
      <c r="A507" s="367"/>
      <c r="B507" s="367"/>
      <c r="C507" s="367"/>
      <c r="D507" s="367"/>
      <c r="E507" s="367"/>
      <c r="F507" s="367"/>
      <c r="G507" s="367"/>
      <c r="H507" s="367"/>
      <c r="I507" s="367"/>
      <c r="J507" s="367"/>
      <c r="K507" s="367"/>
      <c r="L507" s="367"/>
      <c r="M507" s="367"/>
      <c r="N507" s="367"/>
      <c r="O507" s="367"/>
      <c r="P507" s="364"/>
      <c r="Q507" s="365"/>
      <c r="R507" s="365"/>
      <c r="S507" s="365"/>
      <c r="T507" s="365"/>
      <c r="U507" s="366"/>
      <c r="V507" s="367"/>
      <c r="W507" s="367"/>
      <c r="X507" s="367"/>
      <c r="Y507" s="367"/>
      <c r="Z507" s="367"/>
      <c r="AA507" s="367"/>
      <c r="AB507" s="367"/>
      <c r="AC507" s="367"/>
      <c r="AD507" s="367"/>
      <c r="AE507" s="367"/>
      <c r="AF507" s="367"/>
      <c r="AG507" s="367"/>
      <c r="AH507" s="367"/>
      <c r="AI507" s="367"/>
      <c r="AJ507" s="367"/>
      <c r="AK507" s="367"/>
      <c r="AL507" s="367"/>
      <c r="AM507" s="367"/>
      <c r="AN507" s="367"/>
      <c r="AO507" s="367"/>
      <c r="AP507" s="367"/>
      <c r="AQ507" s="367"/>
      <c r="AR507" s="367"/>
      <c r="AS507" s="367"/>
      <c r="AT507" s="368"/>
      <c r="AU507" s="367"/>
    </row>
    <row r="508" spans="1:47" ht="12.75">
      <c r="A508" s="367"/>
      <c r="B508" s="367"/>
      <c r="C508" s="367"/>
      <c r="D508" s="367"/>
      <c r="E508" s="367"/>
      <c r="F508" s="367"/>
      <c r="G508" s="367"/>
      <c r="H508" s="367"/>
      <c r="I508" s="367"/>
      <c r="J508" s="367"/>
      <c r="K508" s="367"/>
      <c r="L508" s="367"/>
      <c r="M508" s="367"/>
      <c r="N508" s="367"/>
      <c r="O508" s="367"/>
      <c r="P508" s="364"/>
      <c r="Q508" s="365"/>
      <c r="R508" s="365"/>
      <c r="S508" s="365"/>
      <c r="T508" s="365"/>
      <c r="U508" s="366"/>
      <c r="V508" s="367"/>
      <c r="W508" s="367"/>
      <c r="X508" s="367"/>
      <c r="Y508" s="367"/>
      <c r="Z508" s="367"/>
      <c r="AA508" s="367"/>
      <c r="AB508" s="367"/>
      <c r="AC508" s="367"/>
      <c r="AD508" s="367"/>
      <c r="AE508" s="367"/>
      <c r="AF508" s="367"/>
      <c r="AG508" s="367"/>
      <c r="AH508" s="367"/>
      <c r="AI508" s="367"/>
      <c r="AJ508" s="367"/>
      <c r="AK508" s="367"/>
      <c r="AL508" s="367"/>
      <c r="AM508" s="367"/>
      <c r="AN508" s="367"/>
      <c r="AO508" s="367"/>
      <c r="AP508" s="367"/>
      <c r="AQ508" s="367"/>
      <c r="AR508" s="367"/>
      <c r="AS508" s="367"/>
      <c r="AT508" s="368"/>
      <c r="AU508" s="367"/>
    </row>
    <row r="509" spans="1:47" ht="12.75">
      <c r="A509" s="367"/>
      <c r="B509" s="367"/>
      <c r="C509" s="367"/>
      <c r="D509" s="367"/>
      <c r="E509" s="367"/>
      <c r="F509" s="367"/>
      <c r="G509" s="367"/>
      <c r="H509" s="367"/>
      <c r="I509" s="367"/>
      <c r="J509" s="367"/>
      <c r="K509" s="367"/>
      <c r="L509" s="367"/>
      <c r="M509" s="367"/>
      <c r="N509" s="367"/>
      <c r="O509" s="367"/>
      <c r="P509" s="364"/>
      <c r="Q509" s="365"/>
      <c r="R509" s="365"/>
      <c r="S509" s="365"/>
      <c r="T509" s="365"/>
      <c r="U509" s="366"/>
      <c r="V509" s="367"/>
      <c r="W509" s="367"/>
      <c r="X509" s="367"/>
      <c r="Y509" s="367"/>
      <c r="Z509" s="367"/>
      <c r="AA509" s="367"/>
      <c r="AB509" s="367"/>
      <c r="AC509" s="367"/>
      <c r="AD509" s="367"/>
      <c r="AE509" s="367"/>
      <c r="AF509" s="367"/>
      <c r="AG509" s="367"/>
      <c r="AH509" s="367"/>
      <c r="AI509" s="367"/>
      <c r="AJ509" s="367"/>
      <c r="AK509" s="367"/>
      <c r="AL509" s="367"/>
      <c r="AM509" s="367"/>
      <c r="AN509" s="367"/>
      <c r="AO509" s="367"/>
      <c r="AP509" s="367"/>
      <c r="AQ509" s="367"/>
      <c r="AR509" s="367"/>
      <c r="AS509" s="367"/>
      <c r="AT509" s="368"/>
      <c r="AU509" s="367"/>
    </row>
    <row r="510" spans="1:47" ht="12.75">
      <c r="A510" s="367"/>
      <c r="B510" s="367"/>
      <c r="C510" s="367"/>
      <c r="D510" s="367"/>
      <c r="E510" s="367"/>
      <c r="F510" s="367"/>
      <c r="G510" s="367"/>
      <c r="H510" s="367"/>
      <c r="I510" s="367"/>
      <c r="J510" s="367"/>
      <c r="K510" s="367"/>
      <c r="L510" s="367"/>
      <c r="M510" s="367"/>
      <c r="N510" s="367"/>
      <c r="O510" s="367"/>
      <c r="P510" s="364"/>
      <c r="Q510" s="365"/>
      <c r="R510" s="365"/>
      <c r="S510" s="365"/>
      <c r="T510" s="365"/>
      <c r="U510" s="366"/>
      <c r="V510" s="367"/>
      <c r="W510" s="367"/>
      <c r="X510" s="367"/>
      <c r="Y510" s="367"/>
      <c r="Z510" s="367"/>
      <c r="AA510" s="367"/>
      <c r="AB510" s="367"/>
      <c r="AC510" s="367"/>
      <c r="AD510" s="367"/>
      <c r="AE510" s="367"/>
      <c r="AF510" s="367"/>
      <c r="AG510" s="367"/>
      <c r="AH510" s="367"/>
      <c r="AI510" s="367"/>
      <c r="AJ510" s="367"/>
      <c r="AK510" s="367"/>
      <c r="AL510" s="367"/>
      <c r="AM510" s="367"/>
      <c r="AN510" s="367"/>
      <c r="AO510" s="367"/>
      <c r="AP510" s="367"/>
      <c r="AQ510" s="367"/>
      <c r="AR510" s="367"/>
      <c r="AS510" s="367"/>
      <c r="AT510" s="368"/>
      <c r="AU510" s="367"/>
    </row>
    <row r="511" spans="1:47" ht="12.75">
      <c r="A511" s="367"/>
      <c r="B511" s="367"/>
      <c r="C511" s="367"/>
      <c r="D511" s="367"/>
      <c r="E511" s="367"/>
      <c r="F511" s="367"/>
      <c r="G511" s="367"/>
      <c r="H511" s="367"/>
      <c r="I511" s="367"/>
      <c r="J511" s="367"/>
      <c r="K511" s="367"/>
      <c r="L511" s="367"/>
      <c r="M511" s="367"/>
      <c r="N511" s="367"/>
      <c r="O511" s="367"/>
      <c r="P511" s="364"/>
      <c r="Q511" s="365"/>
      <c r="R511" s="365"/>
      <c r="S511" s="365"/>
      <c r="T511" s="365"/>
      <c r="U511" s="366"/>
      <c r="V511" s="367"/>
      <c r="W511" s="367"/>
      <c r="X511" s="367"/>
      <c r="Y511" s="367"/>
      <c r="Z511" s="367"/>
      <c r="AA511" s="367"/>
      <c r="AB511" s="367"/>
      <c r="AC511" s="367"/>
      <c r="AD511" s="367"/>
      <c r="AE511" s="367"/>
      <c r="AF511" s="367"/>
      <c r="AG511" s="367"/>
      <c r="AH511" s="367"/>
      <c r="AI511" s="367"/>
      <c r="AJ511" s="367"/>
      <c r="AK511" s="367"/>
      <c r="AL511" s="367"/>
      <c r="AM511" s="367"/>
      <c r="AN511" s="367"/>
      <c r="AO511" s="367"/>
      <c r="AP511" s="367"/>
      <c r="AQ511" s="367"/>
      <c r="AR511" s="367"/>
      <c r="AS511" s="367"/>
      <c r="AT511" s="368"/>
      <c r="AU511" s="367"/>
    </row>
    <row r="512" spans="1:47" ht="12.75">
      <c r="A512" s="367"/>
      <c r="B512" s="367"/>
      <c r="C512" s="367"/>
      <c r="D512" s="367"/>
      <c r="E512" s="367"/>
      <c r="F512" s="367"/>
      <c r="G512" s="367"/>
      <c r="H512" s="367"/>
      <c r="I512" s="367"/>
      <c r="J512" s="367"/>
      <c r="K512" s="367"/>
      <c r="L512" s="367"/>
      <c r="M512" s="367"/>
      <c r="N512" s="367"/>
      <c r="O512" s="367"/>
      <c r="P512" s="364"/>
      <c r="Q512" s="365"/>
      <c r="R512" s="365"/>
      <c r="S512" s="365"/>
      <c r="T512" s="365"/>
      <c r="U512" s="366"/>
      <c r="V512" s="367"/>
      <c r="W512" s="367"/>
      <c r="X512" s="367"/>
      <c r="Y512" s="367"/>
      <c r="Z512" s="367"/>
      <c r="AA512" s="367"/>
      <c r="AB512" s="367"/>
      <c r="AC512" s="367"/>
      <c r="AD512" s="367"/>
      <c r="AE512" s="367"/>
      <c r="AF512" s="367"/>
      <c r="AG512" s="367"/>
      <c r="AH512" s="367"/>
      <c r="AI512" s="367"/>
      <c r="AJ512" s="367"/>
      <c r="AK512" s="367"/>
      <c r="AL512" s="367"/>
      <c r="AM512" s="367"/>
      <c r="AN512" s="367"/>
      <c r="AO512" s="367"/>
      <c r="AP512" s="367"/>
      <c r="AQ512" s="367"/>
      <c r="AR512" s="367"/>
      <c r="AS512" s="367"/>
      <c r="AT512" s="368"/>
      <c r="AU512" s="367"/>
    </row>
    <row r="513" spans="1:47" ht="12.75">
      <c r="A513" s="367"/>
      <c r="B513" s="367"/>
      <c r="C513" s="367"/>
      <c r="D513" s="367"/>
      <c r="E513" s="367"/>
      <c r="F513" s="367"/>
      <c r="G513" s="367"/>
      <c r="H513" s="367"/>
      <c r="I513" s="367"/>
      <c r="J513" s="367"/>
      <c r="K513" s="367"/>
      <c r="L513" s="367"/>
      <c r="M513" s="367"/>
      <c r="N513" s="367"/>
      <c r="O513" s="367"/>
      <c r="P513" s="364"/>
      <c r="Q513" s="365"/>
      <c r="R513" s="365"/>
      <c r="S513" s="365"/>
      <c r="T513" s="365"/>
      <c r="U513" s="366"/>
      <c r="V513" s="367"/>
      <c r="W513" s="367"/>
      <c r="X513" s="367"/>
      <c r="Y513" s="367"/>
      <c r="Z513" s="367"/>
      <c r="AA513" s="367"/>
      <c r="AB513" s="367"/>
      <c r="AC513" s="367"/>
      <c r="AD513" s="367"/>
      <c r="AE513" s="367"/>
      <c r="AF513" s="367"/>
      <c r="AG513" s="367"/>
      <c r="AH513" s="367"/>
      <c r="AI513" s="367"/>
      <c r="AJ513" s="367"/>
      <c r="AK513" s="367"/>
      <c r="AL513" s="367"/>
      <c r="AM513" s="367"/>
      <c r="AN513" s="367"/>
      <c r="AO513" s="367"/>
      <c r="AP513" s="367"/>
      <c r="AQ513" s="367"/>
      <c r="AR513" s="367"/>
      <c r="AS513" s="367"/>
      <c r="AT513" s="368"/>
      <c r="AU513" s="367"/>
    </row>
    <row r="514" spans="1:47" ht="12.75">
      <c r="A514" s="367"/>
      <c r="B514" s="367"/>
      <c r="C514" s="367"/>
      <c r="D514" s="367"/>
      <c r="E514" s="367"/>
      <c r="F514" s="367"/>
      <c r="G514" s="367"/>
      <c r="H514" s="367"/>
      <c r="I514" s="367"/>
      <c r="J514" s="367"/>
      <c r="K514" s="367"/>
      <c r="L514" s="367"/>
      <c r="M514" s="367"/>
      <c r="N514" s="367"/>
      <c r="O514" s="367"/>
      <c r="P514" s="364"/>
      <c r="Q514" s="365"/>
      <c r="R514" s="365"/>
      <c r="S514" s="365"/>
      <c r="T514" s="365"/>
      <c r="U514" s="366"/>
      <c r="V514" s="367"/>
      <c r="W514" s="367"/>
      <c r="X514" s="367"/>
      <c r="Y514" s="367"/>
      <c r="Z514" s="367"/>
      <c r="AA514" s="367"/>
      <c r="AB514" s="367"/>
      <c r="AC514" s="367"/>
      <c r="AD514" s="367"/>
      <c r="AE514" s="367"/>
      <c r="AF514" s="367"/>
      <c r="AG514" s="367"/>
      <c r="AH514" s="367"/>
      <c r="AI514" s="367"/>
      <c r="AJ514" s="367"/>
      <c r="AK514" s="367"/>
      <c r="AL514" s="367"/>
      <c r="AM514" s="367"/>
      <c r="AN514" s="367"/>
      <c r="AO514" s="367"/>
      <c r="AP514" s="367"/>
      <c r="AQ514" s="367"/>
      <c r="AR514" s="367"/>
      <c r="AS514" s="367"/>
      <c r="AT514" s="368"/>
      <c r="AU514" s="367"/>
    </row>
    <row r="515" spans="1:47" ht="12.75">
      <c r="A515" s="367"/>
      <c r="B515" s="367"/>
      <c r="C515" s="367"/>
      <c r="D515" s="367"/>
      <c r="E515" s="367"/>
      <c r="F515" s="367"/>
      <c r="G515" s="367"/>
      <c r="H515" s="367"/>
      <c r="I515" s="367"/>
      <c r="J515" s="367"/>
      <c r="K515" s="367"/>
      <c r="L515" s="367"/>
      <c r="M515" s="367"/>
      <c r="N515" s="367"/>
      <c r="O515" s="367"/>
      <c r="P515" s="364"/>
      <c r="Q515" s="365"/>
      <c r="R515" s="365"/>
      <c r="S515" s="365"/>
      <c r="T515" s="365"/>
      <c r="U515" s="366"/>
      <c r="V515" s="367"/>
      <c r="W515" s="367"/>
      <c r="X515" s="367"/>
      <c r="Y515" s="367"/>
      <c r="Z515" s="367"/>
      <c r="AA515" s="367"/>
      <c r="AB515" s="367"/>
      <c r="AC515" s="367"/>
      <c r="AD515" s="367"/>
      <c r="AE515" s="367"/>
      <c r="AF515" s="367"/>
      <c r="AG515" s="367"/>
      <c r="AH515" s="367"/>
      <c r="AI515" s="367"/>
      <c r="AJ515" s="367"/>
      <c r="AK515" s="367"/>
      <c r="AL515" s="367"/>
      <c r="AM515" s="367"/>
      <c r="AN515" s="367"/>
      <c r="AO515" s="367"/>
      <c r="AP515" s="367"/>
      <c r="AQ515" s="367"/>
      <c r="AR515" s="367"/>
      <c r="AS515" s="367"/>
      <c r="AT515" s="368"/>
      <c r="AU515" s="367"/>
    </row>
    <row r="516" spans="1:47" ht="12.75">
      <c r="A516" s="367"/>
      <c r="B516" s="367"/>
      <c r="C516" s="367"/>
      <c r="D516" s="367"/>
      <c r="E516" s="367"/>
      <c r="F516" s="367"/>
      <c r="G516" s="367"/>
      <c r="H516" s="367"/>
      <c r="I516" s="367"/>
      <c r="J516" s="367"/>
      <c r="K516" s="367"/>
      <c r="L516" s="367"/>
      <c r="M516" s="367"/>
      <c r="N516" s="367"/>
      <c r="O516" s="367"/>
      <c r="P516" s="364"/>
      <c r="Q516" s="365"/>
      <c r="R516" s="365"/>
      <c r="S516" s="365"/>
      <c r="T516" s="365"/>
      <c r="U516" s="366"/>
      <c r="V516" s="367"/>
      <c r="W516" s="367"/>
      <c r="X516" s="367"/>
      <c r="Y516" s="367"/>
      <c r="Z516" s="367"/>
      <c r="AA516" s="367"/>
      <c r="AB516" s="367"/>
      <c r="AC516" s="367"/>
      <c r="AD516" s="367"/>
      <c r="AE516" s="367"/>
      <c r="AF516" s="367"/>
      <c r="AG516" s="367"/>
      <c r="AH516" s="367"/>
      <c r="AI516" s="367"/>
      <c r="AJ516" s="367"/>
      <c r="AK516" s="367"/>
      <c r="AL516" s="367"/>
      <c r="AM516" s="367"/>
      <c r="AN516" s="367"/>
      <c r="AO516" s="367"/>
      <c r="AP516" s="367"/>
      <c r="AQ516" s="367"/>
      <c r="AR516" s="367"/>
      <c r="AS516" s="367"/>
      <c r="AT516" s="368"/>
      <c r="AU516" s="367"/>
    </row>
    <row r="517" spans="1:47" ht="12.75">
      <c r="A517" s="367"/>
      <c r="B517" s="367"/>
      <c r="C517" s="367"/>
      <c r="D517" s="367"/>
      <c r="E517" s="367"/>
      <c r="F517" s="367"/>
      <c r="G517" s="367"/>
      <c r="H517" s="367"/>
      <c r="I517" s="367"/>
      <c r="J517" s="367"/>
      <c r="K517" s="367"/>
      <c r="L517" s="367"/>
      <c r="M517" s="367"/>
      <c r="N517" s="367"/>
      <c r="O517" s="367"/>
      <c r="P517" s="364"/>
      <c r="Q517" s="365"/>
      <c r="R517" s="365"/>
      <c r="S517" s="365"/>
      <c r="T517" s="365"/>
      <c r="U517" s="366"/>
      <c r="V517" s="367"/>
      <c r="W517" s="367"/>
      <c r="X517" s="367"/>
      <c r="Y517" s="367"/>
      <c r="Z517" s="367"/>
      <c r="AA517" s="367"/>
      <c r="AB517" s="367"/>
      <c r="AC517" s="367"/>
      <c r="AD517" s="367"/>
      <c r="AE517" s="367"/>
      <c r="AF517" s="367"/>
      <c r="AG517" s="367"/>
      <c r="AH517" s="367"/>
      <c r="AI517" s="367"/>
      <c r="AJ517" s="367"/>
      <c r="AK517" s="367"/>
      <c r="AL517" s="367"/>
      <c r="AM517" s="367"/>
      <c r="AN517" s="367"/>
      <c r="AO517" s="367"/>
      <c r="AP517" s="367"/>
      <c r="AQ517" s="367"/>
      <c r="AR517" s="367"/>
      <c r="AS517" s="367"/>
      <c r="AT517" s="368"/>
      <c r="AU517" s="367"/>
    </row>
    <row r="518" spans="1:47" ht="12.75">
      <c r="A518" s="367"/>
      <c r="B518" s="367"/>
      <c r="C518" s="367"/>
      <c r="D518" s="367"/>
      <c r="E518" s="367"/>
      <c r="F518" s="367"/>
      <c r="G518" s="367"/>
      <c r="H518" s="367"/>
      <c r="I518" s="367"/>
      <c r="J518" s="367"/>
      <c r="K518" s="367"/>
      <c r="L518" s="367"/>
      <c r="M518" s="367"/>
      <c r="N518" s="367"/>
      <c r="O518" s="367"/>
      <c r="P518" s="364"/>
      <c r="Q518" s="365"/>
      <c r="R518" s="365"/>
      <c r="S518" s="365"/>
      <c r="T518" s="365"/>
      <c r="U518" s="366"/>
      <c r="V518" s="367"/>
      <c r="W518" s="367"/>
      <c r="X518" s="367"/>
      <c r="Y518" s="367"/>
      <c r="Z518" s="367"/>
      <c r="AA518" s="367"/>
      <c r="AB518" s="367"/>
      <c r="AC518" s="367"/>
      <c r="AD518" s="367"/>
      <c r="AE518" s="367"/>
      <c r="AF518" s="367"/>
      <c r="AG518" s="367"/>
      <c r="AH518" s="367"/>
      <c r="AI518" s="367"/>
      <c r="AJ518" s="367"/>
      <c r="AK518" s="367"/>
      <c r="AL518" s="367"/>
      <c r="AM518" s="367"/>
      <c r="AN518" s="367"/>
      <c r="AO518" s="367"/>
      <c r="AP518" s="367"/>
      <c r="AQ518" s="367"/>
      <c r="AR518" s="367"/>
      <c r="AS518" s="367"/>
      <c r="AT518" s="368"/>
      <c r="AU518" s="367"/>
    </row>
    <row r="519" spans="1:47" ht="12.75">
      <c r="A519" s="367"/>
      <c r="B519" s="367"/>
      <c r="C519" s="367"/>
      <c r="D519" s="367"/>
      <c r="E519" s="367"/>
      <c r="F519" s="367"/>
      <c r="G519" s="367"/>
      <c r="H519" s="367"/>
      <c r="I519" s="367"/>
      <c r="J519" s="367"/>
      <c r="K519" s="367"/>
      <c r="L519" s="367"/>
      <c r="M519" s="367"/>
      <c r="N519" s="367"/>
      <c r="O519" s="367"/>
      <c r="P519" s="364"/>
      <c r="Q519" s="365"/>
      <c r="R519" s="365"/>
      <c r="S519" s="365"/>
      <c r="T519" s="365"/>
      <c r="U519" s="366"/>
      <c r="V519" s="367"/>
      <c r="W519" s="367"/>
      <c r="X519" s="367"/>
      <c r="Y519" s="367"/>
      <c r="Z519" s="367"/>
      <c r="AA519" s="367"/>
      <c r="AB519" s="367"/>
      <c r="AC519" s="367"/>
      <c r="AD519" s="367"/>
      <c r="AE519" s="367"/>
      <c r="AF519" s="367"/>
      <c r="AG519" s="367"/>
      <c r="AH519" s="367"/>
      <c r="AI519" s="367"/>
      <c r="AJ519" s="367"/>
      <c r="AK519" s="367"/>
      <c r="AL519" s="367"/>
      <c r="AM519" s="367"/>
      <c r="AN519" s="367"/>
      <c r="AO519" s="367"/>
      <c r="AP519" s="367"/>
      <c r="AQ519" s="367"/>
      <c r="AR519" s="367"/>
      <c r="AS519" s="367"/>
      <c r="AT519" s="368"/>
      <c r="AU519" s="367"/>
    </row>
    <row r="520" spans="1:47" ht="12.75">
      <c r="A520" s="367"/>
      <c r="B520" s="367"/>
      <c r="C520" s="367"/>
      <c r="D520" s="367"/>
      <c r="E520" s="367"/>
      <c r="F520" s="367"/>
      <c r="G520" s="367"/>
      <c r="H520" s="367"/>
      <c r="I520" s="367"/>
      <c r="J520" s="367"/>
      <c r="K520" s="367"/>
      <c r="L520" s="367"/>
      <c r="M520" s="367"/>
      <c r="N520" s="367"/>
      <c r="O520" s="367"/>
      <c r="P520" s="364"/>
      <c r="Q520" s="365"/>
      <c r="R520" s="365"/>
      <c r="S520" s="365"/>
      <c r="T520" s="365"/>
      <c r="U520" s="366"/>
      <c r="V520" s="367"/>
      <c r="W520" s="367"/>
      <c r="X520" s="367"/>
      <c r="Y520" s="367"/>
      <c r="Z520" s="367"/>
      <c r="AA520" s="367"/>
      <c r="AB520" s="367"/>
      <c r="AC520" s="367"/>
      <c r="AD520" s="367"/>
      <c r="AE520" s="367"/>
      <c r="AF520" s="367"/>
      <c r="AG520" s="367"/>
      <c r="AH520" s="367"/>
      <c r="AI520" s="367"/>
      <c r="AJ520" s="367"/>
      <c r="AK520" s="367"/>
      <c r="AL520" s="367"/>
      <c r="AM520" s="367"/>
      <c r="AN520" s="367"/>
      <c r="AO520" s="367"/>
      <c r="AP520" s="367"/>
      <c r="AQ520" s="367"/>
      <c r="AR520" s="367"/>
      <c r="AS520" s="367"/>
      <c r="AT520" s="368"/>
      <c r="AU520" s="367"/>
    </row>
    <row r="521" spans="1:47" ht="12.75">
      <c r="A521" s="367"/>
      <c r="B521" s="367"/>
      <c r="C521" s="367"/>
      <c r="D521" s="367"/>
      <c r="E521" s="367"/>
      <c r="F521" s="367"/>
      <c r="G521" s="367"/>
      <c r="H521" s="367"/>
      <c r="I521" s="367"/>
      <c r="J521" s="367"/>
      <c r="K521" s="367"/>
      <c r="L521" s="367"/>
      <c r="M521" s="367"/>
      <c r="N521" s="367"/>
      <c r="O521" s="367"/>
      <c r="P521" s="364"/>
      <c r="Q521" s="365"/>
      <c r="R521" s="365"/>
      <c r="S521" s="365"/>
      <c r="T521" s="365"/>
      <c r="U521" s="366"/>
      <c r="V521" s="367"/>
      <c r="W521" s="367"/>
      <c r="X521" s="367"/>
      <c r="Y521" s="367"/>
      <c r="Z521" s="367"/>
      <c r="AA521" s="367"/>
      <c r="AB521" s="367"/>
      <c r="AC521" s="367"/>
      <c r="AD521" s="367"/>
      <c r="AE521" s="367"/>
      <c r="AF521" s="367"/>
      <c r="AG521" s="367"/>
      <c r="AH521" s="367"/>
      <c r="AI521" s="367"/>
      <c r="AJ521" s="367"/>
      <c r="AK521" s="367"/>
      <c r="AL521" s="367"/>
      <c r="AM521" s="367"/>
      <c r="AN521" s="367"/>
      <c r="AO521" s="367"/>
      <c r="AP521" s="367"/>
      <c r="AQ521" s="367"/>
      <c r="AR521" s="367"/>
      <c r="AS521" s="367"/>
      <c r="AT521" s="368"/>
      <c r="AU521" s="367"/>
    </row>
    <row r="522" spans="1:47" ht="12.75">
      <c r="A522" s="367"/>
      <c r="B522" s="367"/>
      <c r="C522" s="367"/>
      <c r="D522" s="367"/>
      <c r="E522" s="367"/>
      <c r="F522" s="367"/>
      <c r="G522" s="367"/>
      <c r="H522" s="367"/>
      <c r="I522" s="367"/>
      <c r="J522" s="367"/>
      <c r="K522" s="367"/>
      <c r="L522" s="367"/>
      <c r="M522" s="367"/>
      <c r="N522" s="367"/>
      <c r="O522" s="367"/>
      <c r="P522" s="364"/>
      <c r="Q522" s="365"/>
      <c r="R522" s="365"/>
      <c r="S522" s="365"/>
      <c r="T522" s="365"/>
      <c r="U522" s="366"/>
      <c r="V522" s="367"/>
      <c r="W522" s="367"/>
      <c r="X522" s="367"/>
      <c r="Y522" s="367"/>
      <c r="Z522" s="367"/>
      <c r="AA522" s="367"/>
      <c r="AB522" s="367"/>
      <c r="AC522" s="367"/>
      <c r="AD522" s="367"/>
      <c r="AE522" s="367"/>
      <c r="AF522" s="367"/>
      <c r="AG522" s="367"/>
      <c r="AH522" s="367"/>
      <c r="AI522" s="367"/>
      <c r="AJ522" s="367"/>
      <c r="AK522" s="367"/>
      <c r="AL522" s="367"/>
      <c r="AM522" s="367"/>
      <c r="AN522" s="367"/>
      <c r="AO522" s="367"/>
      <c r="AP522" s="367"/>
      <c r="AQ522" s="367"/>
      <c r="AR522" s="367"/>
      <c r="AS522" s="367"/>
      <c r="AT522" s="368"/>
      <c r="AU522" s="367"/>
    </row>
    <row r="523" spans="1:47" ht="12.75">
      <c r="A523" s="367"/>
      <c r="B523" s="367"/>
      <c r="C523" s="367"/>
      <c r="D523" s="367"/>
      <c r="E523" s="367"/>
      <c r="F523" s="367"/>
      <c r="G523" s="367"/>
      <c r="H523" s="367"/>
      <c r="I523" s="367"/>
      <c r="J523" s="367"/>
      <c r="K523" s="367"/>
      <c r="L523" s="367"/>
      <c r="M523" s="367"/>
      <c r="N523" s="367"/>
      <c r="O523" s="367"/>
      <c r="P523" s="364"/>
      <c r="Q523" s="365"/>
      <c r="R523" s="365"/>
      <c r="S523" s="365"/>
      <c r="T523" s="365"/>
      <c r="U523" s="366"/>
      <c r="V523" s="367"/>
      <c r="W523" s="367"/>
      <c r="X523" s="367"/>
      <c r="Y523" s="367"/>
      <c r="Z523" s="367"/>
      <c r="AA523" s="367"/>
      <c r="AB523" s="367"/>
      <c r="AC523" s="367"/>
      <c r="AD523" s="367"/>
      <c r="AE523" s="367"/>
      <c r="AF523" s="367"/>
      <c r="AG523" s="367"/>
      <c r="AH523" s="367"/>
      <c r="AI523" s="367"/>
      <c r="AJ523" s="367"/>
      <c r="AK523" s="367"/>
      <c r="AL523" s="367"/>
      <c r="AM523" s="367"/>
      <c r="AN523" s="367"/>
      <c r="AO523" s="367"/>
      <c r="AP523" s="367"/>
      <c r="AQ523" s="367"/>
      <c r="AR523" s="367"/>
      <c r="AS523" s="367"/>
      <c r="AT523" s="368"/>
      <c r="AU523" s="367"/>
    </row>
    <row r="524" spans="1:47" ht="12.75">
      <c r="A524" s="367"/>
      <c r="B524" s="367"/>
      <c r="C524" s="367"/>
      <c r="D524" s="367"/>
      <c r="E524" s="367"/>
      <c r="F524" s="367"/>
      <c r="G524" s="367"/>
      <c r="H524" s="367"/>
      <c r="I524" s="367"/>
      <c r="J524" s="367"/>
      <c r="K524" s="367"/>
      <c r="L524" s="367"/>
      <c r="M524" s="367"/>
      <c r="N524" s="367"/>
      <c r="O524" s="367"/>
      <c r="P524" s="364"/>
      <c r="Q524" s="365"/>
      <c r="R524" s="365"/>
      <c r="S524" s="365"/>
      <c r="T524" s="365"/>
      <c r="U524" s="366"/>
      <c r="V524" s="367"/>
      <c r="W524" s="367"/>
      <c r="X524" s="367"/>
      <c r="Y524" s="367"/>
      <c r="Z524" s="367"/>
      <c r="AA524" s="367"/>
      <c r="AB524" s="367"/>
      <c r="AC524" s="367"/>
      <c r="AD524" s="367"/>
      <c r="AE524" s="367"/>
      <c r="AF524" s="367"/>
      <c r="AG524" s="367"/>
      <c r="AH524" s="367"/>
      <c r="AI524" s="367"/>
      <c r="AJ524" s="367"/>
      <c r="AK524" s="367"/>
      <c r="AL524" s="367"/>
      <c r="AM524" s="367"/>
      <c r="AN524" s="367"/>
      <c r="AO524" s="367"/>
      <c r="AP524" s="367"/>
      <c r="AQ524" s="367"/>
      <c r="AR524" s="367"/>
      <c r="AS524" s="367"/>
      <c r="AT524" s="368"/>
      <c r="AU524" s="367"/>
    </row>
    <row r="525" spans="1:47" ht="12.75">
      <c r="A525" s="367"/>
      <c r="B525" s="367"/>
      <c r="C525" s="367"/>
      <c r="D525" s="367"/>
      <c r="E525" s="367"/>
      <c r="F525" s="367"/>
      <c r="G525" s="367"/>
      <c r="H525" s="367"/>
      <c r="I525" s="367"/>
      <c r="J525" s="367"/>
      <c r="K525" s="367"/>
      <c r="L525" s="367"/>
      <c r="M525" s="367"/>
      <c r="N525" s="367"/>
      <c r="O525" s="367"/>
      <c r="P525" s="364"/>
      <c r="Q525" s="365"/>
      <c r="R525" s="365"/>
      <c r="S525" s="365"/>
      <c r="T525" s="365"/>
      <c r="U525" s="366"/>
      <c r="V525" s="367"/>
      <c r="W525" s="367"/>
      <c r="X525" s="367"/>
      <c r="Y525" s="367"/>
      <c r="Z525" s="367"/>
      <c r="AA525" s="367"/>
      <c r="AB525" s="367"/>
      <c r="AC525" s="367"/>
      <c r="AD525" s="367"/>
      <c r="AE525" s="367"/>
      <c r="AF525" s="367"/>
      <c r="AG525" s="367"/>
      <c r="AH525" s="367"/>
      <c r="AI525" s="367"/>
      <c r="AJ525" s="367"/>
      <c r="AK525" s="367"/>
      <c r="AL525" s="367"/>
      <c r="AM525" s="367"/>
      <c r="AN525" s="367"/>
      <c r="AO525" s="367"/>
      <c r="AP525" s="367"/>
      <c r="AQ525" s="367"/>
      <c r="AR525" s="367"/>
      <c r="AS525" s="367"/>
      <c r="AT525" s="368"/>
      <c r="AU525" s="367"/>
    </row>
    <row r="526" spans="1:47" ht="12.75">
      <c r="A526" s="367"/>
      <c r="B526" s="367"/>
      <c r="C526" s="367"/>
      <c r="D526" s="367"/>
      <c r="E526" s="367"/>
      <c r="F526" s="367"/>
      <c r="G526" s="367"/>
      <c r="H526" s="367"/>
      <c r="I526" s="367"/>
      <c r="J526" s="367"/>
      <c r="K526" s="367"/>
      <c r="L526" s="367"/>
      <c r="M526" s="367"/>
      <c r="N526" s="367"/>
      <c r="O526" s="367"/>
      <c r="P526" s="364"/>
      <c r="Q526" s="365"/>
      <c r="R526" s="365"/>
      <c r="S526" s="365"/>
      <c r="T526" s="365"/>
      <c r="U526" s="366"/>
      <c r="V526" s="367"/>
      <c r="W526" s="367"/>
      <c r="X526" s="367"/>
      <c r="Y526" s="367"/>
      <c r="Z526" s="367"/>
      <c r="AA526" s="367"/>
      <c r="AB526" s="367"/>
      <c r="AC526" s="367"/>
      <c r="AD526" s="367"/>
      <c r="AE526" s="367"/>
      <c r="AF526" s="367"/>
      <c r="AG526" s="367"/>
      <c r="AH526" s="367"/>
      <c r="AI526" s="367"/>
      <c r="AJ526" s="367"/>
      <c r="AK526" s="367"/>
      <c r="AL526" s="367"/>
      <c r="AM526" s="367"/>
      <c r="AN526" s="367"/>
      <c r="AO526" s="367"/>
      <c r="AP526" s="367"/>
      <c r="AQ526" s="367"/>
      <c r="AR526" s="367"/>
      <c r="AS526" s="367"/>
      <c r="AT526" s="368"/>
      <c r="AU526" s="367"/>
    </row>
    <row r="527" spans="1:47" ht="12.75">
      <c r="A527" s="367"/>
      <c r="B527" s="367"/>
      <c r="C527" s="367"/>
      <c r="D527" s="367"/>
      <c r="E527" s="367"/>
      <c r="F527" s="367"/>
      <c r="G527" s="367"/>
      <c r="H527" s="367"/>
      <c r="I527" s="367"/>
      <c r="J527" s="367"/>
      <c r="K527" s="367"/>
      <c r="L527" s="367"/>
      <c r="M527" s="367"/>
      <c r="N527" s="367"/>
      <c r="O527" s="367"/>
      <c r="P527" s="364"/>
      <c r="Q527" s="365"/>
      <c r="R527" s="365"/>
      <c r="S527" s="365"/>
      <c r="T527" s="365"/>
      <c r="U527" s="366"/>
      <c r="V527" s="367"/>
      <c r="W527" s="367"/>
      <c r="X527" s="367"/>
      <c r="Y527" s="367"/>
      <c r="Z527" s="367"/>
      <c r="AA527" s="367"/>
      <c r="AB527" s="367"/>
      <c r="AC527" s="367"/>
      <c r="AD527" s="367"/>
      <c r="AE527" s="367"/>
      <c r="AF527" s="367"/>
      <c r="AG527" s="367"/>
      <c r="AH527" s="367"/>
      <c r="AI527" s="367"/>
      <c r="AJ527" s="367"/>
      <c r="AK527" s="367"/>
      <c r="AL527" s="367"/>
      <c r="AM527" s="367"/>
      <c r="AN527" s="367"/>
      <c r="AO527" s="367"/>
      <c r="AP527" s="367"/>
      <c r="AQ527" s="367"/>
      <c r="AR527" s="367"/>
      <c r="AS527" s="367"/>
      <c r="AT527" s="368"/>
      <c r="AU527" s="367"/>
    </row>
    <row r="528" spans="1:47" ht="12.75">
      <c r="A528" s="367"/>
      <c r="B528" s="367"/>
      <c r="C528" s="367"/>
      <c r="D528" s="367"/>
      <c r="E528" s="367"/>
      <c r="F528" s="367"/>
      <c r="G528" s="367"/>
      <c r="H528" s="367"/>
      <c r="I528" s="367"/>
      <c r="J528" s="367"/>
      <c r="K528" s="367"/>
      <c r="L528" s="367"/>
      <c r="M528" s="367"/>
      <c r="N528" s="367"/>
      <c r="O528" s="367"/>
      <c r="P528" s="364"/>
      <c r="Q528" s="365"/>
      <c r="R528" s="365"/>
      <c r="S528" s="365"/>
      <c r="T528" s="365"/>
      <c r="U528" s="366"/>
      <c r="V528" s="367"/>
      <c r="W528" s="367"/>
      <c r="X528" s="367"/>
      <c r="Y528" s="367"/>
      <c r="Z528" s="367"/>
      <c r="AA528" s="367"/>
      <c r="AB528" s="367"/>
      <c r="AC528" s="367"/>
      <c r="AD528" s="367"/>
      <c r="AE528" s="367"/>
      <c r="AF528" s="367"/>
      <c r="AG528" s="367"/>
      <c r="AH528" s="367"/>
      <c r="AI528" s="367"/>
      <c r="AJ528" s="367"/>
      <c r="AK528" s="367"/>
      <c r="AL528" s="367"/>
      <c r="AM528" s="367"/>
      <c r="AN528" s="367"/>
      <c r="AO528" s="367"/>
      <c r="AP528" s="367"/>
      <c r="AQ528" s="367"/>
      <c r="AR528" s="367"/>
      <c r="AS528" s="367"/>
      <c r="AT528" s="368"/>
      <c r="AU528" s="367"/>
    </row>
    <row r="529" spans="1:47" ht="12.75">
      <c r="A529" s="367"/>
      <c r="B529" s="367"/>
      <c r="C529" s="367"/>
      <c r="D529" s="367"/>
      <c r="E529" s="367"/>
      <c r="F529" s="367"/>
      <c r="G529" s="367"/>
      <c r="H529" s="367"/>
      <c r="I529" s="367"/>
      <c r="J529" s="367"/>
      <c r="K529" s="367"/>
      <c r="L529" s="367"/>
      <c r="M529" s="367"/>
      <c r="N529" s="367"/>
      <c r="O529" s="367"/>
      <c r="P529" s="364"/>
      <c r="Q529" s="365"/>
      <c r="R529" s="365"/>
      <c r="S529" s="365"/>
      <c r="T529" s="365"/>
      <c r="U529" s="366"/>
      <c r="V529" s="367"/>
      <c r="W529" s="367"/>
      <c r="X529" s="367"/>
      <c r="Y529" s="367"/>
      <c r="Z529" s="367"/>
      <c r="AA529" s="367"/>
      <c r="AB529" s="367"/>
      <c r="AC529" s="367"/>
      <c r="AD529" s="367"/>
      <c r="AE529" s="367"/>
      <c r="AF529" s="367"/>
      <c r="AG529" s="367"/>
      <c r="AH529" s="367"/>
      <c r="AI529" s="367"/>
      <c r="AJ529" s="367"/>
      <c r="AK529" s="367"/>
      <c r="AL529" s="367"/>
      <c r="AM529" s="367"/>
      <c r="AN529" s="367"/>
      <c r="AO529" s="367"/>
      <c r="AP529" s="367"/>
      <c r="AQ529" s="367"/>
      <c r="AR529" s="367"/>
      <c r="AS529" s="367"/>
      <c r="AT529" s="368"/>
      <c r="AU529" s="367"/>
    </row>
    <row r="530" spans="1:47" ht="12.75">
      <c r="A530" s="367"/>
      <c r="B530" s="367"/>
      <c r="C530" s="367"/>
      <c r="D530" s="367"/>
      <c r="E530" s="367"/>
      <c r="F530" s="367"/>
      <c r="G530" s="367"/>
      <c r="H530" s="367"/>
      <c r="I530" s="367"/>
      <c r="J530" s="367"/>
      <c r="K530" s="367"/>
      <c r="L530" s="367"/>
      <c r="M530" s="367"/>
      <c r="N530" s="367"/>
      <c r="O530" s="367"/>
      <c r="P530" s="364"/>
      <c r="Q530" s="365"/>
      <c r="R530" s="365"/>
      <c r="S530" s="365"/>
      <c r="T530" s="365"/>
      <c r="U530" s="366"/>
      <c r="V530" s="367"/>
      <c r="W530" s="367"/>
      <c r="X530" s="367"/>
      <c r="Y530" s="367"/>
      <c r="Z530" s="367"/>
      <c r="AA530" s="367"/>
      <c r="AB530" s="367"/>
      <c r="AC530" s="367"/>
      <c r="AD530" s="367"/>
      <c r="AE530" s="367"/>
      <c r="AF530" s="367"/>
      <c r="AG530" s="367"/>
      <c r="AH530" s="367"/>
      <c r="AI530" s="367"/>
      <c r="AJ530" s="367"/>
      <c r="AK530" s="367"/>
      <c r="AL530" s="367"/>
      <c r="AM530" s="367"/>
      <c r="AN530" s="367"/>
      <c r="AO530" s="367"/>
      <c r="AP530" s="367"/>
      <c r="AQ530" s="367"/>
      <c r="AR530" s="367"/>
      <c r="AS530" s="367"/>
      <c r="AT530" s="368"/>
      <c r="AU530" s="367"/>
    </row>
    <row r="531" spans="1:47" ht="12.75">
      <c r="A531" s="367"/>
      <c r="B531" s="367"/>
      <c r="C531" s="367"/>
      <c r="D531" s="367"/>
      <c r="E531" s="367"/>
      <c r="F531" s="367"/>
      <c r="G531" s="367"/>
      <c r="H531" s="367"/>
      <c r="I531" s="367"/>
      <c r="J531" s="367"/>
      <c r="K531" s="367"/>
      <c r="L531" s="367"/>
      <c r="M531" s="367"/>
      <c r="N531" s="367"/>
      <c r="O531" s="367"/>
      <c r="P531" s="364"/>
      <c r="Q531" s="365"/>
      <c r="R531" s="365"/>
      <c r="S531" s="365"/>
      <c r="T531" s="365"/>
      <c r="U531" s="366"/>
      <c r="V531" s="367"/>
      <c r="W531" s="367"/>
      <c r="X531" s="367"/>
      <c r="Y531" s="367"/>
      <c r="Z531" s="367"/>
      <c r="AA531" s="367"/>
      <c r="AB531" s="367"/>
      <c r="AC531" s="367"/>
      <c r="AD531" s="367"/>
      <c r="AE531" s="367"/>
      <c r="AF531" s="367"/>
      <c r="AG531" s="367"/>
      <c r="AH531" s="367"/>
      <c r="AI531" s="367"/>
      <c r="AJ531" s="367"/>
      <c r="AK531" s="367"/>
      <c r="AL531" s="367"/>
      <c r="AM531" s="367"/>
      <c r="AN531" s="367"/>
      <c r="AO531" s="367"/>
      <c r="AP531" s="367"/>
      <c r="AQ531" s="367"/>
      <c r="AR531" s="367"/>
      <c r="AS531" s="367"/>
      <c r="AT531" s="368"/>
      <c r="AU531" s="367"/>
    </row>
    <row r="532" spans="1:47" ht="12.75">
      <c r="A532" s="367"/>
      <c r="B532" s="367"/>
      <c r="C532" s="367"/>
      <c r="D532" s="367"/>
      <c r="E532" s="367"/>
      <c r="F532" s="367"/>
      <c r="G532" s="367"/>
      <c r="H532" s="367"/>
      <c r="I532" s="367"/>
      <c r="J532" s="367"/>
      <c r="K532" s="367"/>
      <c r="L532" s="367"/>
      <c r="M532" s="367"/>
      <c r="N532" s="367"/>
      <c r="O532" s="367"/>
      <c r="P532" s="364"/>
      <c r="Q532" s="365"/>
      <c r="R532" s="365"/>
      <c r="S532" s="365"/>
      <c r="T532" s="365"/>
      <c r="U532" s="366"/>
      <c r="V532" s="367"/>
      <c r="W532" s="367"/>
      <c r="X532" s="367"/>
      <c r="Y532" s="367"/>
      <c r="Z532" s="367"/>
      <c r="AA532" s="367"/>
      <c r="AB532" s="367"/>
      <c r="AC532" s="367"/>
      <c r="AD532" s="367"/>
      <c r="AE532" s="367"/>
      <c r="AF532" s="367"/>
      <c r="AG532" s="367"/>
      <c r="AH532" s="367"/>
      <c r="AI532" s="367"/>
      <c r="AJ532" s="367"/>
      <c r="AK532" s="367"/>
      <c r="AL532" s="367"/>
      <c r="AM532" s="367"/>
      <c r="AN532" s="367"/>
      <c r="AO532" s="367"/>
      <c r="AP532" s="367"/>
      <c r="AQ532" s="367"/>
      <c r="AR532" s="367"/>
      <c r="AS532" s="367"/>
      <c r="AT532" s="368"/>
      <c r="AU532" s="367"/>
    </row>
    <row r="533" spans="1:47" ht="12.75">
      <c r="A533" s="367"/>
      <c r="B533" s="367"/>
      <c r="C533" s="367"/>
      <c r="D533" s="367"/>
      <c r="E533" s="367"/>
      <c r="F533" s="367"/>
      <c r="G533" s="367"/>
      <c r="H533" s="367"/>
      <c r="I533" s="367"/>
      <c r="J533" s="367"/>
      <c r="K533" s="367"/>
      <c r="L533" s="367"/>
      <c r="M533" s="367"/>
      <c r="N533" s="367"/>
      <c r="O533" s="367"/>
      <c r="P533" s="364"/>
      <c r="Q533" s="365"/>
      <c r="R533" s="365"/>
      <c r="S533" s="365"/>
      <c r="T533" s="365"/>
      <c r="U533" s="366"/>
      <c r="V533" s="367"/>
      <c r="W533" s="367"/>
      <c r="X533" s="367"/>
      <c r="Y533" s="367"/>
      <c r="Z533" s="367"/>
      <c r="AA533" s="367"/>
      <c r="AB533" s="367"/>
      <c r="AC533" s="367"/>
      <c r="AD533" s="367"/>
      <c r="AE533" s="367"/>
      <c r="AF533" s="367"/>
      <c r="AG533" s="367"/>
      <c r="AH533" s="367"/>
      <c r="AI533" s="367"/>
      <c r="AJ533" s="367"/>
      <c r="AK533" s="367"/>
      <c r="AL533" s="367"/>
      <c r="AM533" s="367"/>
      <c r="AN533" s="367"/>
      <c r="AO533" s="367"/>
      <c r="AP533" s="367"/>
      <c r="AQ533" s="367"/>
      <c r="AR533" s="367"/>
      <c r="AS533" s="367"/>
      <c r="AT533" s="368"/>
      <c r="AU533" s="367"/>
    </row>
    <row r="534" spans="1:47" ht="12.75">
      <c r="A534" s="367"/>
      <c r="B534" s="367"/>
      <c r="C534" s="367"/>
      <c r="D534" s="367"/>
      <c r="E534" s="367"/>
      <c r="F534" s="367"/>
      <c r="G534" s="367"/>
      <c r="H534" s="367"/>
      <c r="I534" s="367"/>
      <c r="J534" s="367"/>
      <c r="K534" s="367"/>
      <c r="L534" s="367"/>
      <c r="M534" s="367"/>
      <c r="N534" s="367"/>
      <c r="O534" s="367"/>
      <c r="P534" s="364"/>
      <c r="Q534" s="365"/>
      <c r="R534" s="365"/>
      <c r="S534" s="365"/>
      <c r="T534" s="365"/>
      <c r="U534" s="366"/>
      <c r="V534" s="367"/>
      <c r="W534" s="367"/>
      <c r="X534" s="367"/>
      <c r="Y534" s="367"/>
      <c r="Z534" s="367"/>
      <c r="AA534" s="367"/>
      <c r="AB534" s="367"/>
      <c r="AC534" s="367"/>
      <c r="AD534" s="367"/>
      <c r="AE534" s="367"/>
      <c r="AF534" s="367"/>
      <c r="AG534" s="367"/>
      <c r="AH534" s="367"/>
      <c r="AI534" s="367"/>
      <c r="AJ534" s="367"/>
      <c r="AK534" s="367"/>
      <c r="AL534" s="367"/>
      <c r="AM534" s="367"/>
      <c r="AN534" s="367"/>
      <c r="AO534" s="367"/>
      <c r="AP534" s="367"/>
      <c r="AQ534" s="367"/>
      <c r="AR534" s="367"/>
      <c r="AS534" s="367"/>
      <c r="AT534" s="368"/>
      <c r="AU534" s="367"/>
    </row>
    <row r="535" spans="1:47" ht="12.75">
      <c r="A535" s="367"/>
      <c r="B535" s="367"/>
      <c r="C535" s="367"/>
      <c r="D535" s="367"/>
      <c r="E535" s="367"/>
      <c r="F535" s="367"/>
      <c r="G535" s="367"/>
      <c r="H535" s="367"/>
      <c r="I535" s="367"/>
      <c r="J535" s="367"/>
      <c r="K535" s="367"/>
      <c r="L535" s="367"/>
      <c r="M535" s="367"/>
      <c r="N535" s="367"/>
      <c r="O535" s="367"/>
      <c r="P535" s="364"/>
      <c r="Q535" s="365"/>
      <c r="R535" s="365"/>
      <c r="S535" s="365"/>
      <c r="T535" s="365"/>
      <c r="U535" s="366"/>
      <c r="V535" s="367"/>
      <c r="W535" s="367"/>
      <c r="X535" s="367"/>
      <c r="Y535" s="367"/>
      <c r="Z535" s="367"/>
      <c r="AA535" s="367"/>
      <c r="AB535" s="367"/>
      <c r="AC535" s="367"/>
      <c r="AD535" s="367"/>
      <c r="AE535" s="367"/>
      <c r="AF535" s="367"/>
      <c r="AG535" s="367"/>
      <c r="AH535" s="367"/>
      <c r="AI535" s="367"/>
      <c r="AJ535" s="367"/>
      <c r="AK535" s="367"/>
      <c r="AL535" s="367"/>
      <c r="AM535" s="367"/>
      <c r="AN535" s="367"/>
      <c r="AO535" s="367"/>
      <c r="AP535" s="367"/>
      <c r="AQ535" s="367"/>
      <c r="AR535" s="367"/>
      <c r="AS535" s="367"/>
      <c r="AT535" s="368"/>
      <c r="AU535" s="367"/>
    </row>
    <row r="536" spans="1:47" ht="12.75">
      <c r="A536" s="367"/>
      <c r="B536" s="367"/>
      <c r="C536" s="367"/>
      <c r="D536" s="367"/>
      <c r="E536" s="367"/>
      <c r="F536" s="367"/>
      <c r="G536" s="367"/>
      <c r="H536" s="367"/>
      <c r="I536" s="367"/>
      <c r="J536" s="367"/>
      <c r="K536" s="367"/>
      <c r="L536" s="367"/>
      <c r="M536" s="367"/>
      <c r="N536" s="367"/>
      <c r="O536" s="367"/>
      <c r="P536" s="364"/>
      <c r="Q536" s="365"/>
      <c r="R536" s="365"/>
      <c r="S536" s="365"/>
      <c r="T536" s="365"/>
      <c r="U536" s="366"/>
      <c r="V536" s="367"/>
      <c r="W536" s="367"/>
      <c r="X536" s="367"/>
      <c r="Y536" s="367"/>
      <c r="Z536" s="367"/>
      <c r="AA536" s="367"/>
      <c r="AB536" s="367"/>
      <c r="AC536" s="367"/>
      <c r="AD536" s="367"/>
      <c r="AE536" s="367"/>
      <c r="AF536" s="367"/>
      <c r="AG536" s="367"/>
      <c r="AH536" s="367"/>
      <c r="AI536" s="367"/>
      <c r="AJ536" s="367"/>
      <c r="AK536" s="367"/>
      <c r="AL536" s="367"/>
      <c r="AM536" s="367"/>
      <c r="AN536" s="367"/>
      <c r="AO536" s="367"/>
      <c r="AP536" s="367"/>
      <c r="AQ536" s="367"/>
      <c r="AR536" s="367"/>
      <c r="AS536" s="367"/>
      <c r="AT536" s="368"/>
      <c r="AU536" s="367"/>
    </row>
    <row r="537" spans="1:47" ht="12.75">
      <c r="A537" s="367"/>
      <c r="B537" s="367"/>
      <c r="C537" s="367"/>
      <c r="D537" s="367"/>
      <c r="E537" s="367"/>
      <c r="F537" s="367"/>
      <c r="G537" s="367"/>
      <c r="H537" s="367"/>
      <c r="I537" s="367"/>
      <c r="J537" s="367"/>
      <c r="K537" s="367"/>
      <c r="L537" s="367"/>
      <c r="M537" s="367"/>
      <c r="N537" s="367"/>
      <c r="O537" s="367"/>
      <c r="P537" s="364"/>
      <c r="Q537" s="365"/>
      <c r="R537" s="365"/>
      <c r="S537" s="365"/>
      <c r="T537" s="365"/>
      <c r="U537" s="366"/>
      <c r="V537" s="367"/>
      <c r="W537" s="367"/>
      <c r="X537" s="367"/>
      <c r="Y537" s="367"/>
      <c r="Z537" s="367"/>
      <c r="AA537" s="367"/>
      <c r="AB537" s="367"/>
      <c r="AC537" s="367"/>
      <c r="AD537" s="367"/>
      <c r="AE537" s="367"/>
      <c r="AF537" s="367"/>
      <c r="AG537" s="367"/>
      <c r="AH537" s="367"/>
      <c r="AI537" s="367"/>
      <c r="AJ537" s="367"/>
      <c r="AK537" s="367"/>
      <c r="AL537" s="367"/>
      <c r="AM537" s="367"/>
      <c r="AN537" s="367"/>
      <c r="AO537" s="367"/>
      <c r="AP537" s="367"/>
      <c r="AQ537" s="367"/>
      <c r="AR537" s="367"/>
      <c r="AS537" s="367"/>
      <c r="AT537" s="368"/>
      <c r="AU537" s="367"/>
    </row>
    <row r="538" spans="1:47" ht="12.75">
      <c r="A538" s="367"/>
      <c r="B538" s="367"/>
      <c r="C538" s="367"/>
      <c r="D538" s="367"/>
      <c r="E538" s="367"/>
      <c r="F538" s="367"/>
      <c r="G538" s="367"/>
      <c r="H538" s="367"/>
      <c r="I538" s="367"/>
      <c r="J538" s="367"/>
      <c r="K538" s="367"/>
      <c r="L538" s="367"/>
      <c r="M538" s="367"/>
      <c r="N538" s="367"/>
      <c r="O538" s="367"/>
      <c r="P538" s="364"/>
      <c r="Q538" s="365"/>
      <c r="R538" s="365"/>
      <c r="S538" s="365"/>
      <c r="T538" s="365"/>
      <c r="U538" s="366"/>
      <c r="V538" s="367"/>
      <c r="W538" s="367"/>
      <c r="X538" s="367"/>
      <c r="Y538" s="367"/>
      <c r="Z538" s="367"/>
      <c r="AA538" s="367"/>
      <c r="AB538" s="367"/>
      <c r="AC538" s="367"/>
      <c r="AD538" s="367"/>
      <c r="AE538" s="367"/>
      <c r="AF538" s="367"/>
      <c r="AG538" s="367"/>
      <c r="AH538" s="367"/>
      <c r="AI538" s="367"/>
      <c r="AJ538" s="367"/>
      <c r="AK538" s="367"/>
      <c r="AL538" s="367"/>
      <c r="AM538" s="367"/>
      <c r="AN538" s="367"/>
      <c r="AO538" s="367"/>
      <c r="AP538" s="367"/>
      <c r="AQ538" s="367"/>
      <c r="AR538" s="367"/>
      <c r="AS538" s="367"/>
      <c r="AT538" s="368"/>
      <c r="AU538" s="367"/>
    </row>
    <row r="539" spans="1:47" ht="12.75">
      <c r="A539" s="367"/>
      <c r="B539" s="367"/>
      <c r="C539" s="367"/>
      <c r="D539" s="367"/>
      <c r="E539" s="367"/>
      <c r="F539" s="367"/>
      <c r="G539" s="367"/>
      <c r="H539" s="367"/>
      <c r="I539" s="367"/>
      <c r="J539" s="367"/>
      <c r="K539" s="367"/>
      <c r="L539" s="367"/>
      <c r="M539" s="367"/>
      <c r="N539" s="367"/>
      <c r="O539" s="367"/>
      <c r="P539" s="364"/>
      <c r="Q539" s="365"/>
      <c r="R539" s="365"/>
      <c r="S539" s="365"/>
      <c r="T539" s="365"/>
      <c r="U539" s="366"/>
      <c r="V539" s="367"/>
      <c r="W539" s="367"/>
      <c r="X539" s="367"/>
      <c r="Y539" s="367"/>
      <c r="Z539" s="367"/>
      <c r="AA539" s="367"/>
      <c r="AB539" s="367"/>
      <c r="AC539" s="367"/>
      <c r="AD539" s="367"/>
      <c r="AE539" s="367"/>
      <c r="AF539" s="367"/>
      <c r="AG539" s="367"/>
      <c r="AH539" s="367"/>
      <c r="AI539" s="367"/>
      <c r="AJ539" s="367"/>
      <c r="AK539" s="367"/>
      <c r="AL539" s="367"/>
      <c r="AM539" s="367"/>
      <c r="AN539" s="367"/>
      <c r="AO539" s="367"/>
      <c r="AP539" s="367"/>
      <c r="AQ539" s="367"/>
      <c r="AR539" s="367"/>
      <c r="AS539" s="367"/>
      <c r="AT539" s="368"/>
      <c r="AU539" s="367"/>
    </row>
    <row r="540" spans="1:47" ht="12.75">
      <c r="A540" s="367"/>
      <c r="B540" s="367"/>
      <c r="C540" s="367"/>
      <c r="D540" s="367"/>
      <c r="E540" s="367"/>
      <c r="F540" s="367"/>
      <c r="G540" s="367"/>
      <c r="H540" s="367"/>
      <c r="I540" s="367"/>
      <c r="J540" s="367"/>
      <c r="K540" s="367"/>
      <c r="L540" s="367"/>
      <c r="M540" s="367"/>
      <c r="N540" s="367"/>
      <c r="O540" s="367"/>
      <c r="P540" s="364"/>
      <c r="Q540" s="365"/>
      <c r="R540" s="365"/>
      <c r="S540" s="365"/>
      <c r="T540" s="365"/>
      <c r="U540" s="366"/>
      <c r="V540" s="367"/>
      <c r="W540" s="367"/>
      <c r="X540" s="367"/>
      <c r="Y540" s="367"/>
      <c r="Z540" s="367"/>
      <c r="AA540" s="367"/>
      <c r="AB540" s="367"/>
      <c r="AC540" s="367"/>
      <c r="AD540" s="367"/>
      <c r="AE540" s="367"/>
      <c r="AF540" s="367"/>
      <c r="AG540" s="367"/>
      <c r="AH540" s="367"/>
      <c r="AI540" s="367"/>
      <c r="AJ540" s="367"/>
      <c r="AK540" s="367"/>
      <c r="AL540" s="367"/>
      <c r="AM540" s="367"/>
      <c r="AN540" s="367"/>
      <c r="AO540" s="367"/>
      <c r="AP540" s="367"/>
      <c r="AQ540" s="367"/>
      <c r="AR540" s="367"/>
      <c r="AS540" s="367"/>
      <c r="AT540" s="368"/>
      <c r="AU540" s="367"/>
    </row>
    <row r="541" spans="1:47" ht="12.75">
      <c r="A541" s="367"/>
      <c r="B541" s="367"/>
      <c r="C541" s="367"/>
      <c r="D541" s="367"/>
      <c r="E541" s="367"/>
      <c r="F541" s="367"/>
      <c r="G541" s="367"/>
      <c r="H541" s="367"/>
      <c r="I541" s="367"/>
      <c r="J541" s="367"/>
      <c r="K541" s="367"/>
      <c r="L541" s="367"/>
      <c r="M541" s="367"/>
      <c r="N541" s="367"/>
      <c r="O541" s="367"/>
      <c r="P541" s="364"/>
      <c r="Q541" s="365"/>
      <c r="R541" s="365"/>
      <c r="S541" s="365"/>
      <c r="T541" s="365"/>
      <c r="U541" s="366"/>
      <c r="V541" s="367"/>
      <c r="W541" s="367"/>
      <c r="X541" s="367"/>
      <c r="Y541" s="367"/>
      <c r="Z541" s="367"/>
      <c r="AA541" s="367"/>
      <c r="AB541" s="367"/>
      <c r="AC541" s="367"/>
      <c r="AD541" s="367"/>
      <c r="AE541" s="367"/>
      <c r="AF541" s="367"/>
      <c r="AG541" s="367"/>
      <c r="AH541" s="367"/>
      <c r="AI541" s="367"/>
      <c r="AJ541" s="367"/>
      <c r="AK541" s="367"/>
      <c r="AL541" s="367"/>
      <c r="AM541" s="367"/>
      <c r="AN541" s="367"/>
      <c r="AO541" s="367"/>
      <c r="AP541" s="367"/>
      <c r="AQ541" s="367"/>
      <c r="AR541" s="367"/>
      <c r="AS541" s="367"/>
      <c r="AT541" s="368"/>
      <c r="AU541" s="367"/>
    </row>
    <row r="542" spans="1:47" ht="12.75">
      <c r="A542" s="367"/>
      <c r="B542" s="367"/>
      <c r="C542" s="367"/>
      <c r="D542" s="367"/>
      <c r="E542" s="367"/>
      <c r="F542" s="367"/>
      <c r="G542" s="367"/>
      <c r="H542" s="367"/>
      <c r="I542" s="367"/>
      <c r="J542" s="367"/>
      <c r="K542" s="367"/>
      <c r="L542" s="367"/>
      <c r="M542" s="367"/>
      <c r="N542" s="367"/>
      <c r="O542" s="367"/>
      <c r="P542" s="364"/>
      <c r="Q542" s="365"/>
      <c r="R542" s="365"/>
      <c r="S542" s="365"/>
      <c r="T542" s="365"/>
      <c r="U542" s="366"/>
      <c r="V542" s="367"/>
      <c r="W542" s="367"/>
      <c r="X542" s="367"/>
      <c r="Y542" s="367"/>
      <c r="Z542" s="367"/>
      <c r="AA542" s="367"/>
      <c r="AB542" s="367"/>
      <c r="AC542" s="367"/>
      <c r="AD542" s="367"/>
      <c r="AE542" s="367"/>
      <c r="AF542" s="367"/>
      <c r="AG542" s="367"/>
      <c r="AH542" s="367"/>
      <c r="AI542" s="367"/>
      <c r="AJ542" s="367"/>
      <c r="AK542" s="367"/>
      <c r="AL542" s="367"/>
      <c r="AM542" s="367"/>
      <c r="AN542" s="367"/>
      <c r="AO542" s="367"/>
      <c r="AP542" s="367"/>
      <c r="AQ542" s="367"/>
      <c r="AR542" s="367"/>
      <c r="AS542" s="367"/>
      <c r="AT542" s="368"/>
      <c r="AU542" s="367"/>
    </row>
    <row r="543" spans="1:47" ht="12.75">
      <c r="A543" s="367"/>
      <c r="B543" s="367"/>
      <c r="C543" s="367"/>
      <c r="D543" s="367"/>
      <c r="E543" s="367"/>
      <c r="F543" s="367"/>
      <c r="G543" s="367"/>
      <c r="H543" s="367"/>
      <c r="I543" s="367"/>
      <c r="J543" s="367"/>
      <c r="K543" s="367"/>
      <c r="L543" s="367"/>
      <c r="M543" s="367"/>
      <c r="N543" s="367"/>
      <c r="O543" s="367"/>
      <c r="P543" s="364"/>
      <c r="Q543" s="365"/>
      <c r="R543" s="365"/>
      <c r="S543" s="365"/>
      <c r="T543" s="365"/>
      <c r="U543" s="366"/>
      <c r="V543" s="367"/>
      <c r="W543" s="367"/>
      <c r="X543" s="367"/>
      <c r="Y543" s="367"/>
      <c r="Z543" s="367"/>
      <c r="AA543" s="367"/>
      <c r="AB543" s="367"/>
      <c r="AC543" s="367"/>
      <c r="AD543" s="367"/>
      <c r="AE543" s="367"/>
      <c r="AF543" s="367"/>
      <c r="AG543" s="367"/>
      <c r="AH543" s="367"/>
      <c r="AI543" s="367"/>
      <c r="AJ543" s="367"/>
      <c r="AK543" s="367"/>
      <c r="AL543" s="367"/>
      <c r="AM543" s="367"/>
      <c r="AN543" s="367"/>
      <c r="AO543" s="367"/>
      <c r="AP543" s="367"/>
      <c r="AQ543" s="367"/>
      <c r="AR543" s="367"/>
      <c r="AS543" s="367"/>
      <c r="AT543" s="368"/>
      <c r="AU543" s="367"/>
    </row>
    <row r="544" spans="1:47" ht="12.75">
      <c r="A544" s="367"/>
      <c r="B544" s="367"/>
      <c r="C544" s="367"/>
      <c r="D544" s="367"/>
      <c r="E544" s="367"/>
      <c r="F544" s="367"/>
      <c r="G544" s="367"/>
      <c r="H544" s="367"/>
      <c r="I544" s="367"/>
      <c r="J544" s="367"/>
      <c r="K544" s="367"/>
      <c r="L544" s="367"/>
      <c r="M544" s="367"/>
      <c r="N544" s="367"/>
      <c r="O544" s="367"/>
      <c r="P544" s="364"/>
      <c r="Q544" s="365"/>
      <c r="R544" s="365"/>
      <c r="S544" s="365"/>
      <c r="T544" s="365"/>
      <c r="U544" s="366"/>
      <c r="V544" s="367"/>
      <c r="W544" s="367"/>
      <c r="X544" s="367"/>
      <c r="Y544" s="367"/>
      <c r="Z544" s="367"/>
      <c r="AA544" s="367"/>
      <c r="AB544" s="367"/>
      <c r="AC544" s="367"/>
      <c r="AD544" s="367"/>
      <c r="AE544" s="367"/>
      <c r="AF544" s="367"/>
      <c r="AG544" s="367"/>
      <c r="AH544" s="367"/>
      <c r="AI544" s="367"/>
      <c r="AJ544" s="367"/>
      <c r="AK544" s="367"/>
      <c r="AL544" s="367"/>
      <c r="AM544" s="367"/>
      <c r="AN544" s="367"/>
      <c r="AO544" s="367"/>
      <c r="AP544" s="367"/>
      <c r="AQ544" s="367"/>
      <c r="AR544" s="367"/>
      <c r="AS544" s="367"/>
      <c r="AT544" s="368"/>
      <c r="AU544" s="367"/>
    </row>
    <row r="545" spans="1:47" ht="12.75">
      <c r="A545" s="367"/>
      <c r="B545" s="367"/>
      <c r="C545" s="367"/>
      <c r="D545" s="367"/>
      <c r="E545" s="367"/>
      <c r="F545" s="367"/>
      <c r="G545" s="367"/>
      <c r="H545" s="367"/>
      <c r="I545" s="367"/>
      <c r="J545" s="367"/>
      <c r="K545" s="367"/>
      <c r="L545" s="367"/>
      <c r="M545" s="367"/>
      <c r="N545" s="367"/>
      <c r="O545" s="367"/>
      <c r="P545" s="364"/>
      <c r="Q545" s="365"/>
      <c r="R545" s="365"/>
      <c r="S545" s="365"/>
      <c r="T545" s="365"/>
      <c r="U545" s="366"/>
      <c r="V545" s="367"/>
      <c r="W545" s="367"/>
      <c r="X545" s="367"/>
      <c r="Y545" s="367"/>
      <c r="Z545" s="367"/>
      <c r="AA545" s="367"/>
      <c r="AB545" s="367"/>
      <c r="AC545" s="367"/>
      <c r="AD545" s="367"/>
      <c r="AE545" s="367"/>
      <c r="AF545" s="367"/>
      <c r="AG545" s="367"/>
      <c r="AH545" s="367"/>
      <c r="AI545" s="367"/>
      <c r="AJ545" s="367"/>
      <c r="AK545" s="367"/>
      <c r="AL545" s="367"/>
      <c r="AM545" s="367"/>
      <c r="AN545" s="367"/>
      <c r="AO545" s="367"/>
      <c r="AP545" s="367"/>
      <c r="AQ545" s="367"/>
      <c r="AR545" s="367"/>
      <c r="AS545" s="367"/>
      <c r="AT545" s="368"/>
      <c r="AU545" s="367"/>
    </row>
    <row r="546" spans="1:47" ht="12.75">
      <c r="A546" s="367"/>
      <c r="B546" s="367"/>
      <c r="C546" s="367"/>
      <c r="D546" s="367"/>
      <c r="E546" s="367"/>
      <c r="F546" s="367"/>
      <c r="G546" s="367"/>
      <c r="H546" s="367"/>
      <c r="I546" s="367"/>
      <c r="J546" s="367"/>
      <c r="K546" s="367"/>
      <c r="L546" s="367"/>
      <c r="M546" s="367"/>
      <c r="N546" s="367"/>
      <c r="O546" s="367"/>
      <c r="P546" s="364"/>
      <c r="Q546" s="365"/>
      <c r="R546" s="365"/>
      <c r="S546" s="365"/>
      <c r="T546" s="365"/>
      <c r="U546" s="366"/>
      <c r="V546" s="367"/>
      <c r="W546" s="367"/>
      <c r="X546" s="367"/>
      <c r="Y546" s="367"/>
      <c r="Z546" s="367"/>
      <c r="AA546" s="367"/>
      <c r="AB546" s="367"/>
      <c r="AC546" s="367"/>
      <c r="AD546" s="367"/>
      <c r="AE546" s="367"/>
      <c r="AF546" s="367"/>
      <c r="AG546" s="367"/>
      <c r="AH546" s="367"/>
      <c r="AI546" s="367"/>
      <c r="AJ546" s="367"/>
      <c r="AK546" s="367"/>
      <c r="AL546" s="367"/>
      <c r="AM546" s="367"/>
      <c r="AN546" s="367"/>
      <c r="AO546" s="367"/>
      <c r="AP546" s="367"/>
      <c r="AQ546" s="367"/>
      <c r="AR546" s="367"/>
      <c r="AS546" s="367"/>
      <c r="AT546" s="368"/>
      <c r="AU546" s="367"/>
    </row>
    <row r="547" spans="1:47" ht="12.75">
      <c r="A547" s="367"/>
      <c r="B547" s="367"/>
      <c r="C547" s="367"/>
      <c r="D547" s="367"/>
      <c r="E547" s="367"/>
      <c r="F547" s="367"/>
      <c r="G547" s="367"/>
      <c r="H547" s="367"/>
      <c r="I547" s="367"/>
      <c r="J547" s="367"/>
      <c r="K547" s="367"/>
      <c r="L547" s="367"/>
      <c r="M547" s="367"/>
      <c r="N547" s="367"/>
      <c r="O547" s="367"/>
      <c r="P547" s="364"/>
      <c r="Q547" s="365"/>
      <c r="R547" s="365"/>
      <c r="S547" s="365"/>
      <c r="T547" s="365"/>
      <c r="U547" s="366"/>
      <c r="V547" s="367"/>
      <c r="W547" s="367"/>
      <c r="X547" s="367"/>
      <c r="Y547" s="367"/>
      <c r="Z547" s="367"/>
      <c r="AA547" s="367"/>
      <c r="AB547" s="367"/>
      <c r="AC547" s="367"/>
      <c r="AD547" s="367"/>
      <c r="AE547" s="367"/>
      <c r="AF547" s="367"/>
      <c r="AG547" s="367"/>
      <c r="AH547" s="367"/>
      <c r="AI547" s="367"/>
      <c r="AJ547" s="367"/>
      <c r="AK547" s="367"/>
      <c r="AL547" s="367"/>
      <c r="AM547" s="367"/>
      <c r="AN547" s="367"/>
      <c r="AO547" s="367"/>
      <c r="AP547" s="367"/>
      <c r="AQ547" s="367"/>
      <c r="AR547" s="367"/>
      <c r="AS547" s="367"/>
      <c r="AT547" s="368"/>
      <c r="AU547" s="367"/>
    </row>
    <row r="548" spans="1:47" ht="12.75">
      <c r="A548" s="367"/>
      <c r="B548" s="367"/>
      <c r="C548" s="367"/>
      <c r="D548" s="367"/>
      <c r="E548" s="367"/>
      <c r="F548" s="367"/>
      <c r="G548" s="367"/>
      <c r="H548" s="367"/>
      <c r="I548" s="367"/>
      <c r="J548" s="367"/>
      <c r="K548" s="367"/>
      <c r="L548" s="367"/>
      <c r="M548" s="367"/>
      <c r="N548" s="367"/>
      <c r="O548" s="367"/>
      <c r="P548" s="364"/>
      <c r="Q548" s="365"/>
      <c r="R548" s="365"/>
      <c r="S548" s="365"/>
      <c r="T548" s="365"/>
      <c r="U548" s="366"/>
      <c r="V548" s="367"/>
      <c r="W548" s="367"/>
      <c r="X548" s="367"/>
      <c r="Y548" s="367"/>
      <c r="Z548" s="367"/>
      <c r="AA548" s="367"/>
      <c r="AB548" s="367"/>
      <c r="AC548" s="367"/>
      <c r="AD548" s="367"/>
      <c r="AE548" s="367"/>
      <c r="AF548" s="367"/>
      <c r="AG548" s="367"/>
      <c r="AH548" s="367"/>
      <c r="AI548" s="367"/>
      <c r="AJ548" s="367"/>
      <c r="AK548" s="367"/>
      <c r="AL548" s="367"/>
      <c r="AM548" s="367"/>
      <c r="AN548" s="367"/>
      <c r="AO548" s="367"/>
      <c r="AP548" s="367"/>
      <c r="AQ548" s="367"/>
      <c r="AR548" s="367"/>
      <c r="AS548" s="367"/>
      <c r="AT548" s="368"/>
      <c r="AU548" s="367"/>
    </row>
    <row r="549" spans="1:47" ht="12.75">
      <c r="A549" s="367"/>
      <c r="B549" s="367"/>
      <c r="C549" s="367"/>
      <c r="D549" s="367"/>
      <c r="E549" s="367"/>
      <c r="F549" s="367"/>
      <c r="G549" s="367"/>
      <c r="H549" s="367"/>
      <c r="I549" s="367"/>
      <c r="J549" s="367"/>
      <c r="K549" s="367"/>
      <c r="L549" s="367"/>
      <c r="M549" s="367"/>
      <c r="N549" s="367"/>
      <c r="O549" s="367"/>
      <c r="P549" s="364"/>
      <c r="Q549" s="365"/>
      <c r="R549" s="365"/>
      <c r="S549" s="365"/>
      <c r="T549" s="365"/>
      <c r="U549" s="366"/>
      <c r="V549" s="367"/>
      <c r="W549" s="367"/>
      <c r="X549" s="367"/>
      <c r="Y549" s="367"/>
      <c r="Z549" s="367"/>
      <c r="AA549" s="367"/>
      <c r="AB549" s="367"/>
      <c r="AC549" s="367"/>
      <c r="AD549" s="367"/>
      <c r="AE549" s="367"/>
      <c r="AF549" s="367"/>
      <c r="AG549" s="367"/>
      <c r="AH549" s="367"/>
      <c r="AI549" s="367"/>
      <c r="AJ549" s="367"/>
      <c r="AK549" s="367"/>
      <c r="AL549" s="367"/>
      <c r="AM549" s="367"/>
      <c r="AN549" s="367"/>
      <c r="AO549" s="367"/>
      <c r="AP549" s="367"/>
      <c r="AQ549" s="367"/>
      <c r="AR549" s="367"/>
      <c r="AS549" s="367"/>
      <c r="AT549" s="368"/>
      <c r="AU549" s="367"/>
    </row>
    <row r="550" spans="1:47" ht="12.75">
      <c r="A550" s="367"/>
      <c r="B550" s="367"/>
      <c r="C550" s="367"/>
      <c r="D550" s="367"/>
      <c r="E550" s="367"/>
      <c r="F550" s="367"/>
      <c r="G550" s="367"/>
      <c r="H550" s="367"/>
      <c r="I550" s="367"/>
      <c r="J550" s="367"/>
      <c r="K550" s="367"/>
      <c r="L550" s="367"/>
      <c r="M550" s="367"/>
      <c r="N550" s="367"/>
      <c r="O550" s="367"/>
      <c r="P550" s="364"/>
      <c r="Q550" s="365"/>
      <c r="R550" s="365"/>
      <c r="S550" s="365"/>
      <c r="T550" s="365"/>
      <c r="U550" s="366"/>
      <c r="V550" s="367"/>
      <c r="W550" s="367"/>
      <c r="X550" s="367"/>
      <c r="Y550" s="367"/>
      <c r="Z550" s="367"/>
      <c r="AA550" s="367"/>
      <c r="AB550" s="367"/>
      <c r="AC550" s="367"/>
      <c r="AD550" s="367"/>
      <c r="AE550" s="367"/>
      <c r="AF550" s="367"/>
      <c r="AG550" s="367"/>
      <c r="AH550" s="367"/>
      <c r="AI550" s="367"/>
      <c r="AJ550" s="367"/>
      <c r="AK550" s="367"/>
      <c r="AL550" s="367"/>
      <c r="AM550" s="367"/>
      <c r="AN550" s="367"/>
      <c r="AO550" s="367"/>
      <c r="AP550" s="367"/>
      <c r="AQ550" s="367"/>
      <c r="AR550" s="367"/>
      <c r="AS550" s="367"/>
      <c r="AT550" s="368"/>
      <c r="AU550" s="367"/>
    </row>
    <row r="551" spans="1:47" ht="12.75">
      <c r="A551" s="367"/>
      <c r="B551" s="367"/>
      <c r="C551" s="367"/>
      <c r="D551" s="367"/>
      <c r="E551" s="367"/>
      <c r="F551" s="367"/>
      <c r="G551" s="367"/>
      <c r="H551" s="367"/>
      <c r="I551" s="367"/>
      <c r="J551" s="367"/>
      <c r="K551" s="367"/>
      <c r="L551" s="367"/>
      <c r="M551" s="367"/>
      <c r="N551" s="367"/>
      <c r="O551" s="367"/>
      <c r="P551" s="364"/>
      <c r="Q551" s="365"/>
      <c r="R551" s="365"/>
      <c r="S551" s="365"/>
      <c r="T551" s="365"/>
      <c r="U551" s="366"/>
      <c r="V551" s="367"/>
      <c r="W551" s="367"/>
      <c r="X551" s="367"/>
      <c r="Y551" s="367"/>
      <c r="Z551" s="367"/>
      <c r="AA551" s="367"/>
      <c r="AB551" s="367"/>
      <c r="AC551" s="367"/>
      <c r="AD551" s="367"/>
      <c r="AE551" s="367"/>
      <c r="AF551" s="367"/>
      <c r="AG551" s="367"/>
      <c r="AH551" s="367"/>
      <c r="AI551" s="367"/>
      <c r="AJ551" s="367"/>
      <c r="AK551" s="367"/>
      <c r="AL551" s="367"/>
      <c r="AM551" s="367"/>
      <c r="AN551" s="367"/>
      <c r="AO551" s="367"/>
      <c r="AP551" s="367"/>
      <c r="AQ551" s="367"/>
      <c r="AR551" s="367"/>
      <c r="AS551" s="367"/>
      <c r="AT551" s="368"/>
      <c r="AU551" s="367"/>
    </row>
    <row r="552" spans="1:47" ht="12.75">
      <c r="A552" s="367"/>
      <c r="B552" s="367"/>
      <c r="C552" s="367"/>
      <c r="D552" s="367"/>
      <c r="E552" s="367"/>
      <c r="F552" s="367"/>
      <c r="G552" s="367"/>
      <c r="H552" s="367"/>
      <c r="I552" s="367"/>
      <c r="J552" s="367"/>
      <c r="K552" s="367"/>
      <c r="L552" s="367"/>
      <c r="M552" s="367"/>
      <c r="N552" s="367"/>
      <c r="O552" s="367"/>
      <c r="P552" s="364"/>
      <c r="Q552" s="365"/>
      <c r="R552" s="365"/>
      <c r="S552" s="365"/>
      <c r="T552" s="365"/>
      <c r="U552" s="366"/>
      <c r="V552" s="367"/>
      <c r="W552" s="367"/>
      <c r="X552" s="367"/>
      <c r="Y552" s="367"/>
      <c r="Z552" s="367"/>
      <c r="AA552" s="367"/>
      <c r="AB552" s="367"/>
      <c r="AC552" s="367"/>
      <c r="AD552" s="367"/>
      <c r="AE552" s="367"/>
      <c r="AF552" s="367"/>
      <c r="AG552" s="367"/>
      <c r="AH552" s="367"/>
      <c r="AI552" s="367"/>
      <c r="AJ552" s="367"/>
      <c r="AK552" s="367"/>
      <c r="AL552" s="367"/>
      <c r="AM552" s="367"/>
      <c r="AN552" s="367"/>
      <c r="AO552" s="367"/>
      <c r="AP552" s="367"/>
      <c r="AQ552" s="367"/>
      <c r="AR552" s="367"/>
      <c r="AS552" s="367"/>
      <c r="AT552" s="368"/>
      <c r="AU552" s="367"/>
    </row>
    <row r="553" spans="1:47" ht="12.75">
      <c r="A553" s="367"/>
      <c r="B553" s="367"/>
      <c r="C553" s="367"/>
      <c r="D553" s="367"/>
      <c r="E553" s="367"/>
      <c r="F553" s="367"/>
      <c r="G553" s="367"/>
      <c r="H553" s="367"/>
      <c r="I553" s="367"/>
      <c r="J553" s="367"/>
      <c r="K553" s="367"/>
      <c r="L553" s="367"/>
      <c r="M553" s="367"/>
      <c r="N553" s="367"/>
      <c r="O553" s="367"/>
      <c r="P553" s="364"/>
      <c r="Q553" s="365"/>
      <c r="R553" s="365"/>
      <c r="S553" s="365"/>
      <c r="T553" s="365"/>
      <c r="U553" s="366"/>
      <c r="V553" s="367"/>
      <c r="W553" s="367"/>
      <c r="X553" s="367"/>
      <c r="Y553" s="367"/>
      <c r="Z553" s="367"/>
      <c r="AA553" s="367"/>
      <c r="AB553" s="367"/>
      <c r="AC553" s="367"/>
      <c r="AD553" s="367"/>
      <c r="AE553" s="367"/>
      <c r="AF553" s="367"/>
      <c r="AG553" s="367"/>
      <c r="AH553" s="367"/>
      <c r="AI553" s="367"/>
      <c r="AJ553" s="367"/>
      <c r="AK553" s="367"/>
      <c r="AL553" s="367"/>
      <c r="AM553" s="367"/>
      <c r="AN553" s="367"/>
      <c r="AO553" s="367"/>
      <c r="AP553" s="367"/>
      <c r="AQ553" s="367"/>
      <c r="AR553" s="367"/>
      <c r="AS553" s="367"/>
      <c r="AT553" s="368"/>
      <c r="AU553" s="367"/>
    </row>
    <row r="554" spans="1:47" ht="12.75">
      <c r="A554" s="367"/>
      <c r="B554" s="367"/>
      <c r="C554" s="367"/>
      <c r="D554" s="367"/>
      <c r="E554" s="367"/>
      <c r="F554" s="367"/>
      <c r="G554" s="367"/>
      <c r="H554" s="367"/>
      <c r="I554" s="367"/>
      <c r="J554" s="367"/>
      <c r="K554" s="367"/>
      <c r="L554" s="367"/>
      <c r="M554" s="367"/>
      <c r="N554" s="367"/>
      <c r="O554" s="367"/>
      <c r="P554" s="364"/>
      <c r="Q554" s="365"/>
      <c r="R554" s="365"/>
      <c r="S554" s="365"/>
      <c r="T554" s="365"/>
      <c r="U554" s="366"/>
      <c r="V554" s="367"/>
      <c r="W554" s="367"/>
      <c r="X554" s="367"/>
      <c r="Y554" s="367"/>
      <c r="Z554" s="367"/>
      <c r="AA554" s="367"/>
      <c r="AB554" s="367"/>
      <c r="AC554" s="367"/>
      <c r="AD554" s="367"/>
      <c r="AE554" s="367"/>
      <c r="AF554" s="367"/>
      <c r="AG554" s="367"/>
      <c r="AH554" s="367"/>
      <c r="AI554" s="367"/>
      <c r="AJ554" s="367"/>
      <c r="AK554" s="367"/>
      <c r="AL554" s="367"/>
      <c r="AM554" s="367"/>
      <c r="AN554" s="367"/>
      <c r="AO554" s="367"/>
      <c r="AP554" s="367"/>
      <c r="AQ554" s="367"/>
      <c r="AR554" s="367"/>
      <c r="AS554" s="367"/>
      <c r="AT554" s="368"/>
      <c r="AU554" s="367"/>
    </row>
    <row r="555" spans="1:47" ht="12.75">
      <c r="A555" s="367"/>
      <c r="B555" s="367"/>
      <c r="C555" s="367"/>
      <c r="D555" s="367"/>
      <c r="E555" s="367"/>
      <c r="F555" s="367"/>
      <c r="G555" s="367"/>
      <c r="H555" s="367"/>
      <c r="I555" s="367"/>
      <c r="J555" s="367"/>
      <c r="K555" s="367"/>
      <c r="L555" s="367"/>
      <c r="M555" s="367"/>
      <c r="N555" s="367"/>
      <c r="O555" s="367"/>
      <c r="P555" s="364"/>
      <c r="Q555" s="365"/>
      <c r="R555" s="365"/>
      <c r="S555" s="365"/>
      <c r="T555" s="365"/>
      <c r="U555" s="366"/>
      <c r="V555" s="367"/>
      <c r="W555" s="367"/>
      <c r="X555" s="367"/>
      <c r="Y555" s="367"/>
      <c r="Z555" s="367"/>
      <c r="AA555" s="367"/>
      <c r="AB555" s="367"/>
      <c r="AC555" s="367"/>
      <c r="AD555" s="367"/>
      <c r="AE555" s="367"/>
      <c r="AF555" s="367"/>
      <c r="AG555" s="367"/>
      <c r="AH555" s="367"/>
      <c r="AI555" s="367"/>
      <c r="AJ555" s="367"/>
      <c r="AK555" s="367"/>
      <c r="AL555" s="367"/>
      <c r="AM555" s="367"/>
      <c r="AN555" s="367"/>
      <c r="AO555" s="367"/>
      <c r="AP555" s="367"/>
      <c r="AQ555" s="367"/>
      <c r="AR555" s="367"/>
      <c r="AS555" s="367"/>
      <c r="AT555" s="368"/>
      <c r="AU555" s="367"/>
    </row>
    <row r="556" spans="1:47" ht="12.75">
      <c r="A556" s="367"/>
      <c r="B556" s="367"/>
      <c r="C556" s="367"/>
      <c r="D556" s="367"/>
      <c r="E556" s="367"/>
      <c r="F556" s="367"/>
      <c r="G556" s="367"/>
      <c r="H556" s="367"/>
      <c r="I556" s="367"/>
      <c r="J556" s="367"/>
      <c r="K556" s="367"/>
      <c r="L556" s="367"/>
      <c r="M556" s="367"/>
      <c r="N556" s="367"/>
      <c r="O556" s="367"/>
      <c r="P556" s="364"/>
      <c r="Q556" s="365"/>
      <c r="R556" s="365"/>
      <c r="S556" s="365"/>
      <c r="T556" s="365"/>
      <c r="U556" s="366"/>
      <c r="V556" s="367"/>
      <c r="W556" s="367"/>
      <c r="X556" s="367"/>
      <c r="Y556" s="367"/>
      <c r="Z556" s="367"/>
      <c r="AA556" s="367"/>
      <c r="AB556" s="367"/>
      <c r="AC556" s="367"/>
      <c r="AD556" s="367"/>
      <c r="AE556" s="367"/>
      <c r="AF556" s="367"/>
      <c r="AG556" s="367"/>
      <c r="AH556" s="367"/>
      <c r="AI556" s="367"/>
      <c r="AJ556" s="367"/>
      <c r="AK556" s="367"/>
      <c r="AL556" s="367"/>
      <c r="AM556" s="367"/>
      <c r="AN556" s="367"/>
      <c r="AO556" s="367"/>
      <c r="AP556" s="367"/>
      <c r="AQ556" s="367"/>
      <c r="AR556" s="367"/>
      <c r="AS556" s="367"/>
      <c r="AT556" s="368"/>
      <c r="AU556" s="367"/>
    </row>
    <row r="557" spans="1:47" ht="12.75">
      <c r="A557" s="367"/>
      <c r="B557" s="367"/>
      <c r="C557" s="367"/>
      <c r="D557" s="367"/>
      <c r="E557" s="367"/>
      <c r="F557" s="367"/>
      <c r="G557" s="367"/>
      <c r="H557" s="367"/>
      <c r="I557" s="367"/>
      <c r="J557" s="367"/>
      <c r="K557" s="367"/>
      <c r="L557" s="367"/>
      <c r="M557" s="367"/>
      <c r="N557" s="367"/>
      <c r="O557" s="367"/>
      <c r="P557" s="364"/>
      <c r="Q557" s="365"/>
      <c r="R557" s="365"/>
      <c r="S557" s="365"/>
      <c r="T557" s="365"/>
      <c r="U557" s="366"/>
      <c r="V557" s="367"/>
      <c r="W557" s="367"/>
      <c r="X557" s="367"/>
      <c r="Y557" s="367"/>
      <c r="Z557" s="367"/>
      <c r="AA557" s="367"/>
      <c r="AB557" s="367"/>
      <c r="AC557" s="367"/>
      <c r="AD557" s="367"/>
      <c r="AE557" s="367"/>
      <c r="AF557" s="367"/>
      <c r="AG557" s="367"/>
      <c r="AH557" s="367"/>
      <c r="AI557" s="367"/>
      <c r="AJ557" s="367"/>
      <c r="AK557" s="367"/>
      <c r="AL557" s="367"/>
      <c r="AM557" s="367"/>
      <c r="AN557" s="367"/>
      <c r="AO557" s="367"/>
      <c r="AP557" s="367"/>
      <c r="AQ557" s="367"/>
      <c r="AR557" s="367"/>
      <c r="AS557" s="367"/>
      <c r="AT557" s="368"/>
      <c r="AU557" s="367"/>
    </row>
    <row r="558" spans="1:47" ht="12.75">
      <c r="A558" s="367"/>
      <c r="B558" s="367"/>
      <c r="C558" s="367"/>
      <c r="D558" s="367"/>
      <c r="E558" s="367"/>
      <c r="F558" s="367"/>
      <c r="G558" s="367"/>
      <c r="H558" s="367"/>
      <c r="I558" s="367"/>
      <c r="J558" s="367"/>
      <c r="K558" s="367"/>
      <c r="L558" s="367"/>
      <c r="M558" s="367"/>
      <c r="N558" s="367"/>
      <c r="O558" s="367"/>
      <c r="P558" s="364"/>
      <c r="Q558" s="365"/>
      <c r="R558" s="365"/>
      <c r="S558" s="365"/>
      <c r="T558" s="365"/>
      <c r="U558" s="366"/>
      <c r="V558" s="367"/>
      <c r="W558" s="367"/>
      <c r="X558" s="367"/>
      <c r="Y558" s="367"/>
      <c r="Z558" s="367"/>
      <c r="AA558" s="367"/>
      <c r="AB558" s="367"/>
      <c r="AC558" s="367"/>
      <c r="AD558" s="367"/>
      <c r="AE558" s="367"/>
      <c r="AF558" s="367"/>
      <c r="AG558" s="367"/>
      <c r="AH558" s="367"/>
      <c r="AI558" s="367"/>
      <c r="AJ558" s="367"/>
      <c r="AK558" s="367"/>
      <c r="AL558" s="367"/>
      <c r="AM558" s="367"/>
      <c r="AN558" s="367"/>
      <c r="AO558" s="367"/>
      <c r="AP558" s="367"/>
      <c r="AQ558" s="367"/>
      <c r="AR558" s="367"/>
      <c r="AS558" s="367"/>
      <c r="AT558" s="368"/>
      <c r="AU558" s="367"/>
    </row>
    <row r="559" spans="1:47" ht="12.75">
      <c r="A559" s="367"/>
      <c r="B559" s="367"/>
      <c r="C559" s="367"/>
      <c r="D559" s="367"/>
      <c r="E559" s="367"/>
      <c r="F559" s="367"/>
      <c r="G559" s="367"/>
      <c r="H559" s="367"/>
      <c r="I559" s="367"/>
      <c r="J559" s="367"/>
      <c r="K559" s="367"/>
      <c r="L559" s="367"/>
      <c r="M559" s="367"/>
      <c r="N559" s="367"/>
      <c r="O559" s="367"/>
      <c r="P559" s="364"/>
      <c r="Q559" s="365"/>
      <c r="R559" s="365"/>
      <c r="S559" s="365"/>
      <c r="T559" s="365"/>
      <c r="U559" s="366"/>
      <c r="V559" s="367"/>
      <c r="W559" s="367"/>
      <c r="X559" s="367"/>
      <c r="Y559" s="367"/>
      <c r="Z559" s="367"/>
      <c r="AA559" s="367"/>
      <c r="AB559" s="367"/>
      <c r="AC559" s="367"/>
      <c r="AD559" s="367"/>
      <c r="AE559" s="367"/>
      <c r="AF559" s="367"/>
      <c r="AG559" s="367"/>
      <c r="AH559" s="367"/>
      <c r="AI559" s="367"/>
      <c r="AJ559" s="367"/>
      <c r="AK559" s="367"/>
      <c r="AL559" s="367"/>
      <c r="AM559" s="367"/>
      <c r="AN559" s="367"/>
      <c r="AO559" s="367"/>
      <c r="AP559" s="367"/>
      <c r="AQ559" s="367"/>
      <c r="AR559" s="367"/>
      <c r="AS559" s="367"/>
      <c r="AT559" s="368"/>
      <c r="AU559" s="367"/>
    </row>
    <row r="560" spans="1:47" ht="12.75">
      <c r="A560" s="367"/>
      <c r="B560" s="367"/>
      <c r="C560" s="367"/>
      <c r="D560" s="367"/>
      <c r="E560" s="367"/>
      <c r="F560" s="367"/>
      <c r="G560" s="367"/>
      <c r="H560" s="367"/>
      <c r="I560" s="367"/>
      <c r="J560" s="367"/>
      <c r="K560" s="367"/>
      <c r="L560" s="367"/>
      <c r="M560" s="367"/>
      <c r="N560" s="367"/>
      <c r="O560" s="367"/>
      <c r="P560" s="364"/>
      <c r="Q560" s="365"/>
      <c r="R560" s="365"/>
      <c r="S560" s="365"/>
      <c r="T560" s="365"/>
      <c r="U560" s="366"/>
      <c r="V560" s="367"/>
      <c r="W560" s="367"/>
      <c r="X560" s="367"/>
      <c r="Y560" s="367"/>
      <c r="Z560" s="367"/>
      <c r="AA560" s="367"/>
      <c r="AB560" s="367"/>
      <c r="AC560" s="367"/>
      <c r="AD560" s="367"/>
      <c r="AE560" s="367"/>
      <c r="AF560" s="367"/>
      <c r="AG560" s="367"/>
      <c r="AH560" s="367"/>
      <c r="AI560" s="367"/>
      <c r="AJ560" s="367"/>
      <c r="AK560" s="367"/>
      <c r="AL560" s="367"/>
      <c r="AM560" s="367"/>
      <c r="AN560" s="367"/>
      <c r="AO560" s="367"/>
      <c r="AP560" s="367"/>
      <c r="AQ560" s="367"/>
      <c r="AR560" s="367"/>
      <c r="AS560" s="367"/>
      <c r="AT560" s="368"/>
      <c r="AU560" s="367"/>
    </row>
    <row r="561" spans="1:47" ht="12.75">
      <c r="A561" s="367"/>
      <c r="B561" s="367"/>
      <c r="C561" s="367"/>
      <c r="D561" s="367"/>
      <c r="E561" s="367"/>
      <c r="F561" s="367"/>
      <c r="G561" s="367"/>
      <c r="H561" s="367"/>
      <c r="I561" s="367"/>
      <c r="J561" s="367"/>
      <c r="K561" s="367"/>
      <c r="L561" s="367"/>
      <c r="M561" s="367"/>
      <c r="N561" s="367"/>
      <c r="O561" s="367"/>
      <c r="P561" s="364"/>
      <c r="Q561" s="365"/>
      <c r="R561" s="365"/>
      <c r="S561" s="365"/>
      <c r="T561" s="365"/>
      <c r="U561" s="366"/>
      <c r="V561" s="367"/>
      <c r="W561" s="367"/>
      <c r="X561" s="367"/>
      <c r="Y561" s="367"/>
      <c r="Z561" s="367"/>
      <c r="AA561" s="367"/>
      <c r="AB561" s="367"/>
      <c r="AC561" s="367"/>
      <c r="AD561" s="367"/>
      <c r="AE561" s="367"/>
      <c r="AF561" s="367"/>
      <c r="AG561" s="367"/>
      <c r="AH561" s="367"/>
      <c r="AI561" s="367"/>
      <c r="AJ561" s="367"/>
      <c r="AK561" s="367"/>
      <c r="AL561" s="367"/>
      <c r="AM561" s="367"/>
      <c r="AN561" s="367"/>
      <c r="AO561" s="367"/>
      <c r="AP561" s="367"/>
      <c r="AQ561" s="367"/>
      <c r="AR561" s="367"/>
      <c r="AS561" s="367"/>
      <c r="AT561" s="368"/>
      <c r="AU561" s="367"/>
    </row>
    <row r="562" spans="1:47" ht="12.75">
      <c r="A562" s="367"/>
      <c r="B562" s="367"/>
      <c r="C562" s="367"/>
      <c r="D562" s="367"/>
      <c r="E562" s="367"/>
      <c r="F562" s="367"/>
      <c r="G562" s="367"/>
      <c r="H562" s="367"/>
      <c r="I562" s="367"/>
      <c r="J562" s="367"/>
      <c r="K562" s="367"/>
      <c r="L562" s="367"/>
      <c r="M562" s="367"/>
      <c r="N562" s="367"/>
      <c r="O562" s="367"/>
      <c r="P562" s="364"/>
      <c r="Q562" s="365"/>
      <c r="R562" s="365"/>
      <c r="S562" s="365"/>
      <c r="T562" s="365"/>
      <c r="U562" s="366"/>
      <c r="V562" s="367"/>
      <c r="W562" s="367"/>
      <c r="X562" s="367"/>
      <c r="Y562" s="367"/>
      <c r="Z562" s="367"/>
      <c r="AA562" s="367"/>
      <c r="AB562" s="367"/>
      <c r="AC562" s="367"/>
      <c r="AD562" s="367"/>
      <c r="AE562" s="367"/>
      <c r="AF562" s="367"/>
      <c r="AG562" s="367"/>
      <c r="AH562" s="367"/>
      <c r="AI562" s="367"/>
      <c r="AJ562" s="367"/>
      <c r="AK562" s="367"/>
      <c r="AL562" s="367"/>
      <c r="AM562" s="367"/>
      <c r="AN562" s="367"/>
      <c r="AO562" s="367"/>
      <c r="AP562" s="367"/>
      <c r="AQ562" s="367"/>
      <c r="AR562" s="367"/>
      <c r="AS562" s="367"/>
      <c r="AT562" s="368"/>
      <c r="AU562" s="367"/>
    </row>
    <row r="563" spans="1:47" ht="12.75">
      <c r="A563" s="367"/>
      <c r="B563" s="367"/>
      <c r="C563" s="367"/>
      <c r="D563" s="367"/>
      <c r="E563" s="367"/>
      <c r="F563" s="367"/>
      <c r="G563" s="367"/>
      <c r="H563" s="367"/>
      <c r="I563" s="367"/>
      <c r="J563" s="367"/>
      <c r="K563" s="367"/>
      <c r="L563" s="367"/>
      <c r="M563" s="367"/>
      <c r="N563" s="367"/>
      <c r="O563" s="367"/>
      <c r="P563" s="364"/>
      <c r="Q563" s="365"/>
      <c r="R563" s="365"/>
      <c r="S563" s="365"/>
      <c r="T563" s="365"/>
      <c r="U563" s="366"/>
      <c r="V563" s="367"/>
      <c r="W563" s="367"/>
      <c r="X563" s="367"/>
      <c r="Y563" s="367"/>
      <c r="Z563" s="367"/>
      <c r="AA563" s="367"/>
      <c r="AB563" s="367"/>
      <c r="AC563" s="367"/>
      <c r="AD563" s="367"/>
      <c r="AE563" s="367"/>
      <c r="AF563" s="367"/>
      <c r="AG563" s="367"/>
      <c r="AH563" s="367"/>
      <c r="AI563" s="367"/>
      <c r="AJ563" s="367"/>
      <c r="AK563" s="367"/>
      <c r="AL563" s="367"/>
      <c r="AM563" s="367"/>
      <c r="AN563" s="367"/>
      <c r="AO563" s="367"/>
      <c r="AP563" s="367"/>
      <c r="AQ563" s="367"/>
      <c r="AR563" s="367"/>
      <c r="AS563" s="367"/>
      <c r="AT563" s="368"/>
      <c r="AU563" s="367"/>
    </row>
    <row r="564" spans="1:47" ht="12.75">
      <c r="A564" s="367"/>
      <c r="B564" s="367"/>
      <c r="C564" s="367"/>
      <c r="D564" s="367"/>
      <c r="E564" s="367"/>
      <c r="F564" s="367"/>
      <c r="G564" s="367"/>
      <c r="H564" s="367"/>
      <c r="I564" s="367"/>
      <c r="J564" s="367"/>
      <c r="K564" s="367"/>
      <c r="L564" s="367"/>
      <c r="M564" s="367"/>
      <c r="N564" s="367"/>
      <c r="O564" s="367"/>
      <c r="P564" s="364"/>
      <c r="Q564" s="365"/>
      <c r="R564" s="365"/>
      <c r="S564" s="365"/>
      <c r="T564" s="365"/>
      <c r="U564" s="366"/>
      <c r="V564" s="367"/>
      <c r="W564" s="367"/>
      <c r="X564" s="367"/>
      <c r="Y564" s="367"/>
      <c r="Z564" s="367"/>
      <c r="AA564" s="367"/>
      <c r="AB564" s="367"/>
      <c r="AC564" s="367"/>
      <c r="AD564" s="367"/>
      <c r="AE564" s="367"/>
      <c r="AF564" s="367"/>
      <c r="AG564" s="367"/>
      <c r="AH564" s="367"/>
      <c r="AI564" s="367"/>
      <c r="AJ564" s="367"/>
      <c r="AK564" s="367"/>
      <c r="AL564" s="367"/>
      <c r="AM564" s="367"/>
      <c r="AN564" s="367"/>
      <c r="AO564" s="367"/>
      <c r="AP564" s="367"/>
      <c r="AQ564" s="367"/>
      <c r="AR564" s="367"/>
      <c r="AS564" s="367"/>
      <c r="AT564" s="368"/>
      <c r="AU564" s="367"/>
    </row>
    <row r="565" spans="1:47" ht="12.75">
      <c r="A565" s="367"/>
      <c r="B565" s="367"/>
      <c r="C565" s="367"/>
      <c r="D565" s="367"/>
      <c r="E565" s="367"/>
      <c r="F565" s="367"/>
      <c r="G565" s="367"/>
      <c r="H565" s="367"/>
      <c r="I565" s="367"/>
      <c r="J565" s="367"/>
      <c r="K565" s="367"/>
      <c r="L565" s="367"/>
      <c r="M565" s="367"/>
      <c r="N565" s="367"/>
      <c r="O565" s="367"/>
      <c r="P565" s="364"/>
      <c r="Q565" s="365"/>
      <c r="R565" s="365"/>
      <c r="S565" s="365"/>
      <c r="T565" s="365"/>
      <c r="U565" s="366"/>
      <c r="V565" s="367"/>
      <c r="W565" s="367"/>
      <c r="X565" s="367"/>
      <c r="Y565" s="367"/>
      <c r="Z565" s="367"/>
      <c r="AA565" s="367"/>
      <c r="AB565" s="367"/>
      <c r="AC565" s="367"/>
      <c r="AD565" s="367"/>
      <c r="AE565" s="367"/>
      <c r="AF565" s="367"/>
      <c r="AG565" s="367"/>
      <c r="AH565" s="367"/>
      <c r="AI565" s="367"/>
      <c r="AJ565" s="367"/>
      <c r="AK565" s="367"/>
      <c r="AL565" s="367"/>
      <c r="AM565" s="367"/>
      <c r="AN565" s="367"/>
      <c r="AO565" s="367"/>
      <c r="AP565" s="367"/>
      <c r="AQ565" s="367"/>
      <c r="AR565" s="367"/>
      <c r="AS565" s="367"/>
      <c r="AT565" s="368"/>
      <c r="AU565" s="367"/>
    </row>
    <row r="566" spans="1:47" ht="12.75">
      <c r="A566" s="367"/>
      <c r="B566" s="367"/>
      <c r="C566" s="367"/>
      <c r="D566" s="367"/>
      <c r="E566" s="367"/>
      <c r="F566" s="367"/>
      <c r="G566" s="367"/>
      <c r="H566" s="367"/>
      <c r="I566" s="367"/>
      <c r="J566" s="367"/>
      <c r="K566" s="367"/>
      <c r="L566" s="367"/>
      <c r="M566" s="367"/>
      <c r="N566" s="367"/>
      <c r="O566" s="367"/>
      <c r="P566" s="364"/>
      <c r="Q566" s="365"/>
      <c r="R566" s="365"/>
      <c r="S566" s="365"/>
      <c r="T566" s="365"/>
      <c r="U566" s="366"/>
      <c r="V566" s="367"/>
      <c r="W566" s="367"/>
      <c r="X566" s="367"/>
      <c r="Y566" s="367"/>
      <c r="Z566" s="367"/>
      <c r="AA566" s="367"/>
      <c r="AB566" s="367"/>
      <c r="AC566" s="367"/>
      <c r="AD566" s="367"/>
      <c r="AE566" s="367"/>
      <c r="AF566" s="367"/>
      <c r="AG566" s="367"/>
      <c r="AH566" s="367"/>
      <c r="AI566" s="367"/>
      <c r="AJ566" s="367"/>
      <c r="AK566" s="367"/>
      <c r="AL566" s="367"/>
      <c r="AM566" s="367"/>
      <c r="AN566" s="367"/>
      <c r="AO566" s="367"/>
      <c r="AP566" s="367"/>
      <c r="AQ566" s="367"/>
      <c r="AR566" s="367"/>
      <c r="AS566" s="367"/>
      <c r="AT566" s="368"/>
      <c r="AU566" s="367"/>
    </row>
    <row r="567" spans="1:47" ht="12.75">
      <c r="A567" s="367"/>
      <c r="B567" s="367"/>
      <c r="C567" s="367"/>
      <c r="D567" s="367"/>
      <c r="E567" s="367"/>
      <c r="F567" s="367"/>
      <c r="G567" s="367"/>
      <c r="H567" s="367"/>
      <c r="I567" s="367"/>
      <c r="J567" s="367"/>
      <c r="K567" s="367"/>
      <c r="L567" s="367"/>
      <c r="M567" s="367"/>
      <c r="N567" s="367"/>
      <c r="O567" s="367"/>
      <c r="P567" s="364"/>
      <c r="Q567" s="365"/>
      <c r="R567" s="365"/>
      <c r="S567" s="365"/>
      <c r="T567" s="365"/>
      <c r="U567" s="366"/>
      <c r="V567" s="367"/>
      <c r="W567" s="367"/>
      <c r="X567" s="367"/>
      <c r="Y567" s="367"/>
      <c r="Z567" s="367"/>
      <c r="AA567" s="367"/>
      <c r="AB567" s="367"/>
      <c r="AC567" s="367"/>
      <c r="AD567" s="367"/>
      <c r="AE567" s="367"/>
      <c r="AF567" s="367"/>
      <c r="AG567" s="367"/>
      <c r="AH567" s="367"/>
      <c r="AI567" s="367"/>
      <c r="AJ567" s="367"/>
      <c r="AK567" s="367"/>
      <c r="AL567" s="367"/>
      <c r="AM567" s="367"/>
      <c r="AN567" s="367"/>
      <c r="AO567" s="367"/>
      <c r="AP567" s="367"/>
      <c r="AQ567" s="367"/>
      <c r="AR567" s="367"/>
      <c r="AS567" s="367"/>
      <c r="AT567" s="368"/>
      <c r="AU567" s="367"/>
    </row>
    <row r="568" spans="1:47" ht="12.75">
      <c r="A568" s="367"/>
      <c r="B568" s="367"/>
      <c r="C568" s="367"/>
      <c r="D568" s="367"/>
      <c r="E568" s="367"/>
      <c r="F568" s="367"/>
      <c r="G568" s="367"/>
      <c r="H568" s="367"/>
      <c r="I568" s="367"/>
      <c r="J568" s="367"/>
      <c r="K568" s="367"/>
      <c r="L568" s="367"/>
      <c r="M568" s="367"/>
      <c r="N568" s="367"/>
      <c r="O568" s="367"/>
      <c r="P568" s="364"/>
      <c r="Q568" s="365"/>
      <c r="R568" s="365"/>
      <c r="S568" s="365"/>
      <c r="T568" s="365"/>
      <c r="U568" s="366"/>
      <c r="V568" s="367"/>
      <c r="W568" s="367"/>
      <c r="X568" s="367"/>
      <c r="Y568" s="367"/>
      <c r="Z568" s="367"/>
      <c r="AA568" s="367"/>
      <c r="AB568" s="367"/>
      <c r="AC568" s="367"/>
      <c r="AD568" s="367"/>
      <c r="AE568" s="367"/>
      <c r="AF568" s="367"/>
      <c r="AG568" s="367"/>
      <c r="AH568" s="367"/>
      <c r="AI568" s="367"/>
      <c r="AJ568" s="367"/>
      <c r="AK568" s="367"/>
      <c r="AL568" s="367"/>
      <c r="AM568" s="367"/>
      <c r="AN568" s="367"/>
      <c r="AO568" s="367"/>
      <c r="AP568" s="367"/>
      <c r="AQ568" s="367"/>
      <c r="AR568" s="367"/>
      <c r="AS568" s="367"/>
      <c r="AT568" s="368"/>
      <c r="AU568" s="367"/>
    </row>
    <row r="569" spans="1:47" ht="12.75">
      <c r="A569" s="367"/>
      <c r="B569" s="367"/>
      <c r="C569" s="367"/>
      <c r="D569" s="367"/>
      <c r="E569" s="367"/>
      <c r="F569" s="367"/>
      <c r="G569" s="367"/>
      <c r="H569" s="367"/>
      <c r="I569" s="367"/>
      <c r="J569" s="367"/>
      <c r="K569" s="367"/>
      <c r="L569" s="367"/>
      <c r="M569" s="367"/>
      <c r="N569" s="367"/>
      <c r="O569" s="367"/>
      <c r="P569" s="364"/>
      <c r="Q569" s="365"/>
      <c r="R569" s="365"/>
      <c r="S569" s="365"/>
      <c r="T569" s="365"/>
      <c r="U569" s="366"/>
      <c r="V569" s="367"/>
      <c r="W569" s="367"/>
      <c r="X569" s="367"/>
      <c r="Y569" s="367"/>
      <c r="Z569" s="367"/>
      <c r="AA569" s="367"/>
      <c r="AB569" s="367"/>
      <c r="AC569" s="367"/>
      <c r="AD569" s="367"/>
      <c r="AE569" s="367"/>
      <c r="AF569" s="367"/>
      <c r="AG569" s="367"/>
      <c r="AH569" s="367"/>
      <c r="AI569" s="367"/>
      <c r="AJ569" s="367"/>
      <c r="AK569" s="367"/>
      <c r="AL569" s="367"/>
      <c r="AM569" s="367"/>
      <c r="AN569" s="367"/>
      <c r="AO569" s="367"/>
      <c r="AP569" s="367"/>
      <c r="AQ569" s="367"/>
      <c r="AR569" s="367"/>
      <c r="AS569" s="367"/>
      <c r="AT569" s="368"/>
      <c r="AU569" s="367"/>
    </row>
    <row r="570" spans="1:47" ht="12.75">
      <c r="A570" s="367"/>
      <c r="B570" s="367"/>
      <c r="C570" s="367"/>
      <c r="D570" s="367"/>
      <c r="E570" s="367"/>
      <c r="F570" s="367"/>
      <c r="G570" s="367"/>
      <c r="H570" s="367"/>
      <c r="I570" s="367"/>
      <c r="J570" s="367"/>
      <c r="K570" s="367"/>
      <c r="L570" s="367"/>
      <c r="M570" s="367"/>
      <c r="N570" s="367"/>
      <c r="O570" s="367"/>
      <c r="P570" s="364"/>
      <c r="Q570" s="365"/>
      <c r="R570" s="365"/>
      <c r="S570" s="365"/>
      <c r="T570" s="365"/>
      <c r="U570" s="366"/>
      <c r="V570" s="367"/>
      <c r="W570" s="367"/>
      <c r="X570" s="367"/>
      <c r="Y570" s="367"/>
      <c r="Z570" s="367"/>
      <c r="AA570" s="367"/>
      <c r="AB570" s="367"/>
      <c r="AC570" s="367"/>
      <c r="AD570" s="367"/>
      <c r="AE570" s="367"/>
      <c r="AF570" s="367"/>
      <c r="AG570" s="367"/>
      <c r="AH570" s="367"/>
      <c r="AI570" s="367"/>
      <c r="AJ570" s="367"/>
      <c r="AK570" s="367"/>
      <c r="AL570" s="367"/>
      <c r="AM570" s="367"/>
      <c r="AN570" s="367"/>
      <c r="AO570" s="367"/>
      <c r="AP570" s="367"/>
      <c r="AQ570" s="367"/>
      <c r="AR570" s="367"/>
      <c r="AS570" s="367"/>
      <c r="AT570" s="368"/>
      <c r="AU570" s="367"/>
    </row>
    <row r="571" spans="1:47" ht="12.75">
      <c r="A571" s="367"/>
      <c r="B571" s="367"/>
      <c r="C571" s="367"/>
      <c r="D571" s="367"/>
      <c r="E571" s="367"/>
      <c r="F571" s="367"/>
      <c r="G571" s="367"/>
      <c r="H571" s="367"/>
      <c r="I571" s="367"/>
      <c r="J571" s="367"/>
      <c r="K571" s="367"/>
      <c r="L571" s="367"/>
      <c r="M571" s="367"/>
      <c r="N571" s="367"/>
      <c r="O571" s="367"/>
      <c r="P571" s="364"/>
      <c r="Q571" s="365"/>
      <c r="R571" s="365"/>
      <c r="S571" s="365"/>
      <c r="T571" s="365"/>
      <c r="U571" s="366"/>
      <c r="V571" s="367"/>
      <c r="W571" s="367"/>
      <c r="X571" s="367"/>
      <c r="Y571" s="367"/>
      <c r="Z571" s="367"/>
      <c r="AA571" s="367"/>
      <c r="AB571" s="367"/>
      <c r="AC571" s="367"/>
      <c r="AD571" s="367"/>
      <c r="AE571" s="367"/>
      <c r="AF571" s="367"/>
      <c r="AG571" s="367"/>
      <c r="AH571" s="367"/>
      <c r="AI571" s="367"/>
      <c r="AJ571" s="367"/>
      <c r="AK571" s="367"/>
      <c r="AL571" s="367"/>
      <c r="AM571" s="367"/>
      <c r="AN571" s="367"/>
      <c r="AO571" s="367"/>
      <c r="AP571" s="367"/>
      <c r="AQ571" s="367"/>
      <c r="AR571" s="367"/>
      <c r="AS571" s="367"/>
      <c r="AT571" s="368"/>
      <c r="AU571" s="367"/>
    </row>
    <row r="572" spans="1:47" ht="12.75">
      <c r="A572" s="367"/>
      <c r="B572" s="367"/>
      <c r="C572" s="367"/>
      <c r="D572" s="367"/>
      <c r="E572" s="367"/>
      <c r="F572" s="367"/>
      <c r="G572" s="367"/>
      <c r="H572" s="367"/>
      <c r="I572" s="367"/>
      <c r="J572" s="367"/>
      <c r="K572" s="367"/>
      <c r="L572" s="367"/>
      <c r="M572" s="367"/>
      <c r="N572" s="367"/>
      <c r="O572" s="367"/>
      <c r="P572" s="364"/>
      <c r="Q572" s="365"/>
      <c r="R572" s="365"/>
      <c r="S572" s="365"/>
      <c r="T572" s="365"/>
      <c r="U572" s="366"/>
      <c r="V572" s="367"/>
      <c r="W572" s="367"/>
      <c r="X572" s="367"/>
      <c r="Y572" s="367"/>
      <c r="Z572" s="367"/>
      <c r="AA572" s="367"/>
      <c r="AB572" s="367"/>
      <c r="AC572" s="367"/>
      <c r="AD572" s="367"/>
      <c r="AE572" s="367"/>
      <c r="AF572" s="367"/>
      <c r="AG572" s="367"/>
      <c r="AH572" s="367"/>
      <c r="AI572" s="367"/>
      <c r="AJ572" s="367"/>
      <c r="AK572" s="367"/>
      <c r="AL572" s="367"/>
      <c r="AM572" s="367"/>
      <c r="AN572" s="367"/>
      <c r="AO572" s="367"/>
      <c r="AP572" s="367"/>
      <c r="AQ572" s="367"/>
      <c r="AR572" s="367"/>
      <c r="AS572" s="367"/>
      <c r="AT572" s="368"/>
      <c r="AU572" s="367"/>
    </row>
    <row r="573" spans="1:47" ht="12.75">
      <c r="A573" s="367"/>
      <c r="B573" s="367"/>
      <c r="C573" s="367"/>
      <c r="D573" s="367"/>
      <c r="E573" s="367"/>
      <c r="F573" s="367"/>
      <c r="G573" s="367"/>
      <c r="H573" s="367"/>
      <c r="I573" s="367"/>
      <c r="J573" s="367"/>
      <c r="K573" s="367"/>
      <c r="L573" s="367"/>
      <c r="M573" s="367"/>
      <c r="N573" s="367"/>
      <c r="O573" s="367"/>
      <c r="P573" s="364"/>
      <c r="Q573" s="365"/>
      <c r="R573" s="365"/>
      <c r="S573" s="365"/>
      <c r="T573" s="365"/>
      <c r="U573" s="366"/>
      <c r="V573" s="367"/>
      <c r="W573" s="367"/>
      <c r="X573" s="367"/>
      <c r="Y573" s="367"/>
      <c r="Z573" s="367"/>
      <c r="AA573" s="367"/>
      <c r="AB573" s="367"/>
      <c r="AC573" s="367"/>
      <c r="AD573" s="367"/>
      <c r="AE573" s="367"/>
      <c r="AF573" s="367"/>
      <c r="AG573" s="367"/>
      <c r="AH573" s="367"/>
      <c r="AI573" s="367"/>
      <c r="AJ573" s="367"/>
      <c r="AK573" s="367"/>
      <c r="AL573" s="367"/>
      <c r="AM573" s="367"/>
      <c r="AN573" s="367"/>
      <c r="AO573" s="367"/>
      <c r="AP573" s="367"/>
      <c r="AQ573" s="367"/>
      <c r="AR573" s="367"/>
      <c r="AS573" s="367"/>
      <c r="AT573" s="368"/>
      <c r="AU573" s="367"/>
    </row>
    <row r="574" spans="1:47" ht="12.75">
      <c r="A574" s="367"/>
      <c r="B574" s="367"/>
      <c r="C574" s="367"/>
      <c r="D574" s="367"/>
      <c r="E574" s="367"/>
      <c r="F574" s="367"/>
      <c r="G574" s="367"/>
      <c r="H574" s="367"/>
      <c r="I574" s="367"/>
      <c r="J574" s="367"/>
      <c r="K574" s="367"/>
      <c r="L574" s="367"/>
      <c r="M574" s="367"/>
      <c r="N574" s="367"/>
      <c r="O574" s="367"/>
      <c r="P574" s="364"/>
      <c r="Q574" s="365"/>
      <c r="R574" s="365"/>
      <c r="S574" s="365"/>
      <c r="T574" s="365"/>
      <c r="U574" s="366"/>
      <c r="V574" s="367"/>
      <c r="W574" s="367"/>
      <c r="X574" s="367"/>
      <c r="Y574" s="367"/>
      <c r="Z574" s="367"/>
      <c r="AA574" s="367"/>
      <c r="AB574" s="367"/>
      <c r="AC574" s="367"/>
      <c r="AD574" s="367"/>
      <c r="AE574" s="367"/>
      <c r="AF574" s="367"/>
      <c r="AG574" s="367"/>
      <c r="AH574" s="367"/>
      <c r="AI574" s="367"/>
      <c r="AJ574" s="367"/>
      <c r="AK574" s="367"/>
      <c r="AL574" s="367"/>
      <c r="AM574" s="367"/>
      <c r="AN574" s="367"/>
      <c r="AO574" s="367"/>
      <c r="AP574" s="367"/>
      <c r="AQ574" s="367"/>
      <c r="AR574" s="367"/>
      <c r="AS574" s="367"/>
      <c r="AT574" s="368"/>
      <c r="AU574" s="367"/>
    </row>
    <row r="575" spans="1:47" ht="12.75">
      <c r="A575" s="367"/>
      <c r="B575" s="367"/>
      <c r="C575" s="367"/>
      <c r="D575" s="367"/>
      <c r="E575" s="367"/>
      <c r="F575" s="367"/>
      <c r="G575" s="367"/>
      <c r="H575" s="367"/>
      <c r="I575" s="367"/>
      <c r="J575" s="367"/>
      <c r="K575" s="367"/>
      <c r="L575" s="367"/>
      <c r="M575" s="367"/>
      <c r="N575" s="367"/>
      <c r="O575" s="367"/>
      <c r="P575" s="364"/>
      <c r="Q575" s="365"/>
      <c r="R575" s="365"/>
      <c r="S575" s="365"/>
      <c r="T575" s="365"/>
      <c r="U575" s="366"/>
      <c r="V575" s="367"/>
      <c r="W575" s="367"/>
      <c r="X575" s="367"/>
      <c r="Y575" s="367"/>
      <c r="Z575" s="367"/>
      <c r="AA575" s="367"/>
      <c r="AB575" s="367"/>
      <c r="AC575" s="367"/>
      <c r="AD575" s="367"/>
      <c r="AE575" s="367"/>
      <c r="AF575" s="367"/>
      <c r="AG575" s="367"/>
      <c r="AH575" s="367"/>
      <c r="AI575" s="367"/>
      <c r="AJ575" s="367"/>
      <c r="AK575" s="367"/>
      <c r="AL575" s="367"/>
      <c r="AM575" s="367"/>
      <c r="AN575" s="367"/>
      <c r="AO575" s="367"/>
      <c r="AP575" s="367"/>
      <c r="AQ575" s="367"/>
      <c r="AR575" s="367"/>
      <c r="AS575" s="367"/>
      <c r="AT575" s="368"/>
      <c r="AU575" s="367"/>
    </row>
    <row r="576" spans="1:47" ht="12.75">
      <c r="A576" s="367"/>
      <c r="B576" s="367"/>
      <c r="C576" s="367"/>
      <c r="D576" s="367"/>
      <c r="E576" s="367"/>
      <c r="F576" s="367"/>
      <c r="G576" s="367"/>
      <c r="H576" s="367"/>
      <c r="I576" s="367"/>
      <c r="J576" s="367"/>
      <c r="K576" s="367"/>
      <c r="L576" s="367"/>
      <c r="M576" s="367"/>
      <c r="N576" s="367"/>
      <c r="O576" s="367"/>
      <c r="P576" s="364"/>
      <c r="Q576" s="365"/>
      <c r="R576" s="365"/>
      <c r="S576" s="365"/>
      <c r="T576" s="365"/>
      <c r="U576" s="366"/>
      <c r="V576" s="367"/>
      <c r="W576" s="367"/>
      <c r="X576" s="367"/>
      <c r="Y576" s="367"/>
      <c r="Z576" s="367"/>
      <c r="AA576" s="367"/>
      <c r="AB576" s="367"/>
      <c r="AC576" s="367"/>
      <c r="AD576" s="367"/>
      <c r="AE576" s="367"/>
      <c r="AF576" s="367"/>
      <c r="AG576" s="367"/>
      <c r="AH576" s="367"/>
      <c r="AI576" s="367"/>
      <c r="AJ576" s="367"/>
      <c r="AK576" s="367"/>
      <c r="AL576" s="367"/>
      <c r="AM576" s="367"/>
      <c r="AN576" s="367"/>
      <c r="AO576" s="367"/>
      <c r="AP576" s="367"/>
      <c r="AQ576" s="367"/>
      <c r="AR576" s="367"/>
      <c r="AS576" s="367"/>
      <c r="AT576" s="368"/>
      <c r="AU576" s="367"/>
    </row>
    <row r="577" spans="1:47" ht="12.75">
      <c r="A577" s="367"/>
      <c r="B577" s="367"/>
      <c r="C577" s="367"/>
      <c r="D577" s="367"/>
      <c r="E577" s="367"/>
      <c r="F577" s="367"/>
      <c r="G577" s="367"/>
      <c r="H577" s="367"/>
      <c r="I577" s="367"/>
      <c r="J577" s="367"/>
      <c r="K577" s="367"/>
      <c r="L577" s="367"/>
      <c r="M577" s="367"/>
      <c r="N577" s="367"/>
      <c r="O577" s="367"/>
      <c r="P577" s="364"/>
      <c r="Q577" s="365"/>
      <c r="R577" s="365"/>
      <c r="S577" s="365"/>
      <c r="T577" s="365"/>
      <c r="U577" s="366"/>
      <c r="V577" s="367"/>
      <c r="W577" s="367"/>
      <c r="X577" s="367"/>
      <c r="Y577" s="367"/>
      <c r="Z577" s="367"/>
      <c r="AA577" s="367"/>
      <c r="AB577" s="367"/>
      <c r="AC577" s="367"/>
      <c r="AD577" s="367"/>
      <c r="AE577" s="367"/>
      <c r="AF577" s="367"/>
      <c r="AG577" s="367"/>
      <c r="AH577" s="367"/>
      <c r="AI577" s="367"/>
      <c r="AJ577" s="367"/>
      <c r="AK577" s="367"/>
      <c r="AL577" s="367"/>
      <c r="AM577" s="367"/>
      <c r="AN577" s="367"/>
      <c r="AO577" s="367"/>
      <c r="AP577" s="367"/>
      <c r="AQ577" s="367"/>
      <c r="AR577" s="367"/>
      <c r="AS577" s="367"/>
      <c r="AT577" s="368"/>
      <c r="AU577" s="367"/>
    </row>
    <row r="578" spans="1:47" ht="12.75">
      <c r="A578" s="367"/>
      <c r="B578" s="367"/>
      <c r="C578" s="367"/>
      <c r="D578" s="367"/>
      <c r="E578" s="367"/>
      <c r="F578" s="367"/>
      <c r="G578" s="367"/>
      <c r="H578" s="367"/>
      <c r="I578" s="367"/>
      <c r="J578" s="367"/>
      <c r="K578" s="367"/>
      <c r="L578" s="367"/>
      <c r="M578" s="367"/>
      <c r="N578" s="367"/>
      <c r="O578" s="367"/>
      <c r="P578" s="364"/>
      <c r="Q578" s="365"/>
      <c r="R578" s="365"/>
      <c r="S578" s="365"/>
      <c r="T578" s="365"/>
      <c r="U578" s="366"/>
      <c r="V578" s="367"/>
      <c r="W578" s="367"/>
      <c r="X578" s="367"/>
      <c r="Y578" s="367"/>
      <c r="Z578" s="367"/>
      <c r="AA578" s="367"/>
      <c r="AB578" s="367"/>
      <c r="AC578" s="367"/>
      <c r="AD578" s="367"/>
      <c r="AE578" s="367"/>
      <c r="AF578" s="367"/>
      <c r="AG578" s="367"/>
      <c r="AH578" s="367"/>
      <c r="AI578" s="367"/>
      <c r="AJ578" s="367"/>
      <c r="AK578" s="367"/>
      <c r="AL578" s="367"/>
      <c r="AM578" s="367"/>
      <c r="AN578" s="367"/>
      <c r="AO578" s="367"/>
      <c r="AP578" s="367"/>
      <c r="AQ578" s="367"/>
      <c r="AR578" s="367"/>
      <c r="AS578" s="367"/>
      <c r="AT578" s="368"/>
      <c r="AU578" s="367"/>
    </row>
    <row r="579" spans="1:47" ht="12.75">
      <c r="A579" s="367"/>
      <c r="B579" s="367"/>
      <c r="C579" s="367"/>
      <c r="D579" s="367"/>
      <c r="E579" s="367"/>
      <c r="F579" s="367"/>
      <c r="G579" s="367"/>
      <c r="H579" s="367"/>
      <c r="I579" s="367"/>
      <c r="J579" s="367"/>
      <c r="K579" s="367"/>
      <c r="L579" s="367"/>
      <c r="M579" s="367"/>
      <c r="N579" s="367"/>
      <c r="O579" s="367"/>
      <c r="P579" s="364"/>
      <c r="Q579" s="365"/>
      <c r="R579" s="365"/>
      <c r="S579" s="365"/>
      <c r="T579" s="365"/>
      <c r="U579" s="366"/>
      <c r="V579" s="367"/>
      <c r="W579" s="367"/>
      <c r="X579" s="367"/>
      <c r="Y579" s="367"/>
      <c r="Z579" s="367"/>
      <c r="AA579" s="367"/>
      <c r="AB579" s="367"/>
      <c r="AC579" s="367"/>
      <c r="AD579" s="367"/>
      <c r="AE579" s="367"/>
      <c r="AF579" s="367"/>
      <c r="AG579" s="367"/>
      <c r="AH579" s="367"/>
      <c r="AI579" s="367"/>
      <c r="AJ579" s="367"/>
      <c r="AK579" s="367"/>
      <c r="AL579" s="367"/>
      <c r="AM579" s="367"/>
      <c r="AN579" s="367"/>
      <c r="AO579" s="367"/>
      <c r="AP579" s="367"/>
      <c r="AQ579" s="367"/>
      <c r="AR579" s="367"/>
      <c r="AS579" s="367"/>
      <c r="AT579" s="368"/>
      <c r="AU579" s="367"/>
    </row>
    <row r="580" spans="1:47" ht="12.75">
      <c r="A580" s="367"/>
      <c r="B580" s="367"/>
      <c r="C580" s="367"/>
      <c r="D580" s="367"/>
      <c r="E580" s="367"/>
      <c r="F580" s="367"/>
      <c r="G580" s="367"/>
      <c r="H580" s="367"/>
      <c r="I580" s="367"/>
      <c r="J580" s="367"/>
      <c r="K580" s="367"/>
      <c r="L580" s="367"/>
      <c r="M580" s="367"/>
      <c r="N580" s="367"/>
      <c r="O580" s="367"/>
      <c r="P580" s="364"/>
      <c r="Q580" s="365"/>
      <c r="R580" s="365"/>
      <c r="S580" s="365"/>
      <c r="T580" s="365"/>
      <c r="U580" s="366"/>
      <c r="V580" s="367"/>
      <c r="W580" s="367"/>
      <c r="X580" s="367"/>
      <c r="Y580" s="367"/>
      <c r="Z580" s="367"/>
      <c r="AA580" s="367"/>
      <c r="AB580" s="367"/>
      <c r="AC580" s="367"/>
      <c r="AD580" s="367"/>
      <c r="AE580" s="367"/>
      <c r="AF580" s="367"/>
      <c r="AG580" s="367"/>
      <c r="AH580" s="367"/>
      <c r="AI580" s="367"/>
      <c r="AJ580" s="367"/>
      <c r="AK580" s="367"/>
      <c r="AL580" s="367"/>
      <c r="AM580" s="367"/>
      <c r="AN580" s="367"/>
      <c r="AO580" s="367"/>
      <c r="AP580" s="367"/>
      <c r="AQ580" s="367"/>
      <c r="AR580" s="367"/>
      <c r="AS580" s="367"/>
      <c r="AT580" s="368"/>
      <c r="AU580" s="367"/>
    </row>
    <row r="581" spans="1:47" ht="12.75">
      <c r="A581" s="367"/>
      <c r="B581" s="367"/>
      <c r="C581" s="367"/>
      <c r="D581" s="367"/>
      <c r="E581" s="367"/>
      <c r="F581" s="367"/>
      <c r="G581" s="367"/>
      <c r="H581" s="367"/>
      <c r="I581" s="367"/>
      <c r="J581" s="367"/>
      <c r="K581" s="367"/>
      <c r="L581" s="367"/>
      <c r="M581" s="367"/>
      <c r="N581" s="367"/>
      <c r="O581" s="367"/>
      <c r="P581" s="364"/>
      <c r="Q581" s="365"/>
      <c r="R581" s="365"/>
      <c r="S581" s="365"/>
      <c r="T581" s="365"/>
      <c r="U581" s="366"/>
      <c r="V581" s="367"/>
      <c r="W581" s="367"/>
      <c r="X581" s="367"/>
      <c r="Y581" s="367"/>
      <c r="Z581" s="367"/>
      <c r="AA581" s="367"/>
      <c r="AB581" s="367"/>
      <c r="AC581" s="367"/>
      <c r="AD581" s="367"/>
      <c r="AE581" s="367"/>
      <c r="AF581" s="367"/>
      <c r="AG581" s="367"/>
      <c r="AH581" s="367"/>
      <c r="AI581" s="367"/>
      <c r="AJ581" s="367"/>
      <c r="AK581" s="367"/>
      <c r="AL581" s="367"/>
      <c r="AM581" s="367"/>
      <c r="AN581" s="367"/>
      <c r="AO581" s="367"/>
      <c r="AP581" s="367"/>
      <c r="AQ581" s="367"/>
      <c r="AR581" s="367"/>
      <c r="AS581" s="367"/>
      <c r="AT581" s="368"/>
      <c r="AU581" s="367"/>
    </row>
    <row r="582" spans="1:47" ht="12.75">
      <c r="A582" s="367"/>
      <c r="B582" s="367"/>
      <c r="C582" s="367"/>
      <c r="D582" s="367"/>
      <c r="E582" s="367"/>
      <c r="F582" s="367"/>
      <c r="G582" s="367"/>
      <c r="H582" s="367"/>
      <c r="I582" s="367"/>
      <c r="J582" s="367"/>
      <c r="K582" s="367"/>
      <c r="L582" s="367"/>
      <c r="M582" s="367"/>
      <c r="N582" s="367"/>
      <c r="O582" s="367"/>
      <c r="P582" s="364"/>
      <c r="Q582" s="365"/>
      <c r="R582" s="365"/>
      <c r="S582" s="365"/>
      <c r="T582" s="365"/>
      <c r="U582" s="366"/>
      <c r="V582" s="367"/>
      <c r="W582" s="367"/>
      <c r="X582" s="367"/>
      <c r="Y582" s="367"/>
      <c r="Z582" s="367"/>
      <c r="AA582" s="367"/>
      <c r="AB582" s="367"/>
      <c r="AC582" s="367"/>
      <c r="AD582" s="367"/>
      <c r="AE582" s="367"/>
      <c r="AF582" s="367"/>
      <c r="AG582" s="367"/>
      <c r="AH582" s="367"/>
      <c r="AI582" s="367"/>
      <c r="AJ582" s="367"/>
      <c r="AK582" s="367"/>
      <c r="AL582" s="367"/>
      <c r="AM582" s="367"/>
      <c r="AN582" s="367"/>
      <c r="AO582" s="367"/>
      <c r="AP582" s="367"/>
      <c r="AQ582" s="367"/>
      <c r="AR582" s="367"/>
      <c r="AS582" s="367"/>
      <c r="AT582" s="368"/>
      <c r="AU582" s="367"/>
    </row>
    <row r="583" spans="1:47" ht="12.75">
      <c r="A583" s="367"/>
      <c r="B583" s="367"/>
      <c r="C583" s="367"/>
      <c r="D583" s="367"/>
      <c r="E583" s="367"/>
      <c r="F583" s="367"/>
      <c r="G583" s="367"/>
      <c r="H583" s="367"/>
      <c r="I583" s="367"/>
      <c r="J583" s="367"/>
      <c r="K583" s="367"/>
      <c r="L583" s="367"/>
      <c r="M583" s="367"/>
      <c r="N583" s="367"/>
      <c r="O583" s="367"/>
      <c r="P583" s="364"/>
      <c r="Q583" s="365"/>
      <c r="R583" s="365"/>
      <c r="S583" s="365"/>
      <c r="T583" s="365"/>
      <c r="U583" s="366"/>
      <c r="V583" s="367"/>
      <c r="W583" s="367"/>
      <c r="X583" s="367"/>
      <c r="Y583" s="367"/>
      <c r="Z583" s="367"/>
      <c r="AA583" s="367"/>
      <c r="AB583" s="367"/>
      <c r="AC583" s="367"/>
      <c r="AD583" s="367"/>
      <c r="AE583" s="367"/>
      <c r="AF583" s="367"/>
      <c r="AG583" s="367"/>
      <c r="AH583" s="367"/>
      <c r="AI583" s="367"/>
      <c r="AJ583" s="367"/>
      <c r="AK583" s="367"/>
      <c r="AL583" s="367"/>
      <c r="AM583" s="367"/>
      <c r="AN583" s="367"/>
      <c r="AO583" s="367"/>
      <c r="AP583" s="367"/>
      <c r="AQ583" s="367"/>
      <c r="AR583" s="367"/>
      <c r="AS583" s="367"/>
      <c r="AT583" s="368"/>
      <c r="AU583" s="367"/>
    </row>
    <row r="584" spans="1:47" ht="12.75">
      <c r="A584" s="367"/>
      <c r="B584" s="367"/>
      <c r="C584" s="367"/>
      <c r="D584" s="367"/>
      <c r="E584" s="367"/>
      <c r="F584" s="367"/>
      <c r="G584" s="367"/>
      <c r="H584" s="367"/>
      <c r="I584" s="367"/>
      <c r="J584" s="367"/>
      <c r="K584" s="367"/>
      <c r="L584" s="367"/>
      <c r="M584" s="367"/>
      <c r="N584" s="367"/>
      <c r="O584" s="367"/>
      <c r="P584" s="364"/>
      <c r="Q584" s="365"/>
      <c r="R584" s="365"/>
      <c r="S584" s="365"/>
      <c r="T584" s="365"/>
      <c r="U584" s="366"/>
      <c r="V584" s="367"/>
      <c r="W584" s="367"/>
      <c r="X584" s="367"/>
      <c r="Y584" s="367"/>
      <c r="Z584" s="367"/>
      <c r="AA584" s="367"/>
      <c r="AB584" s="367"/>
      <c r="AC584" s="367"/>
      <c r="AD584" s="367"/>
      <c r="AE584" s="367"/>
      <c r="AF584" s="367"/>
      <c r="AG584" s="367"/>
      <c r="AH584" s="367"/>
      <c r="AI584" s="367"/>
      <c r="AJ584" s="367"/>
      <c r="AK584" s="367"/>
      <c r="AL584" s="367"/>
      <c r="AM584" s="367"/>
      <c r="AN584" s="367"/>
      <c r="AO584" s="367"/>
      <c r="AP584" s="367"/>
      <c r="AQ584" s="367"/>
      <c r="AR584" s="367"/>
      <c r="AS584" s="367"/>
      <c r="AT584" s="368"/>
      <c r="AU584" s="367"/>
    </row>
    <row r="585" spans="1:47" ht="12.75">
      <c r="A585" s="367"/>
      <c r="B585" s="367"/>
      <c r="C585" s="367"/>
      <c r="D585" s="367"/>
      <c r="E585" s="367"/>
      <c r="F585" s="367"/>
      <c r="G585" s="367"/>
      <c r="H585" s="367"/>
      <c r="I585" s="367"/>
      <c r="J585" s="367"/>
      <c r="K585" s="367"/>
      <c r="L585" s="367"/>
      <c r="M585" s="367"/>
      <c r="N585" s="367"/>
      <c r="O585" s="367"/>
      <c r="P585" s="364"/>
      <c r="Q585" s="365"/>
      <c r="R585" s="365"/>
      <c r="S585" s="365"/>
      <c r="T585" s="365"/>
      <c r="U585" s="366"/>
      <c r="V585" s="367"/>
      <c r="W585" s="367"/>
      <c r="X585" s="367"/>
      <c r="Y585" s="367"/>
      <c r="Z585" s="367"/>
      <c r="AA585" s="367"/>
      <c r="AB585" s="367"/>
      <c r="AC585" s="367"/>
      <c r="AD585" s="367"/>
      <c r="AE585" s="367"/>
      <c r="AF585" s="367"/>
      <c r="AG585" s="367"/>
      <c r="AH585" s="367"/>
      <c r="AI585" s="367"/>
      <c r="AJ585" s="367"/>
      <c r="AK585" s="367"/>
      <c r="AL585" s="367"/>
      <c r="AM585" s="367"/>
      <c r="AN585" s="367"/>
      <c r="AO585" s="367"/>
      <c r="AP585" s="367"/>
      <c r="AQ585" s="367"/>
      <c r="AR585" s="367"/>
      <c r="AS585" s="367"/>
      <c r="AT585" s="368"/>
      <c r="AU585" s="367"/>
    </row>
    <row r="586" spans="1:47" ht="12.75">
      <c r="A586" s="367"/>
      <c r="B586" s="367"/>
      <c r="C586" s="367"/>
      <c r="D586" s="367"/>
      <c r="E586" s="367"/>
      <c r="F586" s="367"/>
      <c r="G586" s="367"/>
      <c r="H586" s="367"/>
      <c r="I586" s="367"/>
      <c r="J586" s="367"/>
      <c r="K586" s="367"/>
      <c r="L586" s="367"/>
      <c r="M586" s="367"/>
      <c r="N586" s="367"/>
      <c r="O586" s="367"/>
      <c r="P586" s="364"/>
      <c r="Q586" s="365"/>
      <c r="R586" s="365"/>
      <c r="S586" s="365"/>
      <c r="T586" s="365"/>
      <c r="U586" s="366"/>
      <c r="V586" s="367"/>
      <c r="W586" s="367"/>
      <c r="X586" s="367"/>
      <c r="Y586" s="367"/>
      <c r="Z586" s="367"/>
      <c r="AA586" s="367"/>
      <c r="AB586" s="367"/>
      <c r="AC586" s="367"/>
      <c r="AD586" s="367"/>
      <c r="AE586" s="367"/>
      <c r="AF586" s="367"/>
      <c r="AG586" s="367"/>
      <c r="AH586" s="367"/>
      <c r="AI586" s="367"/>
      <c r="AJ586" s="367"/>
      <c r="AK586" s="367"/>
      <c r="AL586" s="367"/>
      <c r="AM586" s="367"/>
      <c r="AN586" s="367"/>
      <c r="AO586" s="367"/>
      <c r="AP586" s="367"/>
      <c r="AQ586" s="367"/>
      <c r="AR586" s="367"/>
      <c r="AS586" s="367"/>
      <c r="AT586" s="368"/>
      <c r="AU586" s="367"/>
    </row>
    <row r="587" spans="1:47" ht="12.75">
      <c r="A587" s="367"/>
      <c r="B587" s="367"/>
      <c r="C587" s="367"/>
      <c r="D587" s="367"/>
      <c r="E587" s="367"/>
      <c r="F587" s="367"/>
      <c r="G587" s="367"/>
      <c r="H587" s="367"/>
      <c r="I587" s="367"/>
      <c r="J587" s="367"/>
      <c r="K587" s="367"/>
      <c r="L587" s="367"/>
      <c r="M587" s="367"/>
      <c r="N587" s="367"/>
      <c r="O587" s="367"/>
      <c r="P587" s="364"/>
      <c r="Q587" s="365"/>
      <c r="R587" s="365"/>
      <c r="S587" s="365"/>
      <c r="T587" s="365"/>
      <c r="U587" s="366"/>
      <c r="V587" s="367"/>
      <c r="W587" s="367"/>
      <c r="X587" s="367"/>
      <c r="Y587" s="367"/>
      <c r="Z587" s="367"/>
      <c r="AA587" s="367"/>
      <c r="AB587" s="367"/>
      <c r="AC587" s="367"/>
      <c r="AD587" s="367"/>
      <c r="AE587" s="367"/>
      <c r="AF587" s="367"/>
      <c r="AG587" s="367"/>
      <c r="AH587" s="367"/>
      <c r="AI587" s="367"/>
      <c r="AJ587" s="367"/>
      <c r="AK587" s="367"/>
      <c r="AL587" s="367"/>
      <c r="AM587" s="367"/>
      <c r="AN587" s="367"/>
      <c r="AO587" s="367"/>
      <c r="AP587" s="367"/>
      <c r="AQ587" s="367"/>
      <c r="AR587" s="367"/>
      <c r="AS587" s="367"/>
      <c r="AT587" s="368"/>
      <c r="AU587" s="367"/>
    </row>
    <row r="588" spans="1:47" ht="12.75">
      <c r="A588" s="367"/>
      <c r="B588" s="367"/>
      <c r="C588" s="367"/>
      <c r="D588" s="367"/>
      <c r="E588" s="367"/>
      <c r="F588" s="367"/>
      <c r="G588" s="367"/>
      <c r="H588" s="367"/>
      <c r="I588" s="367"/>
      <c r="J588" s="367"/>
      <c r="K588" s="367"/>
      <c r="L588" s="367"/>
      <c r="M588" s="367"/>
      <c r="N588" s="367"/>
      <c r="O588" s="367"/>
      <c r="P588" s="364"/>
      <c r="Q588" s="365"/>
      <c r="R588" s="365"/>
      <c r="S588" s="365"/>
      <c r="T588" s="365"/>
      <c r="U588" s="366"/>
      <c r="V588" s="367"/>
      <c r="W588" s="367"/>
      <c r="X588" s="367"/>
      <c r="Y588" s="367"/>
      <c r="Z588" s="367"/>
      <c r="AA588" s="367"/>
      <c r="AB588" s="367"/>
      <c r="AC588" s="367"/>
      <c r="AD588" s="367"/>
      <c r="AE588" s="367"/>
      <c r="AF588" s="367"/>
      <c r="AG588" s="367"/>
      <c r="AH588" s="367"/>
      <c r="AI588" s="367"/>
      <c r="AJ588" s="367"/>
      <c r="AK588" s="367"/>
      <c r="AL588" s="367"/>
      <c r="AM588" s="367"/>
      <c r="AN588" s="367"/>
      <c r="AO588" s="367"/>
      <c r="AP588" s="367"/>
      <c r="AQ588" s="367"/>
      <c r="AR588" s="367"/>
      <c r="AS588" s="367"/>
      <c r="AT588" s="368"/>
      <c r="AU588" s="367"/>
    </row>
    <row r="589" spans="1:47" ht="12.75">
      <c r="A589" s="367"/>
      <c r="B589" s="367"/>
      <c r="C589" s="367"/>
      <c r="D589" s="367"/>
      <c r="E589" s="367"/>
      <c r="F589" s="367"/>
      <c r="G589" s="367"/>
      <c r="H589" s="367"/>
      <c r="I589" s="367"/>
      <c r="J589" s="367"/>
      <c r="K589" s="367"/>
      <c r="L589" s="367"/>
      <c r="M589" s="367"/>
      <c r="N589" s="367"/>
      <c r="O589" s="367"/>
      <c r="P589" s="364"/>
      <c r="Q589" s="365"/>
      <c r="R589" s="365"/>
      <c r="S589" s="365"/>
      <c r="T589" s="365"/>
      <c r="U589" s="366"/>
      <c r="V589" s="367"/>
      <c r="W589" s="367"/>
      <c r="X589" s="367"/>
      <c r="Y589" s="367"/>
      <c r="Z589" s="367"/>
      <c r="AA589" s="367"/>
      <c r="AB589" s="367"/>
      <c r="AC589" s="367"/>
      <c r="AD589" s="367"/>
      <c r="AE589" s="367"/>
      <c r="AF589" s="367"/>
      <c r="AG589" s="367"/>
      <c r="AH589" s="367"/>
      <c r="AI589" s="367"/>
      <c r="AJ589" s="367"/>
      <c r="AK589" s="367"/>
      <c r="AL589" s="367"/>
      <c r="AM589" s="367"/>
      <c r="AN589" s="367"/>
      <c r="AO589" s="367"/>
      <c r="AP589" s="367"/>
      <c r="AQ589" s="367"/>
      <c r="AR589" s="367"/>
      <c r="AS589" s="367"/>
      <c r="AT589" s="368"/>
      <c r="AU589" s="367"/>
    </row>
    <row r="590" spans="1:47" ht="12.75">
      <c r="A590" s="367"/>
      <c r="B590" s="367"/>
      <c r="C590" s="367"/>
      <c r="D590" s="367"/>
      <c r="E590" s="367"/>
      <c r="F590" s="367"/>
      <c r="G590" s="367"/>
      <c r="H590" s="367"/>
      <c r="I590" s="367"/>
      <c r="J590" s="367"/>
      <c r="K590" s="367"/>
      <c r="L590" s="367"/>
      <c r="M590" s="367"/>
      <c r="N590" s="367"/>
      <c r="O590" s="367"/>
      <c r="P590" s="364"/>
      <c r="Q590" s="365"/>
      <c r="R590" s="365"/>
      <c r="S590" s="365"/>
      <c r="T590" s="365"/>
      <c r="U590" s="366"/>
      <c r="V590" s="367"/>
      <c r="W590" s="367"/>
      <c r="X590" s="367"/>
      <c r="Y590" s="367"/>
      <c r="Z590" s="367"/>
      <c r="AA590" s="367"/>
      <c r="AB590" s="367"/>
      <c r="AC590" s="367"/>
      <c r="AD590" s="367"/>
      <c r="AE590" s="367"/>
      <c r="AF590" s="367"/>
      <c r="AG590" s="367"/>
      <c r="AH590" s="367"/>
      <c r="AI590" s="367"/>
      <c r="AJ590" s="367"/>
      <c r="AK590" s="367"/>
      <c r="AL590" s="367"/>
      <c r="AM590" s="367"/>
      <c r="AN590" s="367"/>
      <c r="AO590" s="367"/>
      <c r="AP590" s="367"/>
      <c r="AQ590" s="367"/>
      <c r="AR590" s="367"/>
      <c r="AS590" s="367"/>
      <c r="AT590" s="368"/>
      <c r="AU590" s="367"/>
    </row>
    <row r="591" spans="1:47" ht="12.75">
      <c r="A591" s="367"/>
      <c r="B591" s="367"/>
      <c r="C591" s="367"/>
      <c r="D591" s="367"/>
      <c r="E591" s="367"/>
      <c r="F591" s="367"/>
      <c r="G591" s="367"/>
      <c r="H591" s="367"/>
      <c r="I591" s="367"/>
      <c r="J591" s="367"/>
      <c r="K591" s="367"/>
      <c r="L591" s="367"/>
      <c r="M591" s="367"/>
      <c r="N591" s="367"/>
      <c r="O591" s="367"/>
      <c r="P591" s="364"/>
      <c r="Q591" s="365"/>
      <c r="R591" s="365"/>
      <c r="S591" s="365"/>
      <c r="T591" s="365"/>
      <c r="U591" s="366"/>
      <c r="V591" s="367"/>
      <c r="W591" s="367"/>
      <c r="X591" s="367"/>
      <c r="Y591" s="367"/>
      <c r="Z591" s="367"/>
      <c r="AA591" s="367"/>
      <c r="AB591" s="367"/>
      <c r="AC591" s="367"/>
      <c r="AD591" s="367"/>
      <c r="AE591" s="367"/>
      <c r="AF591" s="367"/>
      <c r="AG591" s="367"/>
      <c r="AH591" s="367"/>
      <c r="AI591" s="367"/>
      <c r="AJ591" s="367"/>
      <c r="AK591" s="367"/>
      <c r="AL591" s="367"/>
      <c r="AM591" s="367"/>
      <c r="AN591" s="367"/>
      <c r="AO591" s="367"/>
      <c r="AP591" s="367"/>
      <c r="AQ591" s="367"/>
      <c r="AR591" s="367"/>
      <c r="AS591" s="367"/>
      <c r="AT591" s="368"/>
      <c r="AU591" s="367"/>
    </row>
    <row r="592" spans="1:47" ht="12.75">
      <c r="A592" s="367"/>
      <c r="B592" s="367"/>
      <c r="C592" s="367"/>
      <c r="D592" s="367"/>
      <c r="E592" s="367"/>
      <c r="F592" s="367"/>
      <c r="G592" s="367"/>
      <c r="H592" s="367"/>
      <c r="I592" s="367"/>
      <c r="J592" s="367"/>
      <c r="K592" s="367"/>
      <c r="L592" s="367"/>
      <c r="M592" s="367"/>
      <c r="N592" s="367"/>
      <c r="O592" s="367"/>
      <c r="P592" s="364"/>
      <c r="Q592" s="365"/>
      <c r="R592" s="365"/>
      <c r="S592" s="365"/>
      <c r="T592" s="365"/>
      <c r="U592" s="366"/>
      <c r="V592" s="367"/>
      <c r="W592" s="367"/>
      <c r="X592" s="367"/>
      <c r="Y592" s="367"/>
      <c r="Z592" s="367"/>
      <c r="AA592" s="367"/>
      <c r="AB592" s="367"/>
      <c r="AC592" s="367"/>
      <c r="AD592" s="367"/>
      <c r="AE592" s="367"/>
      <c r="AF592" s="367"/>
      <c r="AG592" s="367"/>
      <c r="AH592" s="367"/>
      <c r="AI592" s="367"/>
      <c r="AJ592" s="367"/>
      <c r="AK592" s="367"/>
      <c r="AL592" s="367"/>
      <c r="AM592" s="367"/>
      <c r="AN592" s="367"/>
      <c r="AO592" s="367"/>
      <c r="AP592" s="367"/>
      <c r="AQ592" s="367"/>
      <c r="AR592" s="367"/>
      <c r="AS592" s="367"/>
      <c r="AT592" s="368"/>
      <c r="AU592" s="367"/>
    </row>
    <row r="593" spans="1:47" ht="12.75">
      <c r="A593" s="367"/>
      <c r="B593" s="367"/>
      <c r="C593" s="367"/>
      <c r="D593" s="367"/>
      <c r="E593" s="367"/>
      <c r="F593" s="367"/>
      <c r="G593" s="367"/>
      <c r="H593" s="367"/>
      <c r="I593" s="367"/>
      <c r="J593" s="367"/>
      <c r="K593" s="367"/>
      <c r="L593" s="367"/>
      <c r="M593" s="367"/>
      <c r="N593" s="367"/>
      <c r="O593" s="367"/>
      <c r="P593" s="364"/>
      <c r="Q593" s="365"/>
      <c r="R593" s="365"/>
      <c r="S593" s="365"/>
      <c r="T593" s="365"/>
      <c r="U593" s="366"/>
      <c r="V593" s="367"/>
      <c r="W593" s="367"/>
      <c r="X593" s="367"/>
      <c r="Y593" s="367"/>
      <c r="Z593" s="367"/>
      <c r="AA593" s="367"/>
      <c r="AB593" s="367"/>
      <c r="AC593" s="367"/>
      <c r="AD593" s="367"/>
      <c r="AE593" s="367"/>
      <c r="AF593" s="367"/>
      <c r="AG593" s="367"/>
      <c r="AH593" s="367"/>
      <c r="AI593" s="367"/>
      <c r="AJ593" s="367"/>
      <c r="AK593" s="367"/>
      <c r="AL593" s="367"/>
      <c r="AM593" s="367"/>
      <c r="AN593" s="367"/>
      <c r="AO593" s="367"/>
      <c r="AP593" s="367"/>
      <c r="AQ593" s="367"/>
      <c r="AR593" s="367"/>
      <c r="AS593" s="367"/>
      <c r="AT593" s="368"/>
      <c r="AU593" s="367"/>
    </row>
    <row r="594" spans="1:47" ht="12.75">
      <c r="A594" s="367"/>
      <c r="B594" s="367"/>
      <c r="C594" s="367"/>
      <c r="D594" s="367"/>
      <c r="E594" s="367"/>
      <c r="F594" s="367"/>
      <c r="G594" s="367"/>
      <c r="H594" s="367"/>
      <c r="I594" s="367"/>
      <c r="J594" s="367"/>
      <c r="K594" s="367"/>
      <c r="L594" s="367"/>
      <c r="M594" s="367"/>
      <c r="N594" s="367"/>
      <c r="O594" s="367"/>
      <c r="P594" s="364"/>
      <c r="Q594" s="365"/>
      <c r="R594" s="365"/>
      <c r="S594" s="365"/>
      <c r="T594" s="365"/>
      <c r="U594" s="366"/>
      <c r="V594" s="367"/>
      <c r="W594" s="367"/>
      <c r="X594" s="367"/>
      <c r="Y594" s="367"/>
      <c r="Z594" s="367"/>
      <c r="AA594" s="367"/>
      <c r="AB594" s="367"/>
      <c r="AC594" s="367"/>
      <c r="AD594" s="367"/>
      <c r="AE594" s="367"/>
      <c r="AF594" s="367"/>
      <c r="AG594" s="367"/>
      <c r="AH594" s="367"/>
      <c r="AI594" s="367"/>
      <c r="AJ594" s="367"/>
      <c r="AK594" s="367"/>
      <c r="AL594" s="367"/>
      <c r="AM594" s="367"/>
      <c r="AN594" s="367"/>
      <c r="AO594" s="367"/>
      <c r="AP594" s="367"/>
      <c r="AQ594" s="367"/>
      <c r="AR594" s="367"/>
      <c r="AS594" s="367"/>
      <c r="AT594" s="368"/>
      <c r="AU594" s="367"/>
    </row>
    <row r="595" spans="1:47" ht="12.75">
      <c r="A595" s="367"/>
      <c r="B595" s="367"/>
      <c r="C595" s="367"/>
      <c r="D595" s="367"/>
      <c r="E595" s="367"/>
      <c r="F595" s="367"/>
      <c r="G595" s="367"/>
      <c r="H595" s="367"/>
      <c r="I595" s="367"/>
      <c r="J595" s="367"/>
      <c r="K595" s="367"/>
      <c r="L595" s="367"/>
      <c r="M595" s="367"/>
      <c r="N595" s="367"/>
      <c r="O595" s="367"/>
      <c r="P595" s="364"/>
      <c r="Q595" s="365"/>
      <c r="R595" s="365"/>
      <c r="S595" s="365"/>
      <c r="T595" s="365"/>
      <c r="U595" s="366"/>
      <c r="V595" s="367"/>
      <c r="W595" s="367"/>
      <c r="X595" s="367"/>
      <c r="Y595" s="367"/>
      <c r="Z595" s="367"/>
      <c r="AA595" s="367"/>
      <c r="AB595" s="367"/>
      <c r="AC595" s="367"/>
      <c r="AD595" s="367"/>
      <c r="AE595" s="367"/>
      <c r="AF595" s="367"/>
      <c r="AG595" s="367"/>
      <c r="AH595" s="367"/>
      <c r="AI595" s="367"/>
      <c r="AJ595" s="367"/>
      <c r="AK595" s="367"/>
      <c r="AL595" s="367"/>
      <c r="AM595" s="367"/>
      <c r="AN595" s="367"/>
      <c r="AO595" s="367"/>
      <c r="AP595" s="367"/>
      <c r="AQ595" s="367"/>
      <c r="AR595" s="367"/>
      <c r="AS595" s="367"/>
      <c r="AT595" s="368"/>
      <c r="AU595" s="367"/>
    </row>
    <row r="596" spans="1:47" ht="12.75">
      <c r="A596" s="367"/>
      <c r="B596" s="367"/>
      <c r="C596" s="367"/>
      <c r="D596" s="367"/>
      <c r="E596" s="367"/>
      <c r="F596" s="367"/>
      <c r="G596" s="367"/>
      <c r="H596" s="367"/>
      <c r="I596" s="367"/>
      <c r="J596" s="367"/>
      <c r="K596" s="367"/>
      <c r="L596" s="367"/>
      <c r="M596" s="367"/>
      <c r="N596" s="367"/>
      <c r="O596" s="367"/>
      <c r="P596" s="364"/>
      <c r="Q596" s="365"/>
      <c r="R596" s="365"/>
      <c r="S596" s="365"/>
      <c r="T596" s="365"/>
      <c r="U596" s="366"/>
      <c r="V596" s="367"/>
      <c r="W596" s="367"/>
      <c r="X596" s="367"/>
      <c r="Y596" s="367"/>
      <c r="Z596" s="367"/>
      <c r="AA596" s="367"/>
      <c r="AB596" s="367"/>
      <c r="AC596" s="367"/>
      <c r="AD596" s="367"/>
      <c r="AE596" s="367"/>
      <c r="AF596" s="367"/>
      <c r="AG596" s="367"/>
      <c r="AH596" s="367"/>
      <c r="AI596" s="367"/>
      <c r="AJ596" s="367"/>
      <c r="AK596" s="367"/>
      <c r="AL596" s="367"/>
      <c r="AM596" s="367"/>
      <c r="AN596" s="367"/>
      <c r="AO596" s="367"/>
      <c r="AP596" s="367"/>
      <c r="AQ596" s="367"/>
      <c r="AR596" s="367"/>
      <c r="AS596" s="367"/>
      <c r="AT596" s="368"/>
      <c r="AU596" s="367"/>
    </row>
    <row r="597" spans="1:47" ht="12.75">
      <c r="A597" s="367"/>
      <c r="B597" s="367"/>
      <c r="C597" s="367"/>
      <c r="D597" s="367"/>
      <c r="E597" s="367"/>
      <c r="F597" s="367"/>
      <c r="G597" s="367"/>
      <c r="H597" s="367"/>
      <c r="I597" s="367"/>
      <c r="J597" s="367"/>
      <c r="K597" s="367"/>
      <c r="L597" s="367"/>
      <c r="M597" s="367"/>
      <c r="N597" s="367"/>
      <c r="O597" s="367"/>
      <c r="P597" s="364"/>
      <c r="Q597" s="365"/>
      <c r="R597" s="365"/>
      <c r="S597" s="365"/>
      <c r="T597" s="365"/>
      <c r="U597" s="366"/>
      <c r="V597" s="367"/>
      <c r="W597" s="367"/>
      <c r="X597" s="367"/>
      <c r="Y597" s="367"/>
      <c r="Z597" s="367"/>
      <c r="AA597" s="367"/>
      <c r="AB597" s="367"/>
      <c r="AC597" s="367"/>
      <c r="AD597" s="367"/>
      <c r="AE597" s="367"/>
      <c r="AF597" s="367"/>
      <c r="AG597" s="367"/>
      <c r="AH597" s="367"/>
      <c r="AI597" s="367"/>
      <c r="AJ597" s="367"/>
      <c r="AK597" s="367"/>
      <c r="AL597" s="367"/>
      <c r="AM597" s="367"/>
      <c r="AN597" s="367"/>
      <c r="AO597" s="367"/>
      <c r="AP597" s="367"/>
      <c r="AQ597" s="367"/>
      <c r="AR597" s="367"/>
      <c r="AS597" s="367"/>
      <c r="AT597" s="368"/>
      <c r="AU597" s="367"/>
    </row>
    <row r="598" spans="1:47" ht="12.75">
      <c r="A598" s="367"/>
      <c r="B598" s="367"/>
      <c r="C598" s="367"/>
      <c r="D598" s="367"/>
      <c r="E598" s="367"/>
      <c r="F598" s="367"/>
      <c r="G598" s="367"/>
      <c r="H598" s="367"/>
      <c r="I598" s="367"/>
      <c r="J598" s="367"/>
      <c r="K598" s="367"/>
      <c r="L598" s="367"/>
      <c r="M598" s="367"/>
      <c r="N598" s="367"/>
      <c r="O598" s="367"/>
      <c r="P598" s="364"/>
      <c r="Q598" s="365"/>
      <c r="R598" s="365"/>
      <c r="S598" s="365"/>
      <c r="T598" s="365"/>
      <c r="U598" s="366"/>
      <c r="V598" s="367"/>
      <c r="W598" s="367"/>
      <c r="X598" s="367"/>
      <c r="Y598" s="367"/>
      <c r="Z598" s="367"/>
      <c r="AA598" s="367"/>
      <c r="AB598" s="367"/>
      <c r="AC598" s="367"/>
      <c r="AD598" s="367"/>
      <c r="AE598" s="367"/>
      <c r="AF598" s="367"/>
      <c r="AG598" s="367"/>
      <c r="AH598" s="367"/>
      <c r="AI598" s="367"/>
      <c r="AJ598" s="367"/>
      <c r="AK598" s="367"/>
      <c r="AL598" s="367"/>
      <c r="AM598" s="367"/>
      <c r="AN598" s="367"/>
      <c r="AO598" s="367"/>
      <c r="AP598" s="367"/>
      <c r="AQ598" s="367"/>
      <c r="AR598" s="367"/>
      <c r="AS598" s="367"/>
      <c r="AT598" s="368"/>
      <c r="AU598" s="367"/>
    </row>
    <row r="599" spans="1:47" ht="12.75">
      <c r="A599" s="367"/>
      <c r="B599" s="367"/>
      <c r="C599" s="367"/>
      <c r="D599" s="367"/>
      <c r="E599" s="367"/>
      <c r="F599" s="367"/>
      <c r="G599" s="367"/>
      <c r="H599" s="367"/>
      <c r="I599" s="367"/>
      <c r="J599" s="367"/>
      <c r="K599" s="367"/>
      <c r="L599" s="367"/>
      <c r="M599" s="367"/>
      <c r="N599" s="367"/>
      <c r="O599" s="367"/>
      <c r="P599" s="364"/>
      <c r="Q599" s="365"/>
      <c r="R599" s="365"/>
      <c r="S599" s="365"/>
      <c r="T599" s="365"/>
      <c r="U599" s="366"/>
      <c r="V599" s="367"/>
      <c r="W599" s="367"/>
      <c r="X599" s="367"/>
      <c r="Y599" s="367"/>
      <c r="Z599" s="367"/>
      <c r="AA599" s="367"/>
      <c r="AB599" s="367"/>
      <c r="AC599" s="367"/>
      <c r="AD599" s="367"/>
      <c r="AE599" s="367"/>
      <c r="AF599" s="367"/>
      <c r="AG599" s="367"/>
      <c r="AH599" s="367"/>
      <c r="AI599" s="367"/>
      <c r="AJ599" s="367"/>
      <c r="AK599" s="367"/>
      <c r="AL599" s="367"/>
      <c r="AM599" s="367"/>
      <c r="AN599" s="367"/>
      <c r="AO599" s="367"/>
      <c r="AP599" s="367"/>
      <c r="AQ599" s="367"/>
      <c r="AR599" s="367"/>
      <c r="AS599" s="367"/>
      <c r="AT599" s="368"/>
      <c r="AU599" s="367"/>
    </row>
    <row r="600" spans="1:47" ht="12.75">
      <c r="A600" s="367"/>
      <c r="B600" s="367"/>
      <c r="C600" s="367"/>
      <c r="D600" s="367"/>
      <c r="E600" s="367"/>
      <c r="F600" s="367"/>
      <c r="G600" s="367"/>
      <c r="H600" s="367"/>
      <c r="I600" s="367"/>
      <c r="J600" s="367"/>
      <c r="K600" s="367"/>
      <c r="L600" s="367"/>
      <c r="M600" s="367"/>
      <c r="N600" s="367"/>
      <c r="O600" s="367"/>
      <c r="P600" s="364"/>
      <c r="Q600" s="365"/>
      <c r="R600" s="365"/>
      <c r="S600" s="365"/>
      <c r="T600" s="365"/>
      <c r="U600" s="366"/>
      <c r="V600" s="367"/>
      <c r="W600" s="367"/>
      <c r="X600" s="367"/>
      <c r="Y600" s="367"/>
      <c r="Z600" s="367"/>
      <c r="AA600" s="367"/>
      <c r="AB600" s="367"/>
      <c r="AC600" s="367"/>
      <c r="AD600" s="367"/>
      <c r="AE600" s="367"/>
      <c r="AF600" s="367"/>
      <c r="AG600" s="367"/>
      <c r="AH600" s="367"/>
      <c r="AI600" s="367"/>
      <c r="AJ600" s="367"/>
      <c r="AK600" s="367"/>
      <c r="AL600" s="367"/>
      <c r="AM600" s="367"/>
      <c r="AN600" s="367"/>
      <c r="AO600" s="367"/>
      <c r="AP600" s="367"/>
      <c r="AQ600" s="367"/>
      <c r="AR600" s="367"/>
      <c r="AS600" s="367"/>
      <c r="AT600" s="368"/>
      <c r="AU600" s="367"/>
    </row>
    <row r="601" spans="1:47" ht="12.75">
      <c r="A601" s="367"/>
      <c r="B601" s="367"/>
      <c r="C601" s="367"/>
      <c r="D601" s="367"/>
      <c r="E601" s="367"/>
      <c r="F601" s="367"/>
      <c r="G601" s="367"/>
      <c r="H601" s="367"/>
      <c r="I601" s="367"/>
      <c r="J601" s="367"/>
      <c r="K601" s="367"/>
      <c r="L601" s="367"/>
      <c r="M601" s="367"/>
      <c r="N601" s="367"/>
      <c r="O601" s="367"/>
      <c r="P601" s="364"/>
      <c r="Q601" s="365"/>
      <c r="R601" s="365"/>
      <c r="S601" s="365"/>
      <c r="T601" s="365"/>
      <c r="U601" s="366"/>
      <c r="V601" s="367"/>
      <c r="W601" s="367"/>
      <c r="X601" s="367"/>
      <c r="Y601" s="367"/>
      <c r="Z601" s="367"/>
      <c r="AA601" s="367"/>
      <c r="AB601" s="367"/>
      <c r="AC601" s="367"/>
      <c r="AD601" s="367"/>
      <c r="AE601" s="367"/>
      <c r="AF601" s="367"/>
      <c r="AG601" s="367"/>
      <c r="AH601" s="367"/>
      <c r="AI601" s="367"/>
      <c r="AJ601" s="367"/>
      <c r="AK601" s="367"/>
      <c r="AL601" s="367"/>
      <c r="AM601" s="367"/>
      <c r="AN601" s="367"/>
      <c r="AO601" s="367"/>
      <c r="AP601" s="367"/>
      <c r="AQ601" s="367"/>
      <c r="AR601" s="367"/>
      <c r="AS601" s="367"/>
      <c r="AT601" s="368"/>
      <c r="AU601" s="367"/>
    </row>
    <row r="602" spans="1:47" ht="12.75">
      <c r="A602" s="367"/>
      <c r="B602" s="367"/>
      <c r="C602" s="367"/>
      <c r="D602" s="367"/>
      <c r="E602" s="367"/>
      <c r="F602" s="367"/>
      <c r="G602" s="367"/>
      <c r="H602" s="367"/>
      <c r="I602" s="367"/>
      <c r="J602" s="367"/>
      <c r="K602" s="367"/>
      <c r="L602" s="367"/>
      <c r="M602" s="367"/>
      <c r="N602" s="367"/>
      <c r="O602" s="367"/>
      <c r="P602" s="364"/>
      <c r="Q602" s="365"/>
      <c r="R602" s="365"/>
      <c r="S602" s="365"/>
      <c r="T602" s="365"/>
      <c r="U602" s="366"/>
      <c r="V602" s="367"/>
      <c r="W602" s="367"/>
      <c r="X602" s="367"/>
      <c r="Y602" s="367"/>
      <c r="Z602" s="367"/>
      <c r="AA602" s="367"/>
      <c r="AB602" s="367"/>
      <c r="AC602" s="367"/>
      <c r="AD602" s="367"/>
      <c r="AE602" s="367"/>
      <c r="AF602" s="367"/>
      <c r="AG602" s="367"/>
      <c r="AH602" s="367"/>
      <c r="AI602" s="367"/>
      <c r="AJ602" s="367"/>
      <c r="AK602" s="367"/>
      <c r="AL602" s="367"/>
      <c r="AM602" s="367"/>
      <c r="AN602" s="367"/>
      <c r="AO602" s="367"/>
      <c r="AP602" s="367"/>
      <c r="AQ602" s="367"/>
      <c r="AR602" s="367"/>
      <c r="AS602" s="367"/>
      <c r="AT602" s="368"/>
      <c r="AU602" s="367"/>
    </row>
    <row r="603" spans="1:47" ht="12.75">
      <c r="A603" s="367"/>
      <c r="B603" s="367"/>
      <c r="C603" s="367"/>
      <c r="D603" s="367"/>
      <c r="E603" s="367"/>
      <c r="F603" s="367"/>
      <c r="G603" s="367"/>
      <c r="H603" s="367"/>
      <c r="I603" s="367"/>
      <c r="J603" s="367"/>
      <c r="K603" s="367"/>
      <c r="L603" s="367"/>
      <c r="M603" s="367"/>
      <c r="N603" s="367"/>
      <c r="O603" s="367"/>
      <c r="P603" s="364"/>
      <c r="Q603" s="365"/>
      <c r="R603" s="365"/>
      <c r="S603" s="365"/>
      <c r="T603" s="365"/>
      <c r="U603" s="366"/>
      <c r="V603" s="367"/>
      <c r="W603" s="367"/>
      <c r="X603" s="367"/>
      <c r="Y603" s="367"/>
      <c r="Z603" s="367"/>
      <c r="AA603" s="367"/>
      <c r="AB603" s="367"/>
      <c r="AC603" s="367"/>
      <c r="AD603" s="367"/>
      <c r="AE603" s="367"/>
      <c r="AF603" s="367"/>
      <c r="AG603" s="367"/>
      <c r="AH603" s="367"/>
      <c r="AI603" s="367"/>
      <c r="AJ603" s="367"/>
      <c r="AK603" s="367"/>
      <c r="AL603" s="367"/>
      <c r="AM603" s="367"/>
      <c r="AN603" s="367"/>
      <c r="AO603" s="367"/>
      <c r="AP603" s="367"/>
      <c r="AQ603" s="367"/>
      <c r="AR603" s="367"/>
      <c r="AS603" s="367"/>
      <c r="AT603" s="368"/>
      <c r="AU603" s="367"/>
    </row>
    <row r="604" spans="1:47" ht="12.75">
      <c r="A604" s="367"/>
      <c r="B604" s="367"/>
      <c r="C604" s="367"/>
      <c r="D604" s="367"/>
      <c r="E604" s="367"/>
      <c r="F604" s="367"/>
      <c r="G604" s="367"/>
      <c r="H604" s="367"/>
      <c r="I604" s="367"/>
      <c r="J604" s="367"/>
      <c r="K604" s="367"/>
      <c r="L604" s="367"/>
      <c r="M604" s="367"/>
      <c r="N604" s="367"/>
      <c r="O604" s="367"/>
      <c r="P604" s="364"/>
      <c r="Q604" s="365"/>
      <c r="R604" s="365"/>
      <c r="S604" s="365"/>
      <c r="T604" s="365"/>
      <c r="U604" s="366"/>
      <c r="V604" s="367"/>
      <c r="W604" s="367"/>
      <c r="X604" s="367"/>
      <c r="Y604" s="367"/>
      <c r="Z604" s="367"/>
      <c r="AA604" s="367"/>
      <c r="AB604" s="367"/>
      <c r="AC604" s="367"/>
      <c r="AD604" s="367"/>
      <c r="AE604" s="367"/>
      <c r="AF604" s="367"/>
      <c r="AG604" s="367"/>
      <c r="AH604" s="367"/>
      <c r="AI604" s="367"/>
      <c r="AJ604" s="367"/>
      <c r="AK604" s="367"/>
      <c r="AL604" s="367"/>
      <c r="AM604" s="367"/>
      <c r="AN604" s="367"/>
      <c r="AO604" s="367"/>
      <c r="AP604" s="367"/>
      <c r="AQ604" s="367"/>
      <c r="AR604" s="367"/>
      <c r="AS604" s="367"/>
      <c r="AT604" s="368"/>
      <c r="AU604" s="367"/>
    </row>
    <row r="605" spans="1:47" ht="12.75">
      <c r="A605" s="367"/>
      <c r="B605" s="367"/>
      <c r="C605" s="367"/>
      <c r="D605" s="367"/>
      <c r="E605" s="367"/>
      <c r="F605" s="367"/>
      <c r="G605" s="367"/>
      <c r="H605" s="367"/>
      <c r="I605" s="367"/>
      <c r="J605" s="367"/>
      <c r="K605" s="367"/>
      <c r="L605" s="367"/>
      <c r="M605" s="367"/>
      <c r="N605" s="367"/>
      <c r="O605" s="367"/>
      <c r="P605" s="364"/>
      <c r="Q605" s="365"/>
      <c r="R605" s="365"/>
      <c r="S605" s="365"/>
      <c r="T605" s="365"/>
      <c r="U605" s="366"/>
      <c r="V605" s="367"/>
      <c r="W605" s="367"/>
      <c r="X605" s="367"/>
      <c r="Y605" s="367"/>
      <c r="Z605" s="367"/>
      <c r="AA605" s="367"/>
      <c r="AB605" s="367"/>
      <c r="AC605" s="367"/>
      <c r="AD605" s="367"/>
      <c r="AE605" s="367"/>
      <c r="AF605" s="367"/>
      <c r="AG605" s="367"/>
      <c r="AH605" s="367"/>
      <c r="AI605" s="367"/>
      <c r="AJ605" s="367"/>
      <c r="AK605" s="367"/>
      <c r="AL605" s="367"/>
      <c r="AM605" s="367"/>
      <c r="AN605" s="367"/>
      <c r="AO605" s="367"/>
      <c r="AP605" s="367"/>
      <c r="AQ605" s="367"/>
      <c r="AR605" s="367"/>
      <c r="AS605" s="367"/>
      <c r="AT605" s="368"/>
      <c r="AU605" s="367"/>
    </row>
    <row r="606" spans="1:47" ht="12.75">
      <c r="A606" s="367"/>
      <c r="B606" s="367"/>
      <c r="C606" s="367"/>
      <c r="D606" s="367"/>
      <c r="E606" s="367"/>
      <c r="F606" s="367"/>
      <c r="G606" s="367"/>
      <c r="H606" s="367"/>
      <c r="I606" s="367"/>
      <c r="J606" s="367"/>
      <c r="K606" s="367"/>
      <c r="L606" s="367"/>
      <c r="M606" s="367"/>
      <c r="N606" s="367"/>
      <c r="O606" s="367"/>
      <c r="P606" s="364"/>
      <c r="Q606" s="365"/>
      <c r="R606" s="365"/>
      <c r="S606" s="365"/>
      <c r="T606" s="365"/>
      <c r="U606" s="366"/>
      <c r="V606" s="367"/>
      <c r="W606" s="367"/>
      <c r="X606" s="367"/>
      <c r="Y606" s="367"/>
      <c r="Z606" s="367"/>
      <c r="AA606" s="367"/>
      <c r="AB606" s="367"/>
      <c r="AC606" s="367"/>
      <c r="AD606" s="367"/>
      <c r="AE606" s="367"/>
      <c r="AF606" s="367"/>
      <c r="AG606" s="367"/>
      <c r="AH606" s="367"/>
      <c r="AI606" s="367"/>
      <c r="AJ606" s="367"/>
      <c r="AK606" s="367"/>
      <c r="AL606" s="367"/>
      <c r="AM606" s="367"/>
      <c r="AN606" s="367"/>
      <c r="AO606" s="367"/>
      <c r="AP606" s="367"/>
      <c r="AQ606" s="367"/>
      <c r="AR606" s="367"/>
      <c r="AS606" s="367"/>
      <c r="AT606" s="368"/>
      <c r="AU606" s="367"/>
    </row>
    <row r="607" spans="1:47" ht="12.75">
      <c r="A607" s="367"/>
      <c r="B607" s="367"/>
      <c r="C607" s="367"/>
      <c r="D607" s="367"/>
      <c r="E607" s="367"/>
      <c r="F607" s="367"/>
      <c r="G607" s="367"/>
      <c r="H607" s="367"/>
      <c r="I607" s="367"/>
      <c r="J607" s="367"/>
      <c r="K607" s="367"/>
      <c r="L607" s="367"/>
      <c r="M607" s="367"/>
      <c r="N607" s="367"/>
      <c r="O607" s="367"/>
      <c r="P607" s="364"/>
      <c r="Q607" s="365"/>
      <c r="R607" s="365"/>
      <c r="S607" s="365"/>
      <c r="T607" s="365"/>
      <c r="U607" s="366"/>
      <c r="V607" s="367"/>
      <c r="W607" s="367"/>
      <c r="X607" s="367"/>
      <c r="Y607" s="367"/>
      <c r="Z607" s="367"/>
      <c r="AA607" s="367"/>
      <c r="AB607" s="367"/>
      <c r="AC607" s="367"/>
      <c r="AD607" s="367"/>
      <c r="AE607" s="367"/>
      <c r="AF607" s="367"/>
      <c r="AG607" s="367"/>
      <c r="AH607" s="367"/>
      <c r="AI607" s="367"/>
      <c r="AJ607" s="367"/>
      <c r="AK607" s="367"/>
      <c r="AL607" s="367"/>
      <c r="AM607" s="367"/>
      <c r="AN607" s="367"/>
      <c r="AO607" s="367"/>
      <c r="AP607" s="367"/>
      <c r="AQ607" s="367"/>
      <c r="AR607" s="367"/>
      <c r="AS607" s="367"/>
      <c r="AT607" s="368"/>
      <c r="AU607" s="367"/>
    </row>
    <row r="608" spans="1:47" ht="12.75">
      <c r="A608" s="367"/>
      <c r="B608" s="367"/>
      <c r="C608" s="367"/>
      <c r="D608" s="367"/>
      <c r="E608" s="367"/>
      <c r="F608" s="367"/>
      <c r="G608" s="367"/>
      <c r="H608" s="367"/>
      <c r="I608" s="367"/>
      <c r="J608" s="367"/>
      <c r="K608" s="367"/>
      <c r="L608" s="367"/>
      <c r="M608" s="367"/>
      <c r="N608" s="367"/>
      <c r="O608" s="367"/>
      <c r="P608" s="364"/>
      <c r="Q608" s="365"/>
      <c r="R608" s="365"/>
      <c r="S608" s="365"/>
      <c r="T608" s="365"/>
      <c r="U608" s="366"/>
      <c r="V608" s="367"/>
      <c r="W608" s="367"/>
      <c r="X608" s="367"/>
      <c r="Y608" s="367"/>
      <c r="Z608" s="367"/>
      <c r="AA608" s="367"/>
      <c r="AB608" s="367"/>
      <c r="AC608" s="367"/>
      <c r="AD608" s="367"/>
      <c r="AE608" s="367"/>
      <c r="AF608" s="367"/>
      <c r="AG608" s="367"/>
      <c r="AH608" s="367"/>
      <c r="AI608" s="367"/>
      <c r="AJ608" s="367"/>
      <c r="AK608" s="367"/>
      <c r="AL608" s="367"/>
      <c r="AM608" s="367"/>
      <c r="AN608" s="367"/>
      <c r="AO608" s="367"/>
      <c r="AP608" s="367"/>
      <c r="AQ608" s="367"/>
      <c r="AR608" s="367"/>
      <c r="AS608" s="367"/>
      <c r="AT608" s="368"/>
      <c r="AU608" s="367"/>
    </row>
    <row r="609" spans="1:47" ht="12.75">
      <c r="A609" s="367"/>
      <c r="B609" s="367"/>
      <c r="C609" s="367"/>
      <c r="D609" s="367"/>
      <c r="E609" s="367"/>
      <c r="F609" s="367"/>
      <c r="G609" s="367"/>
      <c r="H609" s="367"/>
      <c r="I609" s="367"/>
      <c r="J609" s="367"/>
      <c r="K609" s="367"/>
      <c r="L609" s="367"/>
      <c r="M609" s="367"/>
      <c r="N609" s="367"/>
      <c r="O609" s="367"/>
      <c r="P609" s="364"/>
      <c r="Q609" s="365"/>
      <c r="R609" s="365"/>
      <c r="S609" s="365"/>
      <c r="T609" s="365"/>
      <c r="U609" s="366"/>
      <c r="V609" s="367"/>
      <c r="W609" s="367"/>
      <c r="X609" s="367"/>
      <c r="Y609" s="367"/>
      <c r="Z609" s="367"/>
      <c r="AA609" s="367"/>
      <c r="AB609" s="367"/>
      <c r="AC609" s="367"/>
      <c r="AD609" s="367"/>
      <c r="AE609" s="367"/>
      <c r="AF609" s="367"/>
      <c r="AG609" s="367"/>
      <c r="AH609" s="367"/>
      <c r="AI609" s="367"/>
      <c r="AJ609" s="367"/>
      <c r="AK609" s="367"/>
      <c r="AL609" s="367"/>
      <c r="AM609" s="367"/>
      <c r="AN609" s="367"/>
      <c r="AO609" s="367"/>
      <c r="AP609" s="367"/>
      <c r="AQ609" s="367"/>
      <c r="AR609" s="367"/>
      <c r="AS609" s="367"/>
      <c r="AT609" s="368"/>
      <c r="AU609" s="367"/>
    </row>
    <row r="610" spans="1:47" ht="12.75">
      <c r="A610" s="367"/>
      <c r="B610" s="367"/>
      <c r="C610" s="367"/>
      <c r="D610" s="367"/>
      <c r="E610" s="367"/>
      <c r="F610" s="367"/>
      <c r="G610" s="367"/>
      <c r="H610" s="367"/>
      <c r="I610" s="367"/>
      <c r="J610" s="367"/>
      <c r="K610" s="367"/>
      <c r="L610" s="367"/>
      <c r="M610" s="367"/>
      <c r="N610" s="367"/>
      <c r="O610" s="367"/>
      <c r="P610" s="364"/>
      <c r="Q610" s="365"/>
      <c r="R610" s="365"/>
      <c r="S610" s="365"/>
      <c r="T610" s="365"/>
      <c r="U610" s="366"/>
      <c r="V610" s="367"/>
      <c r="W610" s="367"/>
      <c r="X610" s="367"/>
      <c r="Y610" s="367"/>
      <c r="Z610" s="367"/>
      <c r="AA610" s="367"/>
      <c r="AB610" s="367"/>
      <c r="AC610" s="367"/>
      <c r="AD610" s="367"/>
      <c r="AE610" s="367"/>
      <c r="AF610" s="367"/>
      <c r="AG610" s="367"/>
      <c r="AH610" s="367"/>
      <c r="AI610" s="367"/>
      <c r="AJ610" s="367"/>
      <c r="AK610" s="367"/>
      <c r="AL610" s="367"/>
      <c r="AM610" s="367"/>
      <c r="AN610" s="367"/>
      <c r="AO610" s="367"/>
      <c r="AP610" s="367"/>
      <c r="AQ610" s="367"/>
      <c r="AR610" s="367"/>
      <c r="AS610" s="367"/>
      <c r="AT610" s="368"/>
      <c r="AU610" s="367"/>
    </row>
    <row r="611" spans="1:47" ht="12.75">
      <c r="A611" s="367"/>
      <c r="B611" s="367"/>
      <c r="C611" s="367"/>
      <c r="D611" s="367"/>
      <c r="E611" s="367"/>
      <c r="F611" s="367"/>
      <c r="G611" s="367"/>
      <c r="H611" s="367"/>
      <c r="I611" s="367"/>
      <c r="J611" s="367"/>
      <c r="K611" s="367"/>
      <c r="L611" s="367"/>
      <c r="M611" s="367"/>
      <c r="N611" s="367"/>
      <c r="O611" s="367"/>
      <c r="P611" s="364"/>
      <c r="Q611" s="365"/>
      <c r="R611" s="365"/>
      <c r="S611" s="365"/>
      <c r="T611" s="365"/>
      <c r="U611" s="366"/>
      <c r="V611" s="367"/>
      <c r="W611" s="367"/>
      <c r="X611" s="367"/>
      <c r="Y611" s="367"/>
      <c r="Z611" s="367"/>
      <c r="AA611" s="367"/>
      <c r="AB611" s="367"/>
      <c r="AC611" s="367"/>
      <c r="AD611" s="367"/>
      <c r="AE611" s="367"/>
      <c r="AF611" s="367"/>
      <c r="AG611" s="367"/>
      <c r="AH611" s="367"/>
      <c r="AI611" s="367"/>
      <c r="AJ611" s="367"/>
      <c r="AK611" s="367"/>
      <c r="AL611" s="367"/>
      <c r="AM611" s="367"/>
      <c r="AN611" s="367"/>
      <c r="AO611" s="367"/>
      <c r="AP611" s="367"/>
      <c r="AQ611" s="367"/>
      <c r="AR611" s="367"/>
      <c r="AS611" s="367"/>
      <c r="AT611" s="368"/>
      <c r="AU611" s="367"/>
    </row>
    <row r="612" spans="1:47" ht="12.75">
      <c r="A612" s="367"/>
      <c r="B612" s="367"/>
      <c r="C612" s="367"/>
      <c r="D612" s="367"/>
      <c r="E612" s="367"/>
      <c r="F612" s="367"/>
      <c r="G612" s="367"/>
      <c r="H612" s="367"/>
      <c r="I612" s="367"/>
      <c r="J612" s="367"/>
      <c r="K612" s="367"/>
      <c r="L612" s="367"/>
      <c r="M612" s="367"/>
      <c r="N612" s="367"/>
      <c r="O612" s="367"/>
      <c r="P612" s="364"/>
      <c r="Q612" s="365"/>
      <c r="R612" s="365"/>
      <c r="S612" s="365"/>
      <c r="T612" s="365"/>
      <c r="U612" s="366"/>
      <c r="V612" s="367"/>
      <c r="W612" s="367"/>
      <c r="X612" s="367"/>
      <c r="Y612" s="367"/>
      <c r="Z612" s="367"/>
      <c r="AA612" s="367"/>
      <c r="AB612" s="367"/>
      <c r="AC612" s="367"/>
      <c r="AD612" s="367"/>
      <c r="AE612" s="367"/>
      <c r="AF612" s="367"/>
      <c r="AG612" s="367"/>
      <c r="AH612" s="367"/>
      <c r="AI612" s="367"/>
      <c r="AJ612" s="367"/>
      <c r="AK612" s="367"/>
      <c r="AL612" s="367"/>
      <c r="AM612" s="367"/>
      <c r="AN612" s="367"/>
      <c r="AO612" s="367"/>
      <c r="AP612" s="367"/>
      <c r="AQ612" s="367"/>
      <c r="AR612" s="367"/>
      <c r="AS612" s="367"/>
      <c r="AT612" s="368"/>
      <c r="AU612" s="367"/>
    </row>
    <row r="613" spans="1:47" ht="12.75">
      <c r="A613" s="367"/>
      <c r="B613" s="367"/>
      <c r="C613" s="367"/>
      <c r="D613" s="367"/>
      <c r="E613" s="367"/>
      <c r="F613" s="367"/>
      <c r="G613" s="367"/>
      <c r="H613" s="367"/>
      <c r="I613" s="367"/>
      <c r="J613" s="367"/>
      <c r="K613" s="367"/>
      <c r="L613" s="367"/>
      <c r="M613" s="367"/>
      <c r="N613" s="367"/>
      <c r="O613" s="367"/>
      <c r="P613" s="364"/>
      <c r="Q613" s="365"/>
      <c r="R613" s="365"/>
      <c r="S613" s="365"/>
      <c r="T613" s="365"/>
      <c r="U613" s="366"/>
      <c r="V613" s="367"/>
      <c r="W613" s="367"/>
      <c r="X613" s="367"/>
      <c r="Y613" s="367"/>
      <c r="Z613" s="367"/>
      <c r="AA613" s="367"/>
      <c r="AB613" s="367"/>
      <c r="AC613" s="367"/>
      <c r="AD613" s="367"/>
      <c r="AE613" s="367"/>
      <c r="AF613" s="367"/>
      <c r="AG613" s="367"/>
      <c r="AH613" s="367"/>
      <c r="AI613" s="367"/>
      <c r="AJ613" s="367"/>
      <c r="AK613" s="367"/>
      <c r="AL613" s="367"/>
      <c r="AM613" s="367"/>
      <c r="AN613" s="367"/>
      <c r="AO613" s="367"/>
      <c r="AP613" s="367"/>
      <c r="AQ613" s="367"/>
      <c r="AR613" s="367"/>
      <c r="AS613" s="367"/>
      <c r="AT613" s="368"/>
      <c r="AU613" s="367"/>
    </row>
    <row r="614" spans="1:47" ht="12.75">
      <c r="A614" s="367"/>
      <c r="B614" s="367"/>
      <c r="C614" s="367"/>
      <c r="D614" s="367"/>
      <c r="E614" s="367"/>
      <c r="F614" s="367"/>
      <c r="G614" s="367"/>
      <c r="H614" s="367"/>
      <c r="I614" s="367"/>
      <c r="J614" s="367"/>
      <c r="K614" s="367"/>
      <c r="L614" s="367"/>
      <c r="M614" s="367"/>
      <c r="N614" s="367"/>
      <c r="O614" s="367"/>
      <c r="P614" s="364"/>
      <c r="Q614" s="365"/>
      <c r="R614" s="365"/>
      <c r="S614" s="365"/>
      <c r="T614" s="365"/>
      <c r="U614" s="366"/>
      <c r="V614" s="367"/>
      <c r="W614" s="367"/>
      <c r="X614" s="367"/>
      <c r="Y614" s="367"/>
      <c r="Z614" s="367"/>
      <c r="AA614" s="367"/>
      <c r="AB614" s="367"/>
      <c r="AC614" s="367"/>
      <c r="AD614" s="367"/>
      <c r="AE614" s="367"/>
      <c r="AF614" s="367"/>
      <c r="AG614" s="367"/>
      <c r="AH614" s="367"/>
      <c r="AI614" s="367"/>
      <c r="AJ614" s="367"/>
      <c r="AK614" s="367"/>
      <c r="AL614" s="367"/>
      <c r="AM614" s="367"/>
      <c r="AN614" s="367"/>
      <c r="AO614" s="367"/>
      <c r="AP614" s="367"/>
      <c r="AQ614" s="367"/>
      <c r="AR614" s="367"/>
      <c r="AS614" s="367"/>
      <c r="AT614" s="368"/>
      <c r="AU614" s="367"/>
    </row>
    <row r="615" spans="1:47" ht="12.75">
      <c r="A615" s="367"/>
      <c r="B615" s="367"/>
      <c r="C615" s="367"/>
      <c r="D615" s="367"/>
      <c r="E615" s="367"/>
      <c r="F615" s="367"/>
      <c r="G615" s="367"/>
      <c r="H615" s="367"/>
      <c r="I615" s="367"/>
      <c r="J615" s="367"/>
      <c r="K615" s="367"/>
      <c r="L615" s="367"/>
      <c r="M615" s="367"/>
      <c r="N615" s="367"/>
      <c r="O615" s="367"/>
      <c r="P615" s="364"/>
      <c r="Q615" s="365"/>
      <c r="R615" s="365"/>
      <c r="S615" s="365"/>
      <c r="T615" s="365"/>
      <c r="U615" s="366"/>
      <c r="V615" s="367"/>
      <c r="W615" s="367"/>
      <c r="X615" s="367"/>
      <c r="Y615" s="367"/>
      <c r="Z615" s="367"/>
      <c r="AA615" s="367"/>
      <c r="AB615" s="367"/>
      <c r="AC615" s="367"/>
      <c r="AD615" s="367"/>
      <c r="AE615" s="367"/>
      <c r="AF615" s="367"/>
      <c r="AG615" s="367"/>
      <c r="AH615" s="367"/>
      <c r="AI615" s="367"/>
      <c r="AJ615" s="367"/>
      <c r="AK615" s="367"/>
      <c r="AL615" s="367"/>
      <c r="AM615" s="367"/>
      <c r="AN615" s="367"/>
      <c r="AO615" s="367"/>
      <c r="AP615" s="367"/>
      <c r="AQ615" s="367"/>
      <c r="AR615" s="367"/>
      <c r="AS615" s="367"/>
      <c r="AT615" s="368"/>
      <c r="AU615" s="367"/>
    </row>
    <row r="616" spans="1:47" ht="12.75">
      <c r="A616" s="367"/>
      <c r="B616" s="367"/>
      <c r="C616" s="367"/>
      <c r="D616" s="367"/>
      <c r="E616" s="367"/>
      <c r="F616" s="367"/>
      <c r="G616" s="367"/>
      <c r="H616" s="367"/>
      <c r="I616" s="367"/>
      <c r="J616" s="367"/>
      <c r="K616" s="367"/>
      <c r="L616" s="367"/>
      <c r="M616" s="367"/>
      <c r="N616" s="367"/>
      <c r="O616" s="367"/>
      <c r="P616" s="364"/>
      <c r="Q616" s="365"/>
      <c r="R616" s="365"/>
      <c r="S616" s="365"/>
      <c r="T616" s="365"/>
      <c r="U616" s="366"/>
      <c r="V616" s="367"/>
      <c r="W616" s="367"/>
      <c r="X616" s="367"/>
      <c r="Y616" s="367"/>
      <c r="Z616" s="367"/>
      <c r="AA616" s="367"/>
      <c r="AB616" s="367"/>
      <c r="AC616" s="367"/>
      <c r="AD616" s="367"/>
      <c r="AE616" s="367"/>
      <c r="AF616" s="367"/>
      <c r="AG616" s="367"/>
      <c r="AH616" s="367"/>
      <c r="AI616" s="367"/>
      <c r="AJ616" s="367"/>
      <c r="AK616" s="367"/>
      <c r="AL616" s="367"/>
      <c r="AM616" s="367"/>
      <c r="AN616" s="367"/>
      <c r="AO616" s="367"/>
      <c r="AP616" s="367"/>
      <c r="AQ616" s="367"/>
      <c r="AR616" s="367"/>
      <c r="AS616" s="367"/>
      <c r="AT616" s="368"/>
      <c r="AU616" s="367"/>
    </row>
    <row r="617" spans="1:47" ht="12.75">
      <c r="A617" s="367"/>
      <c r="B617" s="367"/>
      <c r="C617" s="367"/>
      <c r="D617" s="367"/>
      <c r="E617" s="367"/>
      <c r="F617" s="367"/>
      <c r="G617" s="367"/>
      <c r="H617" s="367"/>
      <c r="I617" s="367"/>
      <c r="J617" s="367"/>
      <c r="K617" s="367"/>
      <c r="L617" s="367"/>
      <c r="M617" s="367"/>
      <c r="N617" s="367"/>
      <c r="O617" s="367"/>
      <c r="P617" s="364"/>
      <c r="Q617" s="365"/>
      <c r="R617" s="365"/>
      <c r="S617" s="365"/>
      <c r="T617" s="365"/>
      <c r="U617" s="366"/>
      <c r="V617" s="367"/>
      <c r="W617" s="367"/>
      <c r="X617" s="367"/>
      <c r="Y617" s="367"/>
      <c r="Z617" s="367"/>
      <c r="AA617" s="367"/>
      <c r="AB617" s="367"/>
      <c r="AC617" s="367"/>
      <c r="AD617" s="367"/>
      <c r="AE617" s="367"/>
      <c r="AF617" s="367"/>
      <c r="AG617" s="367"/>
      <c r="AH617" s="367"/>
      <c r="AI617" s="367"/>
      <c r="AJ617" s="367"/>
      <c r="AK617" s="367"/>
      <c r="AL617" s="367"/>
      <c r="AM617" s="367"/>
      <c r="AN617" s="367"/>
      <c r="AO617" s="367"/>
      <c r="AP617" s="367"/>
      <c r="AQ617" s="367"/>
      <c r="AR617" s="367"/>
      <c r="AS617" s="367"/>
      <c r="AT617" s="368"/>
      <c r="AU617" s="367"/>
    </row>
    <row r="618" spans="1:47" ht="12.75">
      <c r="A618" s="367"/>
      <c r="B618" s="367"/>
      <c r="C618" s="367"/>
      <c r="D618" s="367"/>
      <c r="E618" s="367"/>
      <c r="F618" s="367"/>
      <c r="G618" s="367"/>
      <c r="H618" s="367"/>
      <c r="I618" s="367"/>
      <c r="J618" s="367"/>
      <c r="K618" s="367"/>
      <c r="L618" s="367"/>
      <c r="M618" s="367"/>
      <c r="N618" s="367"/>
      <c r="O618" s="367"/>
      <c r="P618" s="364"/>
      <c r="Q618" s="365"/>
      <c r="R618" s="365"/>
      <c r="S618" s="365"/>
      <c r="T618" s="365"/>
      <c r="U618" s="366"/>
      <c r="V618" s="367"/>
      <c r="W618" s="367"/>
      <c r="X618" s="367"/>
      <c r="Y618" s="367"/>
      <c r="Z618" s="367"/>
      <c r="AA618" s="367"/>
      <c r="AB618" s="367"/>
      <c r="AC618" s="367"/>
      <c r="AD618" s="367"/>
      <c r="AE618" s="367"/>
      <c r="AF618" s="367"/>
      <c r="AG618" s="367"/>
      <c r="AH618" s="367"/>
      <c r="AI618" s="367"/>
      <c r="AJ618" s="367"/>
      <c r="AK618" s="367"/>
      <c r="AL618" s="367"/>
      <c r="AM618" s="367"/>
      <c r="AN618" s="367"/>
      <c r="AO618" s="367"/>
      <c r="AP618" s="367"/>
      <c r="AQ618" s="367"/>
      <c r="AR618" s="367"/>
      <c r="AS618" s="367"/>
      <c r="AT618" s="368"/>
      <c r="AU618" s="367"/>
    </row>
    <row r="619" spans="1:47" ht="12.75">
      <c r="A619" s="367"/>
      <c r="B619" s="367"/>
      <c r="C619" s="367"/>
      <c r="D619" s="367"/>
      <c r="E619" s="367"/>
      <c r="F619" s="367"/>
      <c r="G619" s="367"/>
      <c r="H619" s="367"/>
      <c r="I619" s="367"/>
      <c r="J619" s="367"/>
      <c r="K619" s="367"/>
      <c r="L619" s="367"/>
      <c r="M619" s="367"/>
      <c r="N619" s="367"/>
      <c r="O619" s="367"/>
      <c r="P619" s="364"/>
      <c r="Q619" s="365"/>
      <c r="R619" s="365"/>
      <c r="S619" s="365"/>
      <c r="T619" s="365"/>
      <c r="U619" s="366"/>
      <c r="V619" s="367"/>
      <c r="W619" s="367"/>
      <c r="X619" s="367"/>
      <c r="Y619" s="367"/>
      <c r="Z619" s="367"/>
      <c r="AA619" s="367"/>
      <c r="AB619" s="367"/>
      <c r="AC619" s="367"/>
      <c r="AD619" s="367"/>
      <c r="AE619" s="367"/>
      <c r="AF619" s="367"/>
      <c r="AG619" s="367"/>
      <c r="AH619" s="367"/>
      <c r="AI619" s="367"/>
      <c r="AJ619" s="367"/>
      <c r="AK619" s="367"/>
      <c r="AL619" s="367"/>
      <c r="AM619" s="367"/>
      <c r="AN619" s="367"/>
      <c r="AO619" s="367"/>
      <c r="AP619" s="367"/>
      <c r="AQ619" s="367"/>
      <c r="AR619" s="367"/>
      <c r="AS619" s="367"/>
      <c r="AT619" s="368"/>
      <c r="AU619" s="367"/>
    </row>
    <row r="620" spans="1:47" ht="12.75">
      <c r="A620" s="367"/>
      <c r="B620" s="367"/>
      <c r="C620" s="367"/>
      <c r="D620" s="367"/>
      <c r="E620" s="367"/>
      <c r="F620" s="367"/>
      <c r="G620" s="367"/>
      <c r="H620" s="367"/>
      <c r="I620" s="367"/>
      <c r="J620" s="367"/>
      <c r="K620" s="367"/>
      <c r="L620" s="367"/>
      <c r="M620" s="367"/>
      <c r="N620" s="367"/>
      <c r="O620" s="367"/>
      <c r="P620" s="364"/>
      <c r="Q620" s="365"/>
      <c r="R620" s="365"/>
      <c r="S620" s="365"/>
      <c r="T620" s="365"/>
      <c r="U620" s="366"/>
      <c r="V620" s="367"/>
      <c r="W620" s="367"/>
      <c r="X620" s="367"/>
      <c r="Y620" s="367"/>
      <c r="Z620" s="367"/>
      <c r="AA620" s="367"/>
      <c r="AB620" s="367"/>
      <c r="AC620" s="367"/>
      <c r="AD620" s="367"/>
      <c r="AE620" s="367"/>
      <c r="AF620" s="367"/>
      <c r="AG620" s="367"/>
      <c r="AH620" s="367"/>
      <c r="AI620" s="367"/>
      <c r="AJ620" s="367"/>
      <c r="AK620" s="367"/>
      <c r="AL620" s="367"/>
      <c r="AM620" s="367"/>
      <c r="AN620" s="367"/>
      <c r="AO620" s="367"/>
      <c r="AP620" s="367"/>
      <c r="AQ620" s="367"/>
      <c r="AR620" s="367"/>
      <c r="AS620" s="367"/>
      <c r="AT620" s="368"/>
      <c r="AU620" s="367"/>
    </row>
    <row r="621" spans="1:47" ht="12.75">
      <c r="A621" s="367"/>
      <c r="B621" s="367"/>
      <c r="C621" s="367"/>
      <c r="D621" s="367"/>
      <c r="E621" s="367"/>
      <c r="F621" s="367"/>
      <c r="G621" s="367"/>
      <c r="H621" s="367"/>
      <c r="I621" s="367"/>
      <c r="J621" s="367"/>
      <c r="K621" s="367"/>
      <c r="L621" s="367"/>
      <c r="M621" s="367"/>
      <c r="N621" s="367"/>
      <c r="O621" s="367"/>
      <c r="P621" s="364"/>
      <c r="Q621" s="365"/>
      <c r="R621" s="365"/>
      <c r="S621" s="365"/>
      <c r="T621" s="365"/>
      <c r="U621" s="366"/>
      <c r="V621" s="367"/>
      <c r="W621" s="367"/>
      <c r="X621" s="367"/>
      <c r="Y621" s="367"/>
      <c r="Z621" s="367"/>
      <c r="AA621" s="367"/>
      <c r="AB621" s="367"/>
      <c r="AC621" s="367"/>
      <c r="AD621" s="367"/>
      <c r="AE621" s="367"/>
      <c r="AF621" s="367"/>
      <c r="AG621" s="367"/>
      <c r="AH621" s="367"/>
      <c r="AI621" s="367"/>
      <c r="AJ621" s="367"/>
      <c r="AK621" s="367"/>
      <c r="AL621" s="367"/>
      <c r="AM621" s="367"/>
      <c r="AN621" s="367"/>
      <c r="AO621" s="367"/>
      <c r="AP621" s="367"/>
      <c r="AQ621" s="367"/>
      <c r="AR621" s="367"/>
      <c r="AS621" s="367"/>
      <c r="AT621" s="368"/>
      <c r="AU621" s="367"/>
    </row>
    <row r="622" spans="1:47" ht="12.75">
      <c r="A622" s="367"/>
      <c r="B622" s="367"/>
      <c r="C622" s="367"/>
      <c r="D622" s="367"/>
      <c r="E622" s="367"/>
      <c r="F622" s="367"/>
      <c r="G622" s="367"/>
      <c r="H622" s="367"/>
      <c r="I622" s="367"/>
      <c r="J622" s="367"/>
      <c r="K622" s="367"/>
      <c r="L622" s="367"/>
      <c r="M622" s="367"/>
      <c r="N622" s="367"/>
      <c r="O622" s="367"/>
      <c r="P622" s="364"/>
      <c r="Q622" s="365"/>
      <c r="R622" s="365"/>
      <c r="S622" s="365"/>
      <c r="T622" s="365"/>
      <c r="U622" s="366"/>
      <c r="V622" s="367"/>
      <c r="W622" s="367"/>
      <c r="X622" s="367"/>
      <c r="Y622" s="367"/>
      <c r="Z622" s="367"/>
      <c r="AA622" s="367"/>
      <c r="AB622" s="367"/>
      <c r="AC622" s="367"/>
      <c r="AD622" s="367"/>
      <c r="AE622" s="367"/>
      <c r="AF622" s="367"/>
      <c r="AG622" s="367"/>
      <c r="AH622" s="367"/>
      <c r="AI622" s="367"/>
      <c r="AJ622" s="367"/>
      <c r="AK622" s="367"/>
      <c r="AL622" s="367"/>
      <c r="AM622" s="367"/>
      <c r="AN622" s="367"/>
      <c r="AO622" s="367"/>
      <c r="AP622" s="367"/>
      <c r="AQ622" s="367"/>
      <c r="AR622" s="367"/>
      <c r="AS622" s="367"/>
      <c r="AT622" s="368"/>
      <c r="AU622" s="367"/>
    </row>
    <row r="623" spans="1:47" ht="12.75">
      <c r="A623" s="367"/>
      <c r="B623" s="367"/>
      <c r="C623" s="367"/>
      <c r="D623" s="367"/>
      <c r="E623" s="367"/>
      <c r="F623" s="367"/>
      <c r="G623" s="367"/>
      <c r="H623" s="367"/>
      <c r="I623" s="367"/>
      <c r="J623" s="367"/>
      <c r="K623" s="367"/>
      <c r="L623" s="367"/>
      <c r="M623" s="367"/>
      <c r="N623" s="367"/>
      <c r="O623" s="367"/>
      <c r="P623" s="364"/>
      <c r="Q623" s="365"/>
      <c r="R623" s="365"/>
      <c r="S623" s="365"/>
      <c r="T623" s="365"/>
      <c r="U623" s="366"/>
      <c r="V623" s="367"/>
      <c r="W623" s="367"/>
      <c r="X623" s="367"/>
      <c r="Y623" s="367"/>
      <c r="Z623" s="367"/>
      <c r="AA623" s="367"/>
      <c r="AB623" s="367"/>
      <c r="AC623" s="367"/>
      <c r="AD623" s="367"/>
      <c r="AE623" s="367"/>
      <c r="AF623" s="367"/>
      <c r="AG623" s="367"/>
      <c r="AH623" s="367"/>
      <c r="AI623" s="367"/>
      <c r="AJ623" s="367"/>
      <c r="AK623" s="367"/>
      <c r="AL623" s="367"/>
      <c r="AM623" s="367"/>
      <c r="AN623" s="367"/>
      <c r="AO623" s="367"/>
      <c r="AP623" s="367"/>
      <c r="AQ623" s="367"/>
      <c r="AR623" s="367"/>
      <c r="AS623" s="367"/>
      <c r="AT623" s="368"/>
      <c r="AU623" s="367"/>
    </row>
    <row r="624" spans="1:47" ht="12.75">
      <c r="A624" s="367"/>
      <c r="B624" s="367"/>
      <c r="C624" s="367"/>
      <c r="D624" s="367"/>
      <c r="E624" s="367"/>
      <c r="F624" s="367"/>
      <c r="G624" s="367"/>
      <c r="H624" s="367"/>
      <c r="I624" s="367"/>
      <c r="J624" s="367"/>
      <c r="K624" s="367"/>
      <c r="L624" s="367"/>
      <c r="M624" s="367"/>
      <c r="N624" s="367"/>
      <c r="O624" s="367"/>
      <c r="P624" s="364"/>
      <c r="Q624" s="365"/>
      <c r="R624" s="365"/>
      <c r="S624" s="365"/>
      <c r="T624" s="365"/>
      <c r="U624" s="366"/>
      <c r="V624" s="367"/>
      <c r="W624" s="367"/>
      <c r="X624" s="367"/>
      <c r="Y624" s="367"/>
      <c r="Z624" s="367"/>
      <c r="AA624" s="367"/>
      <c r="AB624" s="367"/>
      <c r="AC624" s="367"/>
      <c r="AD624" s="367"/>
      <c r="AE624" s="367"/>
      <c r="AF624" s="367"/>
      <c r="AG624" s="367"/>
      <c r="AH624" s="367"/>
      <c r="AI624" s="367"/>
      <c r="AJ624" s="367"/>
      <c r="AK624" s="367"/>
      <c r="AL624" s="367"/>
      <c r="AM624" s="367"/>
      <c r="AN624" s="367"/>
      <c r="AO624" s="367"/>
      <c r="AP624" s="367"/>
      <c r="AQ624" s="367"/>
      <c r="AR624" s="367"/>
      <c r="AS624" s="367"/>
      <c r="AT624" s="368"/>
      <c r="AU624" s="367"/>
    </row>
    <row r="625" spans="1:47" ht="12.75">
      <c r="A625" s="367"/>
      <c r="B625" s="367"/>
      <c r="C625" s="367"/>
      <c r="D625" s="367"/>
      <c r="E625" s="367"/>
      <c r="F625" s="367"/>
      <c r="G625" s="367"/>
      <c r="H625" s="367"/>
      <c r="I625" s="367"/>
      <c r="J625" s="367"/>
      <c r="K625" s="367"/>
      <c r="L625" s="367"/>
      <c r="M625" s="367"/>
      <c r="N625" s="367"/>
      <c r="O625" s="367"/>
      <c r="P625" s="364"/>
      <c r="Q625" s="365"/>
      <c r="R625" s="365"/>
      <c r="S625" s="365"/>
      <c r="T625" s="365"/>
      <c r="U625" s="366"/>
      <c r="V625" s="367"/>
      <c r="W625" s="367"/>
      <c r="X625" s="367"/>
      <c r="Y625" s="367"/>
      <c r="Z625" s="367"/>
      <c r="AA625" s="367"/>
      <c r="AB625" s="367"/>
      <c r="AC625" s="367"/>
      <c r="AD625" s="367"/>
      <c r="AE625" s="367"/>
      <c r="AF625" s="367"/>
      <c r="AG625" s="367"/>
      <c r="AH625" s="367"/>
      <c r="AI625" s="367"/>
      <c r="AJ625" s="367"/>
      <c r="AK625" s="367"/>
      <c r="AL625" s="367"/>
      <c r="AM625" s="367"/>
      <c r="AN625" s="367"/>
      <c r="AO625" s="367"/>
      <c r="AP625" s="367"/>
      <c r="AQ625" s="367"/>
      <c r="AR625" s="367"/>
      <c r="AS625" s="367"/>
      <c r="AT625" s="368"/>
      <c r="AU625" s="367"/>
    </row>
    <row r="626" spans="1:47" ht="12.75">
      <c r="A626" s="367"/>
      <c r="B626" s="367"/>
      <c r="C626" s="367"/>
      <c r="D626" s="367"/>
      <c r="E626" s="367"/>
      <c r="F626" s="367"/>
      <c r="G626" s="367"/>
      <c r="H626" s="367"/>
      <c r="I626" s="367"/>
      <c r="J626" s="367"/>
      <c r="K626" s="367"/>
      <c r="L626" s="367"/>
      <c r="M626" s="367"/>
      <c r="N626" s="367"/>
      <c r="O626" s="367"/>
      <c r="P626" s="364"/>
      <c r="Q626" s="365"/>
      <c r="R626" s="365"/>
      <c r="S626" s="365"/>
      <c r="T626" s="365"/>
      <c r="U626" s="366"/>
      <c r="V626" s="367"/>
      <c r="W626" s="367"/>
      <c r="X626" s="367"/>
      <c r="Y626" s="367"/>
      <c r="Z626" s="367"/>
      <c r="AA626" s="367"/>
      <c r="AB626" s="367"/>
      <c r="AC626" s="367"/>
      <c r="AD626" s="367"/>
      <c r="AE626" s="367"/>
      <c r="AF626" s="367"/>
      <c r="AG626" s="367"/>
      <c r="AH626" s="367"/>
      <c r="AI626" s="367"/>
      <c r="AJ626" s="367"/>
      <c r="AK626" s="367"/>
      <c r="AL626" s="367"/>
      <c r="AM626" s="367"/>
      <c r="AN626" s="367"/>
      <c r="AO626" s="367"/>
      <c r="AP626" s="367"/>
      <c r="AQ626" s="367"/>
      <c r="AR626" s="367"/>
      <c r="AS626" s="367"/>
      <c r="AT626" s="368"/>
      <c r="AU626" s="367"/>
    </row>
    <row r="627" spans="1:47" ht="12.75">
      <c r="A627" s="367"/>
      <c r="B627" s="367"/>
      <c r="C627" s="367"/>
      <c r="D627" s="367"/>
      <c r="E627" s="367"/>
      <c r="F627" s="367"/>
      <c r="G627" s="367"/>
      <c r="H627" s="367"/>
      <c r="I627" s="367"/>
      <c r="J627" s="367"/>
      <c r="K627" s="367"/>
      <c r="L627" s="367"/>
      <c r="M627" s="367"/>
      <c r="N627" s="367"/>
      <c r="O627" s="367"/>
      <c r="P627" s="364"/>
      <c r="Q627" s="365"/>
      <c r="R627" s="365"/>
      <c r="S627" s="365"/>
      <c r="T627" s="365"/>
      <c r="U627" s="366"/>
      <c r="V627" s="367"/>
      <c r="W627" s="367"/>
      <c r="X627" s="367"/>
      <c r="Y627" s="367"/>
      <c r="Z627" s="367"/>
      <c r="AA627" s="367"/>
      <c r="AB627" s="367"/>
      <c r="AC627" s="367"/>
      <c r="AD627" s="367"/>
      <c r="AE627" s="367"/>
      <c r="AF627" s="367"/>
      <c r="AG627" s="367"/>
      <c r="AH627" s="367"/>
      <c r="AI627" s="367"/>
      <c r="AJ627" s="367"/>
      <c r="AK627" s="367"/>
      <c r="AL627" s="367"/>
      <c r="AM627" s="367"/>
      <c r="AN627" s="367"/>
      <c r="AO627" s="367"/>
      <c r="AP627" s="367"/>
      <c r="AQ627" s="367"/>
      <c r="AR627" s="367"/>
      <c r="AS627" s="367"/>
      <c r="AT627" s="368"/>
      <c r="AU627" s="367"/>
    </row>
    <row r="628" spans="1:47" ht="12.75">
      <c r="A628" s="367"/>
      <c r="B628" s="367"/>
      <c r="C628" s="367"/>
      <c r="D628" s="367"/>
      <c r="E628" s="367"/>
      <c r="F628" s="367"/>
      <c r="G628" s="367"/>
      <c r="H628" s="367"/>
      <c r="I628" s="367"/>
      <c r="J628" s="367"/>
      <c r="K628" s="367"/>
      <c r="L628" s="367"/>
      <c r="M628" s="367"/>
      <c r="N628" s="367"/>
      <c r="O628" s="367"/>
      <c r="P628" s="364"/>
      <c r="Q628" s="365"/>
      <c r="R628" s="365"/>
      <c r="S628" s="365"/>
      <c r="T628" s="365"/>
      <c r="U628" s="366"/>
      <c r="V628" s="367"/>
      <c r="W628" s="367"/>
      <c r="X628" s="367"/>
      <c r="Y628" s="367"/>
      <c r="Z628" s="367"/>
      <c r="AA628" s="367"/>
      <c r="AB628" s="367"/>
      <c r="AC628" s="367"/>
      <c r="AD628" s="367"/>
      <c r="AE628" s="367"/>
      <c r="AF628" s="367"/>
      <c r="AG628" s="367"/>
      <c r="AH628" s="367"/>
      <c r="AI628" s="367"/>
      <c r="AJ628" s="367"/>
      <c r="AK628" s="367"/>
      <c r="AL628" s="367"/>
      <c r="AM628" s="367"/>
      <c r="AN628" s="367"/>
      <c r="AO628" s="367"/>
      <c r="AP628" s="367"/>
      <c r="AQ628" s="367"/>
      <c r="AR628" s="367"/>
      <c r="AS628" s="367"/>
      <c r="AT628" s="368"/>
      <c r="AU628" s="367"/>
    </row>
    <row r="629" spans="1:47" ht="12.75">
      <c r="A629" s="367"/>
      <c r="B629" s="367"/>
      <c r="C629" s="367"/>
      <c r="D629" s="367"/>
      <c r="E629" s="367"/>
      <c r="F629" s="367"/>
      <c r="G629" s="367"/>
      <c r="H629" s="367"/>
      <c r="I629" s="367"/>
      <c r="J629" s="367"/>
      <c r="K629" s="367"/>
      <c r="L629" s="367"/>
      <c r="M629" s="367"/>
      <c r="N629" s="367"/>
      <c r="O629" s="367"/>
      <c r="P629" s="364"/>
      <c r="Q629" s="365"/>
      <c r="R629" s="365"/>
      <c r="S629" s="365"/>
      <c r="T629" s="365"/>
      <c r="U629" s="366"/>
      <c r="V629" s="367"/>
      <c r="W629" s="367"/>
      <c r="X629" s="367"/>
      <c r="Y629" s="367"/>
      <c r="Z629" s="367"/>
      <c r="AA629" s="367"/>
      <c r="AB629" s="367"/>
      <c r="AC629" s="367"/>
      <c r="AD629" s="367"/>
      <c r="AE629" s="367"/>
      <c r="AF629" s="367"/>
      <c r="AG629" s="367"/>
      <c r="AH629" s="367"/>
      <c r="AI629" s="367"/>
      <c r="AJ629" s="367"/>
      <c r="AK629" s="367"/>
      <c r="AL629" s="367"/>
      <c r="AM629" s="367"/>
      <c r="AN629" s="367"/>
      <c r="AO629" s="367"/>
      <c r="AP629" s="367"/>
      <c r="AQ629" s="367"/>
      <c r="AR629" s="367"/>
      <c r="AS629" s="367"/>
      <c r="AT629" s="368"/>
      <c r="AU629" s="367"/>
    </row>
    <row r="630" spans="1:47" ht="12.75">
      <c r="A630" s="367"/>
      <c r="B630" s="367"/>
      <c r="C630" s="367"/>
      <c r="D630" s="367"/>
      <c r="E630" s="367"/>
      <c r="F630" s="367"/>
      <c r="G630" s="367"/>
      <c r="H630" s="367"/>
      <c r="I630" s="367"/>
      <c r="J630" s="367"/>
      <c r="K630" s="367"/>
      <c r="L630" s="367"/>
      <c r="M630" s="367"/>
      <c r="N630" s="367"/>
      <c r="O630" s="367"/>
      <c r="P630" s="364"/>
      <c r="Q630" s="365"/>
      <c r="R630" s="365"/>
      <c r="S630" s="365"/>
      <c r="T630" s="365"/>
      <c r="U630" s="366"/>
      <c r="V630" s="367"/>
      <c r="W630" s="367"/>
      <c r="X630" s="367"/>
      <c r="Y630" s="367"/>
      <c r="Z630" s="367"/>
      <c r="AA630" s="367"/>
      <c r="AB630" s="367"/>
      <c r="AC630" s="367"/>
      <c r="AD630" s="367"/>
      <c r="AE630" s="367"/>
      <c r="AF630" s="367"/>
      <c r="AG630" s="367"/>
      <c r="AH630" s="367"/>
      <c r="AI630" s="367"/>
      <c r="AJ630" s="367"/>
      <c r="AK630" s="367"/>
      <c r="AL630" s="367"/>
      <c r="AM630" s="367"/>
      <c r="AN630" s="367"/>
      <c r="AO630" s="367"/>
      <c r="AP630" s="367"/>
      <c r="AQ630" s="367"/>
      <c r="AR630" s="367"/>
      <c r="AS630" s="367"/>
      <c r="AT630" s="368"/>
      <c r="AU630" s="367"/>
    </row>
    <row r="631" spans="1:47" ht="12.75">
      <c r="A631" s="367"/>
      <c r="B631" s="367"/>
      <c r="C631" s="367"/>
      <c r="D631" s="367"/>
      <c r="E631" s="367"/>
      <c r="F631" s="367"/>
      <c r="G631" s="367"/>
      <c r="H631" s="367"/>
      <c r="I631" s="367"/>
      <c r="J631" s="367"/>
      <c r="K631" s="367"/>
      <c r="L631" s="367"/>
      <c r="M631" s="367"/>
      <c r="N631" s="367"/>
      <c r="O631" s="367"/>
      <c r="P631" s="364"/>
      <c r="Q631" s="365"/>
      <c r="R631" s="365"/>
      <c r="S631" s="365"/>
      <c r="T631" s="365"/>
      <c r="U631" s="366"/>
      <c r="V631" s="367"/>
      <c r="W631" s="367"/>
      <c r="X631" s="367"/>
      <c r="Y631" s="367"/>
      <c r="Z631" s="367"/>
      <c r="AA631" s="367"/>
      <c r="AB631" s="367"/>
      <c r="AC631" s="367"/>
      <c r="AD631" s="367"/>
      <c r="AE631" s="367"/>
      <c r="AF631" s="367"/>
      <c r="AG631" s="367"/>
      <c r="AH631" s="367"/>
      <c r="AI631" s="367"/>
      <c r="AJ631" s="367"/>
      <c r="AK631" s="367"/>
      <c r="AL631" s="367"/>
      <c r="AM631" s="367"/>
      <c r="AN631" s="367"/>
      <c r="AO631" s="367"/>
      <c r="AP631" s="367"/>
      <c r="AQ631" s="367"/>
      <c r="AR631" s="367"/>
      <c r="AS631" s="367"/>
      <c r="AT631" s="368"/>
      <c r="AU631" s="367"/>
    </row>
    <row r="632" spans="1:47" ht="12.75">
      <c r="A632" s="367"/>
      <c r="B632" s="367"/>
      <c r="C632" s="367"/>
      <c r="D632" s="367"/>
      <c r="E632" s="367"/>
      <c r="F632" s="367"/>
      <c r="G632" s="367"/>
      <c r="H632" s="367"/>
      <c r="I632" s="367"/>
      <c r="J632" s="367"/>
      <c r="K632" s="367"/>
      <c r="L632" s="367"/>
      <c r="M632" s="367"/>
      <c r="N632" s="367"/>
      <c r="O632" s="367"/>
      <c r="P632" s="364"/>
      <c r="Q632" s="365"/>
      <c r="R632" s="365"/>
      <c r="S632" s="365"/>
      <c r="T632" s="365"/>
      <c r="U632" s="366"/>
      <c r="V632" s="367"/>
      <c r="W632" s="367"/>
      <c r="X632" s="367"/>
      <c r="Y632" s="367"/>
      <c r="Z632" s="367"/>
      <c r="AA632" s="367"/>
      <c r="AB632" s="367"/>
      <c r="AC632" s="367"/>
      <c r="AD632" s="367"/>
      <c r="AE632" s="367"/>
      <c r="AF632" s="367"/>
      <c r="AG632" s="367"/>
      <c r="AH632" s="367"/>
      <c r="AI632" s="367"/>
      <c r="AJ632" s="367"/>
      <c r="AK632" s="367"/>
      <c r="AL632" s="367"/>
      <c r="AM632" s="367"/>
      <c r="AN632" s="367"/>
      <c r="AO632" s="367"/>
      <c r="AP632" s="367"/>
      <c r="AQ632" s="367"/>
      <c r="AR632" s="367"/>
      <c r="AS632" s="367"/>
      <c r="AT632" s="368"/>
      <c r="AU632" s="367"/>
    </row>
    <row r="633" spans="1:47" ht="12.75">
      <c r="A633" s="367"/>
      <c r="B633" s="367"/>
      <c r="C633" s="367"/>
      <c r="D633" s="367"/>
      <c r="E633" s="367"/>
      <c r="F633" s="367"/>
      <c r="G633" s="367"/>
      <c r="H633" s="367"/>
      <c r="I633" s="367"/>
      <c r="J633" s="367"/>
      <c r="K633" s="367"/>
      <c r="L633" s="367"/>
      <c r="M633" s="367"/>
      <c r="N633" s="367"/>
      <c r="O633" s="367"/>
      <c r="P633" s="364"/>
      <c r="Q633" s="365"/>
      <c r="R633" s="365"/>
      <c r="S633" s="365"/>
      <c r="T633" s="365"/>
      <c r="U633" s="366"/>
      <c r="V633" s="367"/>
      <c r="W633" s="367"/>
      <c r="X633" s="367"/>
      <c r="Y633" s="367"/>
      <c r="Z633" s="367"/>
      <c r="AA633" s="367"/>
      <c r="AB633" s="367"/>
      <c r="AC633" s="367"/>
      <c r="AD633" s="367"/>
      <c r="AE633" s="367"/>
      <c r="AF633" s="367"/>
      <c r="AG633" s="367"/>
      <c r="AH633" s="367"/>
      <c r="AI633" s="367"/>
      <c r="AJ633" s="367"/>
      <c r="AK633" s="367"/>
      <c r="AL633" s="367"/>
      <c r="AM633" s="367"/>
      <c r="AN633" s="367"/>
      <c r="AO633" s="367"/>
      <c r="AP633" s="367"/>
      <c r="AQ633" s="367"/>
      <c r="AR633" s="367"/>
      <c r="AS633" s="367"/>
      <c r="AT633" s="368"/>
      <c r="AU633" s="367"/>
    </row>
    <row r="634" spans="1:47" ht="12.75">
      <c r="A634" s="367"/>
      <c r="B634" s="367"/>
      <c r="C634" s="367"/>
      <c r="D634" s="367"/>
      <c r="E634" s="367"/>
      <c r="F634" s="367"/>
      <c r="G634" s="367"/>
      <c r="H634" s="367"/>
      <c r="I634" s="367"/>
      <c r="J634" s="367"/>
      <c r="K634" s="367"/>
      <c r="L634" s="367"/>
      <c r="M634" s="367"/>
      <c r="N634" s="367"/>
      <c r="O634" s="367"/>
      <c r="P634" s="364"/>
      <c r="Q634" s="365"/>
      <c r="R634" s="365"/>
      <c r="S634" s="365"/>
      <c r="T634" s="365"/>
      <c r="U634" s="366"/>
      <c r="V634" s="367"/>
      <c r="W634" s="367"/>
      <c r="X634" s="367"/>
      <c r="Y634" s="367"/>
      <c r="Z634" s="367"/>
      <c r="AA634" s="367"/>
      <c r="AB634" s="367"/>
      <c r="AC634" s="367"/>
      <c r="AD634" s="367"/>
      <c r="AE634" s="367"/>
      <c r="AF634" s="367"/>
      <c r="AG634" s="367"/>
      <c r="AH634" s="367"/>
      <c r="AI634" s="367"/>
      <c r="AJ634" s="367"/>
      <c r="AK634" s="367"/>
      <c r="AL634" s="367"/>
      <c r="AM634" s="367"/>
      <c r="AN634" s="367"/>
      <c r="AO634" s="367"/>
      <c r="AP634" s="367"/>
      <c r="AQ634" s="367"/>
      <c r="AR634" s="367"/>
      <c r="AS634" s="367"/>
      <c r="AT634" s="368"/>
      <c r="AU634" s="367"/>
    </row>
    <row r="635" spans="1:47" ht="12.75">
      <c r="A635" s="367"/>
      <c r="B635" s="367"/>
      <c r="C635" s="367"/>
      <c r="D635" s="367"/>
      <c r="E635" s="367"/>
      <c r="F635" s="367"/>
      <c r="G635" s="367"/>
      <c r="H635" s="367"/>
      <c r="I635" s="367"/>
      <c r="J635" s="367"/>
      <c r="K635" s="367"/>
      <c r="L635" s="367"/>
      <c r="M635" s="367"/>
      <c r="N635" s="367"/>
      <c r="O635" s="367"/>
      <c r="P635" s="364"/>
      <c r="Q635" s="365"/>
      <c r="R635" s="365"/>
      <c r="S635" s="365"/>
      <c r="T635" s="365"/>
      <c r="U635" s="366"/>
      <c r="V635" s="367"/>
      <c r="W635" s="367"/>
      <c r="X635" s="367"/>
      <c r="Y635" s="367"/>
      <c r="Z635" s="367"/>
      <c r="AA635" s="367"/>
      <c r="AB635" s="367"/>
      <c r="AC635" s="367"/>
      <c r="AD635" s="367"/>
      <c r="AE635" s="367"/>
      <c r="AF635" s="367"/>
      <c r="AG635" s="367"/>
      <c r="AH635" s="367"/>
      <c r="AI635" s="367"/>
      <c r="AJ635" s="367"/>
      <c r="AK635" s="367"/>
      <c r="AL635" s="367"/>
      <c r="AM635" s="367"/>
      <c r="AN635" s="367"/>
      <c r="AO635" s="367"/>
      <c r="AP635" s="367"/>
      <c r="AQ635" s="367"/>
      <c r="AR635" s="367"/>
      <c r="AS635" s="367"/>
      <c r="AT635" s="368"/>
      <c r="AU635" s="367"/>
    </row>
    <row r="636" spans="1:47" ht="12.75">
      <c r="A636" s="367"/>
      <c r="B636" s="367"/>
      <c r="C636" s="367"/>
      <c r="D636" s="367"/>
      <c r="E636" s="367"/>
      <c r="F636" s="367"/>
      <c r="G636" s="367"/>
      <c r="H636" s="367"/>
      <c r="I636" s="367"/>
      <c r="J636" s="367"/>
      <c r="K636" s="367"/>
      <c r="L636" s="367"/>
      <c r="M636" s="367"/>
      <c r="N636" s="367"/>
      <c r="O636" s="367"/>
      <c r="P636" s="364"/>
      <c r="Q636" s="365"/>
      <c r="R636" s="365"/>
      <c r="S636" s="365"/>
      <c r="T636" s="365"/>
      <c r="U636" s="366"/>
      <c r="V636" s="367"/>
      <c r="W636" s="367"/>
      <c r="X636" s="367"/>
      <c r="Y636" s="367"/>
      <c r="Z636" s="367"/>
      <c r="AA636" s="367"/>
      <c r="AB636" s="367"/>
      <c r="AC636" s="367"/>
      <c r="AD636" s="367"/>
      <c r="AE636" s="367"/>
      <c r="AF636" s="367"/>
      <c r="AG636" s="367"/>
      <c r="AH636" s="367"/>
      <c r="AI636" s="367"/>
      <c r="AJ636" s="367"/>
      <c r="AK636" s="367"/>
      <c r="AL636" s="367"/>
      <c r="AM636" s="367"/>
      <c r="AN636" s="367"/>
      <c r="AO636" s="367"/>
      <c r="AP636" s="367"/>
      <c r="AQ636" s="367"/>
      <c r="AR636" s="367"/>
      <c r="AS636" s="367"/>
      <c r="AT636" s="368"/>
      <c r="AU636" s="367"/>
    </row>
    <row r="637" spans="1:47" ht="12.75">
      <c r="A637" s="367"/>
      <c r="B637" s="367"/>
      <c r="C637" s="367"/>
      <c r="D637" s="367"/>
      <c r="E637" s="367"/>
      <c r="F637" s="367"/>
      <c r="G637" s="367"/>
      <c r="H637" s="367"/>
      <c r="I637" s="367"/>
      <c r="J637" s="367"/>
      <c r="K637" s="367"/>
      <c r="L637" s="367"/>
      <c r="M637" s="367"/>
      <c r="N637" s="367"/>
      <c r="O637" s="367"/>
      <c r="P637" s="364"/>
      <c r="Q637" s="365"/>
      <c r="R637" s="365"/>
      <c r="S637" s="365"/>
      <c r="T637" s="365"/>
      <c r="U637" s="366"/>
      <c r="V637" s="367"/>
      <c r="W637" s="367"/>
      <c r="X637" s="367"/>
      <c r="Y637" s="367"/>
      <c r="Z637" s="367"/>
      <c r="AA637" s="367"/>
      <c r="AB637" s="367"/>
      <c r="AC637" s="367"/>
      <c r="AD637" s="367"/>
      <c r="AE637" s="367"/>
      <c r="AF637" s="367"/>
      <c r="AG637" s="367"/>
      <c r="AH637" s="367"/>
      <c r="AI637" s="367"/>
      <c r="AJ637" s="367"/>
      <c r="AK637" s="367"/>
      <c r="AL637" s="367"/>
      <c r="AM637" s="367"/>
      <c r="AN637" s="367"/>
      <c r="AO637" s="367"/>
      <c r="AP637" s="367"/>
      <c r="AQ637" s="367"/>
      <c r="AR637" s="367"/>
      <c r="AS637" s="367"/>
      <c r="AT637" s="368"/>
      <c r="AU637" s="367"/>
    </row>
    <row r="638" spans="1:47" ht="12.75">
      <c r="A638" s="367"/>
      <c r="B638" s="367"/>
      <c r="C638" s="367"/>
      <c r="D638" s="367"/>
      <c r="E638" s="367"/>
      <c r="F638" s="367"/>
      <c r="G638" s="367"/>
      <c r="H638" s="367"/>
      <c r="I638" s="367"/>
      <c r="J638" s="367"/>
      <c r="K638" s="367"/>
      <c r="L638" s="367"/>
      <c r="M638" s="367"/>
      <c r="N638" s="367"/>
      <c r="O638" s="367"/>
      <c r="P638" s="364"/>
      <c r="Q638" s="365"/>
      <c r="R638" s="365"/>
      <c r="S638" s="365"/>
      <c r="T638" s="365"/>
      <c r="U638" s="366"/>
      <c r="V638" s="367"/>
      <c r="W638" s="367"/>
      <c r="X638" s="367"/>
      <c r="Y638" s="367"/>
      <c r="Z638" s="367"/>
      <c r="AA638" s="367"/>
      <c r="AB638" s="367"/>
      <c r="AC638" s="367"/>
      <c r="AD638" s="367"/>
      <c r="AE638" s="367"/>
      <c r="AF638" s="367"/>
      <c r="AG638" s="367"/>
      <c r="AH638" s="367"/>
      <c r="AI638" s="367"/>
      <c r="AJ638" s="367"/>
      <c r="AK638" s="367"/>
      <c r="AL638" s="367"/>
      <c r="AM638" s="367"/>
      <c r="AN638" s="367"/>
      <c r="AO638" s="367"/>
      <c r="AP638" s="367"/>
      <c r="AQ638" s="367"/>
      <c r="AR638" s="367"/>
      <c r="AS638" s="367"/>
      <c r="AT638" s="368"/>
      <c r="AU638" s="367"/>
    </row>
    <row r="639" spans="1:47" ht="12.75">
      <c r="A639" s="367"/>
      <c r="B639" s="367"/>
      <c r="C639" s="367"/>
      <c r="D639" s="367"/>
      <c r="E639" s="367"/>
      <c r="F639" s="367"/>
      <c r="G639" s="367"/>
      <c r="H639" s="367"/>
      <c r="I639" s="367"/>
      <c r="J639" s="367"/>
      <c r="K639" s="367"/>
      <c r="L639" s="367"/>
      <c r="M639" s="367"/>
      <c r="N639" s="367"/>
      <c r="O639" s="367"/>
      <c r="P639" s="364"/>
      <c r="Q639" s="365"/>
      <c r="R639" s="365"/>
      <c r="S639" s="365"/>
      <c r="T639" s="365"/>
      <c r="U639" s="366"/>
      <c r="V639" s="367"/>
      <c r="W639" s="367"/>
      <c r="X639" s="367"/>
      <c r="Y639" s="367"/>
      <c r="Z639" s="367"/>
      <c r="AA639" s="367"/>
      <c r="AB639" s="367"/>
      <c r="AC639" s="367"/>
      <c r="AD639" s="367"/>
      <c r="AE639" s="367"/>
      <c r="AF639" s="367"/>
      <c r="AG639" s="367"/>
      <c r="AH639" s="367"/>
      <c r="AI639" s="367"/>
      <c r="AJ639" s="367"/>
      <c r="AK639" s="367"/>
      <c r="AL639" s="367"/>
      <c r="AM639" s="367"/>
      <c r="AN639" s="367"/>
      <c r="AO639" s="367"/>
      <c r="AP639" s="367"/>
      <c r="AQ639" s="367"/>
      <c r="AR639" s="367"/>
      <c r="AS639" s="367"/>
      <c r="AT639" s="368"/>
      <c r="AU639" s="367"/>
    </row>
    <row r="640" spans="1:47" ht="12.75">
      <c r="A640" s="367"/>
      <c r="B640" s="367"/>
      <c r="C640" s="367"/>
      <c r="D640" s="367"/>
      <c r="E640" s="367"/>
      <c r="F640" s="367"/>
      <c r="G640" s="367"/>
      <c r="H640" s="367"/>
      <c r="I640" s="367"/>
      <c r="J640" s="367"/>
      <c r="K640" s="367"/>
      <c r="L640" s="367"/>
      <c r="M640" s="367"/>
      <c r="N640" s="367"/>
      <c r="O640" s="367"/>
      <c r="P640" s="364"/>
      <c r="Q640" s="365"/>
      <c r="R640" s="365"/>
      <c r="S640" s="365"/>
      <c r="T640" s="365"/>
      <c r="U640" s="366"/>
      <c r="V640" s="367"/>
      <c r="W640" s="367"/>
      <c r="X640" s="367"/>
      <c r="Y640" s="367"/>
      <c r="Z640" s="367"/>
      <c r="AA640" s="367"/>
      <c r="AB640" s="367"/>
      <c r="AC640" s="367"/>
      <c r="AD640" s="367"/>
      <c r="AE640" s="367"/>
      <c r="AF640" s="367"/>
      <c r="AG640" s="367"/>
      <c r="AH640" s="367"/>
      <c r="AI640" s="367"/>
      <c r="AJ640" s="367"/>
      <c r="AK640" s="367"/>
      <c r="AL640" s="367"/>
      <c r="AM640" s="367"/>
      <c r="AN640" s="367"/>
      <c r="AO640" s="367"/>
      <c r="AP640" s="367"/>
      <c r="AQ640" s="367"/>
      <c r="AR640" s="367"/>
      <c r="AS640" s="367"/>
      <c r="AT640" s="368"/>
      <c r="AU640" s="367"/>
    </row>
    <row r="641" spans="1:47" ht="12.75">
      <c r="A641" s="367"/>
      <c r="B641" s="367"/>
      <c r="C641" s="367"/>
      <c r="D641" s="367"/>
      <c r="E641" s="367"/>
      <c r="F641" s="367"/>
      <c r="G641" s="367"/>
      <c r="H641" s="367"/>
      <c r="I641" s="367"/>
      <c r="J641" s="367"/>
      <c r="K641" s="367"/>
      <c r="L641" s="367"/>
      <c r="M641" s="367"/>
      <c r="N641" s="367"/>
      <c r="O641" s="367"/>
      <c r="P641" s="364"/>
      <c r="Q641" s="365"/>
      <c r="R641" s="365"/>
      <c r="S641" s="365"/>
      <c r="T641" s="365"/>
      <c r="U641" s="366"/>
      <c r="V641" s="367"/>
      <c r="W641" s="367"/>
      <c r="X641" s="367"/>
      <c r="Y641" s="367"/>
      <c r="Z641" s="367"/>
      <c r="AA641" s="367"/>
      <c r="AB641" s="367"/>
      <c r="AC641" s="367"/>
      <c r="AD641" s="367"/>
      <c r="AE641" s="367"/>
      <c r="AF641" s="367"/>
      <c r="AG641" s="367"/>
      <c r="AH641" s="367"/>
      <c r="AI641" s="367"/>
      <c r="AJ641" s="367"/>
      <c r="AK641" s="367"/>
      <c r="AL641" s="367"/>
      <c r="AM641" s="367"/>
      <c r="AN641" s="367"/>
      <c r="AO641" s="367"/>
      <c r="AP641" s="367"/>
      <c r="AQ641" s="367"/>
      <c r="AR641" s="367"/>
      <c r="AS641" s="367"/>
      <c r="AT641" s="368"/>
      <c r="AU641" s="367"/>
    </row>
    <row r="642" spans="1:47" ht="12.75">
      <c r="A642" s="367"/>
      <c r="B642" s="367"/>
      <c r="C642" s="367"/>
      <c r="D642" s="367"/>
      <c r="E642" s="367"/>
      <c r="F642" s="367"/>
      <c r="G642" s="367"/>
      <c r="H642" s="367"/>
      <c r="I642" s="367"/>
      <c r="J642" s="367"/>
      <c r="K642" s="367"/>
      <c r="L642" s="367"/>
      <c r="M642" s="367"/>
      <c r="N642" s="367"/>
      <c r="O642" s="367"/>
      <c r="P642" s="364"/>
      <c r="Q642" s="365"/>
      <c r="R642" s="365"/>
      <c r="S642" s="365"/>
      <c r="T642" s="365"/>
      <c r="U642" s="366"/>
      <c r="V642" s="367"/>
      <c r="W642" s="367"/>
      <c r="X642" s="367"/>
      <c r="Y642" s="367"/>
      <c r="Z642" s="367"/>
      <c r="AA642" s="367"/>
      <c r="AB642" s="367"/>
      <c r="AC642" s="367"/>
      <c r="AD642" s="367"/>
      <c r="AE642" s="367"/>
      <c r="AF642" s="367"/>
      <c r="AG642" s="367"/>
      <c r="AH642" s="367"/>
      <c r="AI642" s="367"/>
      <c r="AJ642" s="367"/>
      <c r="AK642" s="367"/>
      <c r="AL642" s="367"/>
      <c r="AM642" s="367"/>
      <c r="AN642" s="367"/>
      <c r="AO642" s="367"/>
      <c r="AP642" s="367"/>
      <c r="AQ642" s="367"/>
      <c r="AR642" s="367"/>
      <c r="AS642" s="367"/>
      <c r="AT642" s="368"/>
      <c r="AU642" s="367"/>
    </row>
    <row r="643" spans="1:47" ht="12.75">
      <c r="A643" s="367"/>
      <c r="B643" s="367"/>
      <c r="C643" s="367"/>
      <c r="D643" s="367"/>
      <c r="E643" s="367"/>
      <c r="F643" s="367"/>
      <c r="G643" s="367"/>
      <c r="H643" s="367"/>
      <c r="I643" s="367"/>
      <c r="J643" s="367"/>
      <c r="K643" s="367"/>
      <c r="L643" s="367"/>
      <c r="M643" s="367"/>
      <c r="N643" s="367"/>
      <c r="O643" s="367"/>
      <c r="P643" s="364"/>
      <c r="Q643" s="365"/>
      <c r="R643" s="365"/>
      <c r="S643" s="365"/>
      <c r="T643" s="365"/>
      <c r="U643" s="366"/>
      <c r="V643" s="367"/>
      <c r="W643" s="367"/>
      <c r="X643" s="367"/>
      <c r="Y643" s="367"/>
      <c r="Z643" s="367"/>
      <c r="AA643" s="367"/>
      <c r="AB643" s="367"/>
      <c r="AC643" s="367"/>
      <c r="AD643" s="367"/>
      <c r="AE643" s="367"/>
      <c r="AF643" s="367"/>
      <c r="AG643" s="367"/>
      <c r="AH643" s="367"/>
      <c r="AI643" s="367"/>
      <c r="AJ643" s="367"/>
      <c r="AK643" s="367"/>
      <c r="AL643" s="367"/>
      <c r="AM643" s="367"/>
      <c r="AN643" s="367"/>
      <c r="AO643" s="367"/>
      <c r="AP643" s="367"/>
      <c r="AQ643" s="367"/>
      <c r="AR643" s="367"/>
      <c r="AS643" s="367"/>
      <c r="AT643" s="368"/>
      <c r="AU643" s="367"/>
    </row>
    <row r="644" spans="1:47" ht="12.75">
      <c r="A644" s="367"/>
      <c r="B644" s="367"/>
      <c r="C644" s="367"/>
      <c r="D644" s="367"/>
      <c r="E644" s="367"/>
      <c r="F644" s="367"/>
      <c r="G644" s="367"/>
      <c r="H644" s="367"/>
      <c r="I644" s="367"/>
      <c r="J644" s="367"/>
      <c r="K644" s="367"/>
      <c r="L644" s="367"/>
      <c r="M644" s="367"/>
      <c r="N644" s="367"/>
      <c r="O644" s="367"/>
      <c r="P644" s="364"/>
      <c r="Q644" s="365"/>
      <c r="R644" s="365"/>
      <c r="S644" s="365"/>
      <c r="T644" s="365"/>
      <c r="U644" s="366"/>
      <c r="V644" s="367"/>
      <c r="W644" s="367"/>
      <c r="X644" s="367"/>
      <c r="Y644" s="367"/>
      <c r="Z644" s="367"/>
      <c r="AA644" s="367"/>
      <c r="AB644" s="367"/>
      <c r="AC644" s="367"/>
      <c r="AD644" s="367"/>
      <c r="AE644" s="367"/>
      <c r="AF644" s="367"/>
      <c r="AG644" s="367"/>
      <c r="AH644" s="367"/>
      <c r="AI644" s="367"/>
      <c r="AJ644" s="367"/>
      <c r="AK644" s="367"/>
      <c r="AL644" s="367"/>
      <c r="AM644" s="367"/>
      <c r="AN644" s="367"/>
      <c r="AO644" s="367"/>
      <c r="AP644" s="367"/>
      <c r="AQ644" s="367"/>
      <c r="AR644" s="367"/>
      <c r="AS644" s="367"/>
      <c r="AT644" s="368"/>
      <c r="AU644" s="367"/>
    </row>
    <row r="645" spans="1:47" ht="12.75">
      <c r="A645" s="367"/>
      <c r="B645" s="367"/>
      <c r="C645" s="367"/>
      <c r="D645" s="367"/>
      <c r="E645" s="367"/>
      <c r="F645" s="367"/>
      <c r="G645" s="367"/>
      <c r="H645" s="367"/>
      <c r="I645" s="367"/>
      <c r="J645" s="367"/>
      <c r="K645" s="367"/>
      <c r="L645" s="367"/>
      <c r="M645" s="367"/>
      <c r="N645" s="367"/>
      <c r="O645" s="367"/>
      <c r="P645" s="364"/>
      <c r="Q645" s="365"/>
      <c r="R645" s="365"/>
      <c r="S645" s="365"/>
      <c r="T645" s="365"/>
      <c r="U645" s="366"/>
      <c r="V645" s="367"/>
      <c r="W645" s="367"/>
      <c r="X645" s="367"/>
      <c r="Y645" s="367"/>
      <c r="Z645" s="367"/>
      <c r="AA645" s="367"/>
      <c r="AB645" s="367"/>
      <c r="AC645" s="367"/>
      <c r="AD645" s="367"/>
      <c r="AE645" s="367"/>
      <c r="AF645" s="367"/>
      <c r="AG645" s="367"/>
      <c r="AH645" s="367"/>
      <c r="AI645" s="367"/>
      <c r="AJ645" s="367"/>
      <c r="AK645" s="367"/>
      <c r="AL645" s="367"/>
      <c r="AM645" s="367"/>
      <c r="AN645" s="367"/>
      <c r="AO645" s="367"/>
      <c r="AP645" s="367"/>
      <c r="AQ645" s="367"/>
      <c r="AR645" s="367"/>
      <c r="AS645" s="367"/>
      <c r="AT645" s="368"/>
      <c r="AU645" s="367"/>
    </row>
    <row r="646" spans="1:47" ht="12.75">
      <c r="A646" s="367"/>
      <c r="B646" s="367"/>
      <c r="C646" s="367"/>
      <c r="D646" s="367"/>
      <c r="E646" s="367"/>
      <c r="F646" s="367"/>
      <c r="G646" s="367"/>
      <c r="H646" s="367"/>
      <c r="I646" s="367"/>
      <c r="J646" s="367"/>
      <c r="K646" s="367"/>
      <c r="L646" s="367"/>
      <c r="M646" s="367"/>
      <c r="N646" s="367"/>
      <c r="O646" s="367"/>
      <c r="P646" s="364"/>
      <c r="Q646" s="365"/>
      <c r="R646" s="365"/>
      <c r="S646" s="365"/>
      <c r="T646" s="365"/>
      <c r="U646" s="366"/>
      <c r="V646" s="367"/>
      <c r="W646" s="367"/>
      <c r="X646" s="367"/>
      <c r="Y646" s="367"/>
      <c r="Z646" s="367"/>
      <c r="AA646" s="367"/>
      <c r="AB646" s="367"/>
      <c r="AC646" s="367"/>
      <c r="AD646" s="367"/>
      <c r="AE646" s="367"/>
      <c r="AF646" s="367"/>
      <c r="AG646" s="367"/>
      <c r="AH646" s="367"/>
      <c r="AI646" s="367"/>
      <c r="AJ646" s="367"/>
      <c r="AK646" s="367"/>
      <c r="AL646" s="367"/>
      <c r="AM646" s="367"/>
      <c r="AN646" s="367"/>
      <c r="AO646" s="367"/>
      <c r="AP646" s="367"/>
      <c r="AQ646" s="367"/>
      <c r="AR646" s="367"/>
      <c r="AS646" s="367"/>
      <c r="AT646" s="368"/>
      <c r="AU646" s="367"/>
    </row>
    <row r="647" spans="1:47" ht="12.75">
      <c r="A647" s="367"/>
      <c r="B647" s="367"/>
      <c r="C647" s="367"/>
      <c r="D647" s="367"/>
      <c r="E647" s="367"/>
      <c r="F647" s="367"/>
      <c r="G647" s="367"/>
      <c r="H647" s="367"/>
      <c r="I647" s="367"/>
      <c r="J647" s="367"/>
      <c r="K647" s="367"/>
      <c r="L647" s="367"/>
      <c r="M647" s="367"/>
      <c r="N647" s="367"/>
      <c r="O647" s="367"/>
      <c r="P647" s="364"/>
      <c r="Q647" s="365"/>
      <c r="R647" s="365"/>
      <c r="S647" s="365"/>
      <c r="T647" s="365"/>
      <c r="U647" s="366"/>
      <c r="V647" s="367"/>
      <c r="W647" s="367"/>
      <c r="X647" s="367"/>
      <c r="Y647" s="367"/>
      <c r="Z647" s="367"/>
      <c r="AA647" s="367"/>
      <c r="AB647" s="367"/>
      <c r="AC647" s="367"/>
      <c r="AD647" s="367"/>
      <c r="AE647" s="367"/>
      <c r="AF647" s="367"/>
      <c r="AG647" s="367"/>
      <c r="AH647" s="367"/>
      <c r="AI647" s="367"/>
      <c r="AJ647" s="367"/>
      <c r="AK647" s="367"/>
      <c r="AL647" s="367"/>
      <c r="AM647" s="367"/>
      <c r="AN647" s="367"/>
      <c r="AO647" s="367"/>
      <c r="AP647" s="367"/>
      <c r="AQ647" s="367"/>
      <c r="AR647" s="367"/>
      <c r="AS647" s="367"/>
      <c r="AT647" s="368"/>
      <c r="AU647" s="367"/>
    </row>
    <row r="648" spans="1:47" ht="12.75">
      <c r="A648" s="367"/>
      <c r="B648" s="367"/>
      <c r="C648" s="367"/>
      <c r="D648" s="367"/>
      <c r="E648" s="367"/>
      <c r="F648" s="367"/>
      <c r="G648" s="367"/>
      <c r="H648" s="367"/>
      <c r="I648" s="367"/>
      <c r="J648" s="367"/>
      <c r="K648" s="367"/>
      <c r="L648" s="367"/>
      <c r="M648" s="367"/>
      <c r="N648" s="367"/>
      <c r="O648" s="367"/>
      <c r="P648" s="364"/>
      <c r="Q648" s="365"/>
      <c r="R648" s="365"/>
      <c r="S648" s="365"/>
      <c r="T648" s="365"/>
      <c r="U648" s="366"/>
      <c r="V648" s="367"/>
      <c r="W648" s="367"/>
      <c r="X648" s="367"/>
      <c r="Y648" s="367"/>
      <c r="Z648" s="367"/>
      <c r="AA648" s="367"/>
      <c r="AB648" s="367"/>
      <c r="AC648" s="367"/>
      <c r="AD648" s="367"/>
      <c r="AE648" s="367"/>
      <c r="AF648" s="367"/>
      <c r="AG648" s="367"/>
      <c r="AH648" s="367"/>
      <c r="AI648" s="367"/>
      <c r="AJ648" s="367"/>
      <c r="AK648" s="367"/>
      <c r="AL648" s="367"/>
      <c r="AM648" s="367"/>
      <c r="AN648" s="367"/>
      <c r="AO648" s="367"/>
      <c r="AP648" s="367"/>
      <c r="AQ648" s="367"/>
      <c r="AR648" s="367"/>
      <c r="AS648" s="367"/>
      <c r="AT648" s="368"/>
      <c r="AU648" s="367"/>
    </row>
    <row r="649" spans="1:47" ht="12.75">
      <c r="A649" s="367"/>
      <c r="B649" s="367"/>
      <c r="C649" s="367"/>
      <c r="D649" s="367"/>
      <c r="E649" s="367"/>
      <c r="F649" s="367"/>
      <c r="G649" s="367"/>
      <c r="H649" s="367"/>
      <c r="I649" s="367"/>
      <c r="J649" s="367"/>
      <c r="K649" s="367"/>
      <c r="L649" s="367"/>
      <c r="M649" s="367"/>
      <c r="N649" s="367"/>
      <c r="O649" s="367"/>
      <c r="P649" s="364"/>
      <c r="Q649" s="365"/>
      <c r="R649" s="365"/>
      <c r="S649" s="365"/>
      <c r="T649" s="365"/>
      <c r="U649" s="366"/>
      <c r="V649" s="367"/>
      <c r="W649" s="367"/>
      <c r="X649" s="367"/>
      <c r="Y649" s="367"/>
      <c r="Z649" s="367"/>
      <c r="AA649" s="367"/>
      <c r="AB649" s="367"/>
      <c r="AC649" s="367"/>
      <c r="AD649" s="367"/>
      <c r="AE649" s="367"/>
      <c r="AF649" s="367"/>
      <c r="AG649" s="367"/>
      <c r="AH649" s="367"/>
      <c r="AI649" s="367"/>
      <c r="AJ649" s="367"/>
      <c r="AK649" s="367"/>
      <c r="AL649" s="367"/>
      <c r="AM649" s="367"/>
      <c r="AN649" s="367"/>
      <c r="AO649" s="367"/>
      <c r="AP649" s="367"/>
      <c r="AQ649" s="367"/>
      <c r="AR649" s="367"/>
      <c r="AS649" s="367"/>
      <c r="AT649" s="368"/>
      <c r="AU649" s="367"/>
    </row>
    <row r="650" spans="1:47" ht="12.75">
      <c r="A650" s="367"/>
      <c r="B650" s="367"/>
      <c r="C650" s="367"/>
      <c r="D650" s="367"/>
      <c r="E650" s="367"/>
      <c r="F650" s="367"/>
      <c r="G650" s="367"/>
      <c r="H650" s="367"/>
      <c r="I650" s="367"/>
      <c r="J650" s="367"/>
      <c r="K650" s="367"/>
      <c r="L650" s="367"/>
      <c r="M650" s="367"/>
      <c r="N650" s="367"/>
      <c r="O650" s="367"/>
      <c r="P650" s="364"/>
      <c r="Q650" s="365"/>
      <c r="R650" s="365"/>
      <c r="S650" s="365"/>
      <c r="T650" s="365"/>
      <c r="U650" s="366"/>
      <c r="V650" s="367"/>
      <c r="W650" s="367"/>
      <c r="X650" s="367"/>
      <c r="Y650" s="367"/>
      <c r="Z650" s="367"/>
      <c r="AA650" s="367"/>
      <c r="AB650" s="367"/>
      <c r="AC650" s="367"/>
      <c r="AD650" s="367"/>
      <c r="AE650" s="367"/>
      <c r="AF650" s="367"/>
      <c r="AG650" s="367"/>
      <c r="AH650" s="367"/>
      <c r="AI650" s="367"/>
      <c r="AJ650" s="367"/>
      <c r="AK650" s="367"/>
      <c r="AL650" s="367"/>
      <c r="AM650" s="367"/>
      <c r="AN650" s="367"/>
      <c r="AO650" s="367"/>
      <c r="AP650" s="367"/>
      <c r="AQ650" s="367"/>
      <c r="AR650" s="367"/>
      <c r="AS650" s="367"/>
      <c r="AT650" s="368"/>
      <c r="AU650" s="367"/>
    </row>
    <row r="651" spans="1:47" ht="12.75">
      <c r="A651" s="367"/>
      <c r="B651" s="367"/>
      <c r="C651" s="367"/>
      <c r="D651" s="367"/>
      <c r="E651" s="367"/>
      <c r="F651" s="367"/>
      <c r="G651" s="367"/>
      <c r="H651" s="367"/>
      <c r="I651" s="367"/>
      <c r="J651" s="367"/>
      <c r="K651" s="367"/>
      <c r="L651" s="367"/>
      <c r="M651" s="367"/>
      <c r="N651" s="367"/>
      <c r="O651" s="367"/>
      <c r="P651" s="364"/>
      <c r="Q651" s="365"/>
      <c r="R651" s="365"/>
      <c r="S651" s="365"/>
      <c r="T651" s="365"/>
      <c r="U651" s="366"/>
      <c r="V651" s="367"/>
      <c r="W651" s="367"/>
      <c r="X651" s="367"/>
      <c r="Y651" s="367"/>
      <c r="Z651" s="367"/>
      <c r="AA651" s="367"/>
      <c r="AB651" s="367"/>
      <c r="AC651" s="367"/>
      <c r="AD651" s="367"/>
      <c r="AE651" s="367"/>
      <c r="AF651" s="367"/>
      <c r="AG651" s="367"/>
      <c r="AH651" s="367"/>
      <c r="AI651" s="367"/>
      <c r="AJ651" s="367"/>
      <c r="AK651" s="367"/>
      <c r="AL651" s="367"/>
      <c r="AM651" s="367"/>
      <c r="AN651" s="367"/>
      <c r="AO651" s="367"/>
      <c r="AP651" s="367"/>
      <c r="AQ651" s="367"/>
      <c r="AR651" s="367"/>
      <c r="AS651" s="367"/>
      <c r="AT651" s="368"/>
      <c r="AU651" s="367"/>
    </row>
    <row r="652" spans="1:47" ht="12.75">
      <c r="A652" s="367"/>
      <c r="B652" s="367"/>
      <c r="C652" s="367"/>
      <c r="D652" s="367"/>
      <c r="E652" s="367"/>
      <c r="F652" s="367"/>
      <c r="G652" s="367"/>
      <c r="H652" s="367"/>
      <c r="I652" s="367"/>
      <c r="J652" s="367"/>
      <c r="K652" s="367"/>
      <c r="L652" s="367"/>
      <c r="M652" s="367"/>
      <c r="N652" s="367"/>
      <c r="O652" s="367"/>
      <c r="P652" s="364"/>
      <c r="Q652" s="365"/>
      <c r="R652" s="365"/>
      <c r="S652" s="365"/>
      <c r="T652" s="365"/>
      <c r="U652" s="366"/>
      <c r="V652" s="367"/>
      <c r="W652" s="367"/>
      <c r="X652" s="367"/>
      <c r="Y652" s="367"/>
      <c r="Z652" s="367"/>
      <c r="AA652" s="367"/>
      <c r="AB652" s="367"/>
      <c r="AC652" s="367"/>
      <c r="AD652" s="367"/>
      <c r="AE652" s="367"/>
      <c r="AF652" s="367"/>
      <c r="AG652" s="367"/>
      <c r="AH652" s="367"/>
      <c r="AI652" s="367"/>
      <c r="AJ652" s="367"/>
      <c r="AK652" s="367"/>
      <c r="AL652" s="367"/>
      <c r="AM652" s="367"/>
      <c r="AN652" s="367"/>
      <c r="AO652" s="367"/>
      <c r="AP652" s="367"/>
      <c r="AQ652" s="367"/>
      <c r="AR652" s="367"/>
      <c r="AS652" s="367"/>
      <c r="AT652" s="368"/>
      <c r="AU652" s="367"/>
    </row>
    <row r="653" spans="1:47" ht="12.75">
      <c r="A653" s="367"/>
      <c r="B653" s="367"/>
      <c r="C653" s="367"/>
      <c r="D653" s="367"/>
      <c r="E653" s="367"/>
      <c r="F653" s="367"/>
      <c r="G653" s="367"/>
      <c r="H653" s="367"/>
      <c r="I653" s="367"/>
      <c r="J653" s="367"/>
      <c r="K653" s="367"/>
      <c r="L653" s="367"/>
      <c r="M653" s="367"/>
      <c r="N653" s="367"/>
      <c r="O653" s="367"/>
      <c r="P653" s="364"/>
      <c r="Q653" s="365"/>
      <c r="R653" s="365"/>
      <c r="S653" s="365"/>
      <c r="T653" s="365"/>
      <c r="U653" s="366"/>
      <c r="V653" s="367"/>
      <c r="W653" s="367"/>
      <c r="X653" s="367"/>
      <c r="Y653" s="367"/>
      <c r="Z653" s="367"/>
      <c r="AA653" s="367"/>
      <c r="AB653" s="367"/>
      <c r="AC653" s="367"/>
      <c r="AD653" s="367"/>
      <c r="AE653" s="367"/>
      <c r="AF653" s="367"/>
      <c r="AG653" s="367"/>
      <c r="AH653" s="367"/>
      <c r="AI653" s="367"/>
      <c r="AJ653" s="367"/>
      <c r="AK653" s="367"/>
      <c r="AL653" s="367"/>
      <c r="AM653" s="367"/>
      <c r="AN653" s="367"/>
      <c r="AO653" s="367"/>
      <c r="AP653" s="367"/>
      <c r="AQ653" s="367"/>
      <c r="AR653" s="367"/>
      <c r="AS653" s="367"/>
      <c r="AT653" s="368"/>
      <c r="AU653" s="367"/>
    </row>
    <row r="654" spans="1:47" ht="12.75">
      <c r="A654" s="367"/>
      <c r="B654" s="367"/>
      <c r="C654" s="367"/>
      <c r="D654" s="367"/>
      <c r="E654" s="367"/>
      <c r="F654" s="367"/>
      <c r="G654" s="367"/>
      <c r="H654" s="367"/>
      <c r="I654" s="367"/>
      <c r="J654" s="367"/>
      <c r="K654" s="367"/>
      <c r="L654" s="367"/>
      <c r="M654" s="367"/>
      <c r="N654" s="367"/>
      <c r="O654" s="367"/>
      <c r="P654" s="364"/>
      <c r="Q654" s="365"/>
      <c r="R654" s="365"/>
      <c r="S654" s="365"/>
      <c r="T654" s="365"/>
      <c r="U654" s="366"/>
      <c r="V654" s="367"/>
      <c r="W654" s="367"/>
      <c r="X654" s="367"/>
      <c r="Y654" s="367"/>
      <c r="Z654" s="367"/>
      <c r="AA654" s="367"/>
      <c r="AB654" s="367"/>
      <c r="AC654" s="367"/>
      <c r="AD654" s="367"/>
      <c r="AE654" s="367"/>
      <c r="AF654" s="367"/>
      <c r="AG654" s="367"/>
      <c r="AH654" s="367"/>
      <c r="AI654" s="367"/>
      <c r="AJ654" s="367"/>
      <c r="AK654" s="367"/>
      <c r="AL654" s="367"/>
      <c r="AM654" s="367"/>
      <c r="AN654" s="367"/>
      <c r="AO654" s="367"/>
      <c r="AP654" s="367"/>
      <c r="AQ654" s="367"/>
      <c r="AR654" s="367"/>
      <c r="AS654" s="367"/>
      <c r="AT654" s="368"/>
      <c r="AU654" s="367"/>
    </row>
    <row r="655" spans="1:47" ht="12.75">
      <c r="A655" s="367"/>
      <c r="B655" s="367"/>
      <c r="C655" s="367"/>
      <c r="D655" s="367"/>
      <c r="E655" s="367"/>
      <c r="F655" s="367"/>
      <c r="G655" s="367"/>
      <c r="H655" s="367"/>
      <c r="I655" s="367"/>
      <c r="J655" s="367"/>
      <c r="K655" s="367"/>
      <c r="L655" s="367"/>
      <c r="M655" s="367"/>
      <c r="N655" s="367"/>
      <c r="O655" s="367"/>
      <c r="P655" s="364"/>
      <c r="Q655" s="365"/>
      <c r="R655" s="365"/>
      <c r="S655" s="365"/>
      <c r="T655" s="365"/>
      <c r="U655" s="366"/>
      <c r="V655" s="367"/>
      <c r="W655" s="367"/>
      <c r="X655" s="367"/>
      <c r="Y655" s="367"/>
      <c r="Z655" s="367"/>
      <c r="AA655" s="367"/>
      <c r="AB655" s="367"/>
      <c r="AC655" s="367"/>
      <c r="AD655" s="367"/>
      <c r="AE655" s="367"/>
      <c r="AF655" s="367"/>
      <c r="AG655" s="367"/>
      <c r="AH655" s="367"/>
      <c r="AI655" s="367"/>
      <c r="AJ655" s="367"/>
      <c r="AK655" s="367"/>
      <c r="AL655" s="367"/>
      <c r="AM655" s="367"/>
      <c r="AN655" s="367"/>
      <c r="AO655" s="367"/>
      <c r="AP655" s="367"/>
      <c r="AQ655" s="367"/>
      <c r="AR655" s="367"/>
      <c r="AS655" s="367"/>
      <c r="AT655" s="368"/>
      <c r="AU655" s="367"/>
    </row>
    <row r="656" spans="1:47" ht="12.75">
      <c r="A656" s="367"/>
      <c r="B656" s="367"/>
      <c r="C656" s="367"/>
      <c r="D656" s="367"/>
      <c r="E656" s="367"/>
      <c r="F656" s="367"/>
      <c r="G656" s="367"/>
      <c r="H656" s="367"/>
      <c r="I656" s="367"/>
      <c r="J656" s="367"/>
      <c r="K656" s="367"/>
      <c r="L656" s="367"/>
      <c r="M656" s="367"/>
      <c r="N656" s="367"/>
      <c r="O656" s="367"/>
      <c r="P656" s="364"/>
      <c r="Q656" s="365"/>
      <c r="R656" s="365"/>
      <c r="S656" s="365"/>
      <c r="T656" s="365"/>
      <c r="U656" s="366"/>
      <c r="V656" s="367"/>
      <c r="W656" s="367"/>
      <c r="X656" s="367"/>
      <c r="Y656" s="367"/>
      <c r="Z656" s="367"/>
      <c r="AA656" s="367"/>
      <c r="AB656" s="367"/>
      <c r="AC656" s="367"/>
      <c r="AD656" s="367"/>
      <c r="AE656" s="367"/>
      <c r="AF656" s="367"/>
      <c r="AG656" s="367"/>
      <c r="AH656" s="367"/>
      <c r="AI656" s="367"/>
      <c r="AJ656" s="367"/>
      <c r="AK656" s="367"/>
      <c r="AL656" s="367"/>
      <c r="AM656" s="367"/>
      <c r="AN656" s="367"/>
      <c r="AO656" s="367"/>
      <c r="AP656" s="367"/>
      <c r="AQ656" s="367"/>
      <c r="AR656" s="367"/>
      <c r="AS656" s="367"/>
      <c r="AT656" s="368"/>
      <c r="AU656" s="367"/>
    </row>
    <row r="657" spans="1:47" ht="12.75">
      <c r="A657" s="367"/>
      <c r="B657" s="367"/>
      <c r="C657" s="367"/>
      <c r="D657" s="367"/>
      <c r="E657" s="367"/>
      <c r="F657" s="367"/>
      <c r="G657" s="367"/>
      <c r="H657" s="367"/>
      <c r="I657" s="367"/>
      <c r="J657" s="367"/>
      <c r="K657" s="367"/>
      <c r="L657" s="367"/>
      <c r="M657" s="367"/>
      <c r="N657" s="367"/>
      <c r="O657" s="367"/>
      <c r="P657" s="364"/>
      <c r="Q657" s="365"/>
      <c r="R657" s="365"/>
      <c r="S657" s="365"/>
      <c r="T657" s="365"/>
      <c r="U657" s="366"/>
      <c r="V657" s="367"/>
      <c r="W657" s="367"/>
      <c r="X657" s="367"/>
      <c r="Y657" s="367"/>
      <c r="Z657" s="367"/>
      <c r="AA657" s="367"/>
      <c r="AB657" s="367"/>
      <c r="AC657" s="367"/>
      <c r="AD657" s="367"/>
      <c r="AE657" s="367"/>
      <c r="AF657" s="367"/>
      <c r="AG657" s="367"/>
      <c r="AH657" s="367"/>
      <c r="AI657" s="367"/>
      <c r="AJ657" s="367"/>
      <c r="AK657" s="367"/>
      <c r="AL657" s="367"/>
      <c r="AM657" s="367"/>
      <c r="AN657" s="367"/>
      <c r="AO657" s="367"/>
      <c r="AP657" s="367"/>
      <c r="AQ657" s="367"/>
      <c r="AR657" s="367"/>
      <c r="AS657" s="367"/>
      <c r="AT657" s="368"/>
      <c r="AU657" s="367"/>
    </row>
    <row r="658" spans="1:47" ht="12.75">
      <c r="A658" s="367"/>
      <c r="B658" s="367"/>
      <c r="C658" s="367"/>
      <c r="D658" s="367"/>
      <c r="E658" s="367"/>
      <c r="F658" s="367"/>
      <c r="G658" s="367"/>
      <c r="H658" s="367"/>
      <c r="I658" s="367"/>
      <c r="J658" s="367"/>
      <c r="K658" s="367"/>
      <c r="L658" s="367"/>
      <c r="M658" s="367"/>
      <c r="N658" s="367"/>
      <c r="O658" s="367"/>
      <c r="P658" s="364"/>
      <c r="Q658" s="365"/>
      <c r="R658" s="365"/>
      <c r="S658" s="365"/>
      <c r="T658" s="365"/>
      <c r="U658" s="366"/>
      <c r="V658" s="367"/>
      <c r="W658" s="367"/>
      <c r="X658" s="367"/>
      <c r="Y658" s="367"/>
      <c r="Z658" s="367"/>
      <c r="AA658" s="367"/>
      <c r="AB658" s="367"/>
      <c r="AC658" s="367"/>
      <c r="AD658" s="367"/>
      <c r="AE658" s="367"/>
      <c r="AF658" s="367"/>
      <c r="AG658" s="367"/>
      <c r="AH658" s="367"/>
      <c r="AI658" s="367"/>
      <c r="AJ658" s="367"/>
      <c r="AK658" s="367"/>
      <c r="AL658" s="367"/>
      <c r="AM658" s="367"/>
      <c r="AN658" s="367"/>
      <c r="AO658" s="367"/>
      <c r="AP658" s="367"/>
      <c r="AQ658" s="367"/>
      <c r="AR658" s="367"/>
      <c r="AS658" s="367"/>
      <c r="AT658" s="368"/>
      <c r="AU658" s="367"/>
    </row>
    <row r="659" spans="1:47" ht="12.75">
      <c r="A659" s="367"/>
      <c r="B659" s="367"/>
      <c r="C659" s="367"/>
      <c r="D659" s="367"/>
      <c r="E659" s="367"/>
      <c r="F659" s="367"/>
      <c r="G659" s="367"/>
      <c r="H659" s="367"/>
      <c r="I659" s="367"/>
      <c r="J659" s="367"/>
      <c r="K659" s="367"/>
      <c r="L659" s="367"/>
      <c r="M659" s="367"/>
      <c r="N659" s="367"/>
      <c r="O659" s="367"/>
      <c r="P659" s="364"/>
      <c r="Q659" s="365"/>
      <c r="R659" s="365"/>
      <c r="S659" s="365"/>
      <c r="T659" s="365"/>
      <c r="U659" s="366"/>
      <c r="V659" s="367"/>
      <c r="W659" s="367"/>
      <c r="X659" s="367"/>
      <c r="Y659" s="367"/>
      <c r="Z659" s="367"/>
      <c r="AA659" s="367"/>
      <c r="AB659" s="367"/>
      <c r="AC659" s="367"/>
      <c r="AD659" s="367"/>
      <c r="AE659" s="367"/>
      <c r="AF659" s="367"/>
      <c r="AG659" s="367"/>
      <c r="AH659" s="367"/>
      <c r="AI659" s="367"/>
      <c r="AJ659" s="367"/>
      <c r="AK659" s="367"/>
      <c r="AL659" s="367"/>
      <c r="AM659" s="367"/>
      <c r="AN659" s="367"/>
      <c r="AO659" s="367"/>
      <c r="AP659" s="367"/>
      <c r="AQ659" s="367"/>
      <c r="AR659" s="367"/>
      <c r="AS659" s="367"/>
      <c r="AT659" s="368"/>
      <c r="AU659" s="367"/>
    </row>
    <row r="660" spans="1:47" ht="12.75">
      <c r="A660" s="367"/>
      <c r="B660" s="367"/>
      <c r="C660" s="367"/>
      <c r="D660" s="367"/>
      <c r="E660" s="367"/>
      <c r="F660" s="367"/>
      <c r="G660" s="367"/>
      <c r="H660" s="367"/>
      <c r="I660" s="367"/>
      <c r="J660" s="367"/>
      <c r="K660" s="367"/>
      <c r="L660" s="367"/>
      <c r="M660" s="367"/>
      <c r="N660" s="367"/>
      <c r="O660" s="367"/>
      <c r="P660" s="364"/>
      <c r="Q660" s="365"/>
      <c r="R660" s="365"/>
      <c r="S660" s="365"/>
      <c r="T660" s="365"/>
      <c r="U660" s="366"/>
      <c r="V660" s="367"/>
      <c r="W660" s="367"/>
      <c r="X660" s="367"/>
      <c r="Y660" s="367"/>
      <c r="Z660" s="367"/>
      <c r="AA660" s="367"/>
      <c r="AB660" s="367"/>
      <c r="AC660" s="367"/>
      <c r="AD660" s="367"/>
      <c r="AE660" s="367"/>
      <c r="AF660" s="367"/>
      <c r="AG660" s="367"/>
      <c r="AH660" s="367"/>
      <c r="AI660" s="367"/>
      <c r="AJ660" s="367"/>
      <c r="AK660" s="367"/>
      <c r="AL660" s="367"/>
      <c r="AM660" s="367"/>
      <c r="AN660" s="367"/>
      <c r="AO660" s="367"/>
      <c r="AP660" s="367"/>
      <c r="AQ660" s="367"/>
      <c r="AR660" s="367"/>
      <c r="AS660" s="367"/>
      <c r="AT660" s="368"/>
      <c r="AU660" s="367"/>
    </row>
    <row r="661" spans="1:47" ht="12.75">
      <c r="A661" s="367"/>
      <c r="B661" s="367"/>
      <c r="C661" s="367"/>
      <c r="D661" s="367"/>
      <c r="E661" s="367"/>
      <c r="F661" s="367"/>
      <c r="G661" s="367"/>
      <c r="H661" s="367"/>
      <c r="I661" s="367"/>
      <c r="J661" s="367"/>
      <c r="K661" s="367"/>
      <c r="L661" s="367"/>
      <c r="M661" s="367"/>
      <c r="N661" s="367"/>
      <c r="O661" s="367"/>
      <c r="P661" s="364"/>
      <c r="Q661" s="365"/>
      <c r="R661" s="365"/>
      <c r="S661" s="365"/>
      <c r="T661" s="365"/>
      <c r="U661" s="366"/>
      <c r="V661" s="367"/>
      <c r="W661" s="367"/>
      <c r="X661" s="367"/>
      <c r="Y661" s="367"/>
      <c r="Z661" s="367"/>
      <c r="AA661" s="367"/>
      <c r="AB661" s="367"/>
      <c r="AC661" s="367"/>
      <c r="AD661" s="367"/>
      <c r="AE661" s="367"/>
      <c r="AF661" s="367"/>
      <c r="AG661" s="367"/>
      <c r="AH661" s="367"/>
      <c r="AI661" s="367"/>
      <c r="AJ661" s="367"/>
      <c r="AK661" s="367"/>
      <c r="AL661" s="367"/>
      <c r="AM661" s="367"/>
      <c r="AN661" s="367"/>
      <c r="AO661" s="367"/>
      <c r="AP661" s="367"/>
      <c r="AQ661" s="367"/>
      <c r="AR661" s="367"/>
      <c r="AS661" s="367"/>
      <c r="AT661" s="368"/>
      <c r="AU661" s="367"/>
    </row>
    <row r="662" spans="1:47" ht="12.75">
      <c r="A662" s="367"/>
      <c r="B662" s="367"/>
      <c r="C662" s="367"/>
      <c r="D662" s="367"/>
      <c r="E662" s="367"/>
      <c r="F662" s="367"/>
      <c r="G662" s="367"/>
      <c r="H662" s="367"/>
      <c r="I662" s="367"/>
      <c r="J662" s="367"/>
      <c r="K662" s="367"/>
      <c r="L662" s="367"/>
      <c r="M662" s="367"/>
      <c r="N662" s="367"/>
      <c r="O662" s="367"/>
      <c r="P662" s="364"/>
      <c r="Q662" s="365"/>
      <c r="R662" s="365"/>
      <c r="S662" s="365"/>
      <c r="T662" s="365"/>
      <c r="U662" s="366"/>
      <c r="V662" s="367"/>
      <c r="W662" s="367"/>
      <c r="X662" s="367"/>
      <c r="Y662" s="367"/>
      <c r="Z662" s="367"/>
      <c r="AA662" s="367"/>
      <c r="AB662" s="367"/>
      <c r="AC662" s="367"/>
      <c r="AD662" s="367"/>
      <c r="AE662" s="367"/>
      <c r="AF662" s="367"/>
      <c r="AG662" s="367"/>
      <c r="AH662" s="367"/>
      <c r="AI662" s="367"/>
      <c r="AJ662" s="367"/>
      <c r="AK662" s="367"/>
      <c r="AL662" s="367"/>
      <c r="AM662" s="367"/>
      <c r="AN662" s="367"/>
      <c r="AO662" s="367"/>
      <c r="AP662" s="367"/>
      <c r="AQ662" s="367"/>
      <c r="AR662" s="367"/>
      <c r="AS662" s="367"/>
      <c r="AT662" s="368"/>
      <c r="AU662" s="367"/>
    </row>
    <row r="663" spans="1:47" ht="12.75">
      <c r="A663" s="367"/>
      <c r="B663" s="367"/>
      <c r="C663" s="367"/>
      <c r="D663" s="367"/>
      <c r="E663" s="367"/>
      <c r="F663" s="367"/>
      <c r="G663" s="367"/>
      <c r="H663" s="367"/>
      <c r="I663" s="367"/>
      <c r="J663" s="367"/>
      <c r="K663" s="367"/>
      <c r="L663" s="367"/>
      <c r="M663" s="367"/>
      <c r="N663" s="367"/>
      <c r="O663" s="367"/>
      <c r="P663" s="364"/>
      <c r="Q663" s="365"/>
      <c r="R663" s="365"/>
      <c r="S663" s="365"/>
      <c r="T663" s="365"/>
      <c r="U663" s="366"/>
      <c r="V663" s="367"/>
      <c r="W663" s="367"/>
      <c r="X663" s="367"/>
      <c r="Y663" s="367"/>
      <c r="Z663" s="367"/>
      <c r="AA663" s="367"/>
      <c r="AB663" s="367"/>
      <c r="AC663" s="367"/>
      <c r="AD663" s="367"/>
      <c r="AE663" s="367"/>
      <c r="AF663" s="367"/>
      <c r="AG663" s="367"/>
      <c r="AH663" s="367"/>
      <c r="AI663" s="367"/>
      <c r="AJ663" s="367"/>
      <c r="AK663" s="367"/>
      <c r="AL663" s="367"/>
      <c r="AM663" s="367"/>
      <c r="AN663" s="367"/>
      <c r="AO663" s="367"/>
      <c r="AP663" s="367"/>
      <c r="AQ663" s="367"/>
      <c r="AR663" s="367"/>
      <c r="AS663" s="367"/>
      <c r="AT663" s="368"/>
      <c r="AU663" s="367"/>
    </row>
    <row r="664" spans="1:47" ht="12.75">
      <c r="A664" s="367"/>
      <c r="B664" s="367"/>
      <c r="C664" s="367"/>
      <c r="D664" s="367"/>
      <c r="E664" s="367"/>
      <c r="F664" s="367"/>
      <c r="G664" s="367"/>
      <c r="H664" s="367"/>
      <c r="I664" s="367"/>
      <c r="J664" s="367"/>
      <c r="K664" s="367"/>
      <c r="L664" s="367"/>
      <c r="M664" s="367"/>
      <c r="N664" s="367"/>
      <c r="O664" s="367"/>
      <c r="P664" s="364"/>
      <c r="Q664" s="365"/>
      <c r="R664" s="365"/>
      <c r="S664" s="365"/>
      <c r="T664" s="365"/>
      <c r="U664" s="366"/>
      <c r="V664" s="367"/>
      <c r="W664" s="367"/>
      <c r="X664" s="367"/>
      <c r="Y664" s="367"/>
      <c r="Z664" s="367"/>
      <c r="AA664" s="367"/>
      <c r="AB664" s="367"/>
      <c r="AC664" s="367"/>
      <c r="AD664" s="367"/>
      <c r="AE664" s="367"/>
      <c r="AF664" s="367"/>
      <c r="AG664" s="367"/>
      <c r="AH664" s="367"/>
      <c r="AI664" s="367"/>
      <c r="AJ664" s="367"/>
      <c r="AK664" s="367"/>
      <c r="AL664" s="367"/>
      <c r="AM664" s="367"/>
      <c r="AN664" s="367"/>
      <c r="AO664" s="367"/>
      <c r="AP664" s="367"/>
      <c r="AQ664" s="367"/>
      <c r="AR664" s="367"/>
      <c r="AS664" s="367"/>
      <c r="AT664" s="368"/>
      <c r="AU664" s="367"/>
    </row>
    <row r="665" spans="1:47" ht="12.75">
      <c r="A665" s="367"/>
      <c r="B665" s="367"/>
      <c r="C665" s="367"/>
      <c r="D665" s="367"/>
      <c r="E665" s="367"/>
      <c r="F665" s="367"/>
      <c r="G665" s="367"/>
      <c r="H665" s="367"/>
      <c r="I665" s="367"/>
      <c r="J665" s="367"/>
      <c r="K665" s="367"/>
      <c r="L665" s="367"/>
      <c r="M665" s="367"/>
      <c r="N665" s="367"/>
      <c r="O665" s="367"/>
      <c r="P665" s="364"/>
      <c r="Q665" s="365"/>
      <c r="R665" s="365"/>
      <c r="S665" s="365"/>
      <c r="T665" s="365"/>
      <c r="U665" s="366"/>
      <c r="V665" s="367"/>
      <c r="W665" s="367"/>
      <c r="X665" s="367"/>
      <c r="Y665" s="367"/>
      <c r="Z665" s="367"/>
      <c r="AA665" s="367"/>
      <c r="AB665" s="367"/>
      <c r="AC665" s="367"/>
      <c r="AD665" s="367"/>
      <c r="AE665" s="367"/>
      <c r="AF665" s="367"/>
      <c r="AG665" s="367"/>
      <c r="AH665" s="367"/>
      <c r="AI665" s="367"/>
      <c r="AJ665" s="367"/>
      <c r="AK665" s="367"/>
      <c r="AL665" s="367"/>
      <c r="AM665" s="367"/>
      <c r="AN665" s="367"/>
      <c r="AO665" s="367"/>
      <c r="AP665" s="367"/>
      <c r="AQ665" s="367"/>
      <c r="AR665" s="367"/>
      <c r="AS665" s="367"/>
      <c r="AT665" s="368"/>
      <c r="AU665" s="367"/>
    </row>
    <row r="666" spans="1:47" ht="12.75">
      <c r="A666" s="367"/>
      <c r="B666" s="367"/>
      <c r="C666" s="367"/>
      <c r="D666" s="367"/>
      <c r="E666" s="367"/>
      <c r="F666" s="367"/>
      <c r="G666" s="367"/>
      <c r="H666" s="367"/>
      <c r="I666" s="367"/>
      <c r="J666" s="367"/>
      <c r="K666" s="367"/>
      <c r="L666" s="367"/>
      <c r="M666" s="367"/>
      <c r="N666" s="367"/>
      <c r="O666" s="367"/>
      <c r="P666" s="364"/>
      <c r="Q666" s="365"/>
      <c r="R666" s="365"/>
      <c r="S666" s="365"/>
      <c r="T666" s="365"/>
      <c r="U666" s="366"/>
      <c r="V666" s="367"/>
      <c r="W666" s="367"/>
      <c r="X666" s="367"/>
      <c r="Y666" s="367"/>
      <c r="Z666" s="367"/>
      <c r="AA666" s="367"/>
      <c r="AB666" s="367"/>
      <c r="AC666" s="367"/>
      <c r="AD666" s="367"/>
      <c r="AE666" s="367"/>
      <c r="AF666" s="367"/>
      <c r="AG666" s="367"/>
      <c r="AH666" s="367"/>
      <c r="AI666" s="367"/>
      <c r="AJ666" s="367"/>
      <c r="AK666" s="367"/>
      <c r="AL666" s="367"/>
      <c r="AM666" s="367"/>
      <c r="AN666" s="367"/>
      <c r="AO666" s="367"/>
      <c r="AP666" s="367"/>
      <c r="AQ666" s="367"/>
      <c r="AR666" s="367"/>
      <c r="AS666" s="367"/>
      <c r="AT666" s="368"/>
      <c r="AU666" s="367"/>
    </row>
    <row r="667" spans="1:47" ht="12.75">
      <c r="A667" s="367"/>
      <c r="B667" s="367"/>
      <c r="C667" s="367"/>
      <c r="D667" s="367"/>
      <c r="E667" s="367"/>
      <c r="F667" s="367"/>
      <c r="G667" s="367"/>
      <c r="H667" s="367"/>
      <c r="I667" s="367"/>
      <c r="J667" s="367"/>
      <c r="K667" s="367"/>
      <c r="L667" s="367"/>
      <c r="M667" s="367"/>
      <c r="N667" s="367"/>
      <c r="O667" s="367"/>
      <c r="P667" s="364"/>
      <c r="Q667" s="365"/>
      <c r="R667" s="365"/>
      <c r="S667" s="365"/>
      <c r="T667" s="365"/>
      <c r="U667" s="366"/>
      <c r="V667" s="367"/>
      <c r="W667" s="367"/>
      <c r="X667" s="367"/>
      <c r="Y667" s="367"/>
      <c r="Z667" s="367"/>
      <c r="AA667" s="367"/>
      <c r="AB667" s="367"/>
      <c r="AC667" s="367"/>
      <c r="AD667" s="367"/>
      <c r="AE667" s="367"/>
      <c r="AF667" s="367"/>
      <c r="AG667" s="367"/>
      <c r="AH667" s="367"/>
      <c r="AI667" s="367"/>
      <c r="AJ667" s="367"/>
      <c r="AK667" s="367"/>
      <c r="AL667" s="367"/>
      <c r="AM667" s="367"/>
      <c r="AN667" s="367"/>
      <c r="AO667" s="367"/>
      <c r="AP667" s="367"/>
      <c r="AQ667" s="367"/>
      <c r="AR667" s="367"/>
      <c r="AS667" s="367"/>
      <c r="AT667" s="368"/>
      <c r="AU667" s="367"/>
    </row>
    <row r="668" spans="1:47" ht="12.75">
      <c r="A668" s="367"/>
      <c r="B668" s="367"/>
      <c r="C668" s="367"/>
      <c r="D668" s="367"/>
      <c r="E668" s="367"/>
      <c r="F668" s="367"/>
      <c r="G668" s="367"/>
      <c r="H668" s="367"/>
      <c r="I668" s="367"/>
      <c r="J668" s="367"/>
      <c r="K668" s="367"/>
      <c r="L668" s="367"/>
      <c r="M668" s="367"/>
      <c r="N668" s="367"/>
      <c r="O668" s="367"/>
      <c r="P668" s="364"/>
      <c r="Q668" s="365"/>
      <c r="R668" s="365"/>
      <c r="S668" s="365"/>
      <c r="T668" s="365"/>
      <c r="U668" s="366"/>
      <c r="V668" s="367"/>
      <c r="W668" s="367"/>
      <c r="X668" s="367"/>
      <c r="Y668" s="367"/>
      <c r="Z668" s="367"/>
      <c r="AA668" s="367"/>
      <c r="AB668" s="367"/>
      <c r="AC668" s="367"/>
      <c r="AD668" s="367"/>
      <c r="AE668" s="367"/>
      <c r="AF668" s="367"/>
      <c r="AG668" s="367"/>
      <c r="AH668" s="367"/>
      <c r="AI668" s="367"/>
      <c r="AJ668" s="367"/>
      <c r="AK668" s="367"/>
      <c r="AL668" s="367"/>
      <c r="AM668" s="367"/>
      <c r="AN668" s="367"/>
      <c r="AO668" s="367"/>
      <c r="AP668" s="367"/>
      <c r="AQ668" s="367"/>
      <c r="AR668" s="367"/>
      <c r="AS668" s="367"/>
      <c r="AT668" s="368"/>
      <c r="AU668" s="367"/>
    </row>
    <row r="669" spans="1:47" ht="12.75">
      <c r="A669" s="367"/>
      <c r="B669" s="367"/>
      <c r="C669" s="367"/>
      <c r="D669" s="367"/>
      <c r="E669" s="367"/>
      <c r="F669" s="367"/>
      <c r="G669" s="367"/>
      <c r="H669" s="367"/>
      <c r="I669" s="367"/>
      <c r="J669" s="367"/>
      <c r="K669" s="367"/>
      <c r="L669" s="367"/>
      <c r="M669" s="367"/>
      <c r="N669" s="367"/>
      <c r="O669" s="367"/>
      <c r="P669" s="364"/>
      <c r="Q669" s="365"/>
      <c r="R669" s="365"/>
      <c r="S669" s="365"/>
      <c r="T669" s="365"/>
      <c r="U669" s="366"/>
      <c r="V669" s="367"/>
      <c r="W669" s="367"/>
      <c r="X669" s="367"/>
      <c r="Y669" s="367"/>
      <c r="Z669" s="367"/>
      <c r="AA669" s="367"/>
      <c r="AB669" s="367"/>
      <c r="AC669" s="367"/>
      <c r="AD669" s="367"/>
      <c r="AE669" s="367"/>
      <c r="AF669" s="367"/>
      <c r="AG669" s="367"/>
      <c r="AH669" s="367"/>
      <c r="AI669" s="367"/>
      <c r="AJ669" s="367"/>
      <c r="AK669" s="367"/>
      <c r="AL669" s="367"/>
      <c r="AM669" s="367"/>
      <c r="AN669" s="367"/>
      <c r="AO669" s="367"/>
      <c r="AP669" s="367"/>
      <c r="AQ669" s="367"/>
      <c r="AR669" s="367"/>
      <c r="AS669" s="367"/>
      <c r="AT669" s="368"/>
      <c r="AU669" s="367"/>
    </row>
    <row r="670" spans="1:47" ht="12.75">
      <c r="A670" s="367"/>
      <c r="B670" s="367"/>
      <c r="C670" s="367"/>
      <c r="D670" s="367"/>
      <c r="E670" s="367"/>
      <c r="F670" s="367"/>
      <c r="G670" s="367"/>
      <c r="H670" s="367"/>
      <c r="I670" s="367"/>
      <c r="J670" s="367"/>
      <c r="K670" s="367"/>
      <c r="L670" s="367"/>
      <c r="M670" s="367"/>
      <c r="N670" s="367"/>
      <c r="O670" s="367"/>
      <c r="P670" s="364"/>
      <c r="Q670" s="365"/>
      <c r="R670" s="365"/>
      <c r="S670" s="365"/>
      <c r="T670" s="365"/>
      <c r="U670" s="366"/>
      <c r="V670" s="367"/>
      <c r="W670" s="367"/>
      <c r="X670" s="367"/>
      <c r="Y670" s="367"/>
      <c r="Z670" s="367"/>
      <c r="AA670" s="367"/>
      <c r="AB670" s="367"/>
      <c r="AC670" s="367"/>
      <c r="AD670" s="367"/>
      <c r="AE670" s="367"/>
      <c r="AF670" s="367"/>
      <c r="AG670" s="367"/>
      <c r="AH670" s="367"/>
      <c r="AI670" s="367"/>
      <c r="AJ670" s="367"/>
      <c r="AK670" s="367"/>
      <c r="AL670" s="367"/>
      <c r="AM670" s="367"/>
      <c r="AN670" s="367"/>
      <c r="AO670" s="367"/>
      <c r="AP670" s="367"/>
      <c r="AQ670" s="367"/>
      <c r="AR670" s="367"/>
      <c r="AS670" s="367"/>
      <c r="AT670" s="368"/>
      <c r="AU670" s="367"/>
    </row>
    <row r="671" spans="1:47" ht="12.75">
      <c r="A671" s="367"/>
      <c r="B671" s="367"/>
      <c r="C671" s="367"/>
      <c r="D671" s="367"/>
      <c r="E671" s="367"/>
      <c r="F671" s="367"/>
      <c r="G671" s="367"/>
      <c r="H671" s="367"/>
      <c r="I671" s="367"/>
      <c r="J671" s="367"/>
      <c r="K671" s="367"/>
      <c r="L671" s="367"/>
      <c r="M671" s="367"/>
      <c r="N671" s="367"/>
      <c r="O671" s="367"/>
      <c r="P671" s="364"/>
      <c r="Q671" s="365"/>
      <c r="R671" s="365"/>
      <c r="S671" s="365"/>
      <c r="T671" s="365"/>
      <c r="U671" s="366"/>
      <c r="V671" s="367"/>
      <c r="W671" s="367"/>
      <c r="X671" s="367"/>
      <c r="Y671" s="367"/>
      <c r="Z671" s="367"/>
      <c r="AA671" s="367"/>
      <c r="AB671" s="367"/>
      <c r="AC671" s="367"/>
      <c r="AD671" s="367"/>
      <c r="AE671" s="367"/>
      <c r="AF671" s="367"/>
      <c r="AG671" s="367"/>
      <c r="AH671" s="367"/>
      <c r="AI671" s="367"/>
      <c r="AJ671" s="367"/>
      <c r="AK671" s="367"/>
      <c r="AL671" s="367"/>
      <c r="AM671" s="367"/>
      <c r="AN671" s="367"/>
      <c r="AO671" s="367"/>
      <c r="AP671" s="367"/>
      <c r="AQ671" s="367"/>
      <c r="AR671" s="367"/>
      <c r="AS671" s="367"/>
      <c r="AT671" s="368"/>
      <c r="AU671" s="367"/>
    </row>
    <row r="672" spans="1:47" ht="12.75">
      <c r="A672" s="367"/>
      <c r="B672" s="367"/>
      <c r="C672" s="367"/>
      <c r="D672" s="367"/>
      <c r="E672" s="367"/>
      <c r="F672" s="367"/>
      <c r="G672" s="367"/>
      <c r="H672" s="367"/>
      <c r="I672" s="367"/>
      <c r="J672" s="367"/>
      <c r="K672" s="367"/>
      <c r="L672" s="367"/>
      <c r="M672" s="367"/>
      <c r="N672" s="367"/>
      <c r="O672" s="367"/>
      <c r="P672" s="364"/>
      <c r="Q672" s="365"/>
      <c r="R672" s="365"/>
      <c r="S672" s="365"/>
      <c r="T672" s="365"/>
      <c r="U672" s="366"/>
      <c r="V672" s="367"/>
      <c r="W672" s="367"/>
      <c r="X672" s="367"/>
      <c r="Y672" s="367"/>
      <c r="Z672" s="367"/>
      <c r="AA672" s="367"/>
      <c r="AB672" s="367"/>
      <c r="AC672" s="367"/>
      <c r="AD672" s="367"/>
      <c r="AE672" s="367"/>
      <c r="AF672" s="367"/>
      <c r="AG672" s="367"/>
      <c r="AH672" s="367"/>
      <c r="AI672" s="367"/>
      <c r="AJ672" s="367"/>
      <c r="AK672" s="367"/>
      <c r="AL672" s="367"/>
      <c r="AM672" s="367"/>
      <c r="AN672" s="367"/>
      <c r="AO672" s="367"/>
      <c r="AP672" s="367"/>
      <c r="AQ672" s="367"/>
      <c r="AR672" s="367"/>
      <c r="AS672" s="367"/>
      <c r="AT672" s="368"/>
      <c r="AU672" s="367"/>
    </row>
    <row r="673" spans="1:47" ht="12.75">
      <c r="A673" s="367"/>
      <c r="B673" s="367"/>
      <c r="C673" s="367"/>
      <c r="D673" s="367"/>
      <c r="E673" s="367"/>
      <c r="F673" s="367"/>
      <c r="G673" s="367"/>
      <c r="H673" s="367"/>
      <c r="I673" s="367"/>
      <c r="J673" s="367"/>
      <c r="K673" s="367"/>
      <c r="L673" s="367"/>
      <c r="M673" s="367"/>
      <c r="N673" s="367"/>
      <c r="O673" s="367"/>
      <c r="P673" s="364"/>
      <c r="Q673" s="365"/>
      <c r="R673" s="365"/>
      <c r="S673" s="365"/>
      <c r="T673" s="365"/>
      <c r="U673" s="366"/>
      <c r="V673" s="367"/>
      <c r="W673" s="367"/>
      <c r="X673" s="367"/>
      <c r="Y673" s="367"/>
      <c r="Z673" s="367"/>
      <c r="AA673" s="367"/>
      <c r="AB673" s="367"/>
      <c r="AC673" s="367"/>
      <c r="AD673" s="367"/>
      <c r="AE673" s="367"/>
      <c r="AF673" s="367"/>
      <c r="AG673" s="367"/>
      <c r="AH673" s="367"/>
      <c r="AI673" s="367"/>
      <c r="AJ673" s="367"/>
      <c r="AK673" s="367"/>
      <c r="AL673" s="367"/>
      <c r="AM673" s="367"/>
      <c r="AN673" s="367"/>
      <c r="AO673" s="367"/>
      <c r="AP673" s="367"/>
      <c r="AQ673" s="367"/>
      <c r="AR673" s="367"/>
      <c r="AS673" s="367"/>
      <c r="AT673" s="368"/>
      <c r="AU673" s="367"/>
    </row>
    <row r="674" spans="1:47" ht="12.75">
      <c r="A674" s="367"/>
      <c r="B674" s="367"/>
      <c r="C674" s="367"/>
      <c r="D674" s="367"/>
      <c r="E674" s="367"/>
      <c r="F674" s="367"/>
      <c r="G674" s="367"/>
      <c r="H674" s="367"/>
      <c r="I674" s="367"/>
      <c r="J674" s="367"/>
      <c r="K674" s="367"/>
      <c r="L674" s="367"/>
      <c r="M674" s="367"/>
      <c r="N674" s="367"/>
      <c r="O674" s="367"/>
      <c r="P674" s="364"/>
      <c r="Q674" s="365"/>
      <c r="R674" s="365"/>
      <c r="S674" s="365"/>
      <c r="T674" s="365"/>
      <c r="U674" s="366"/>
      <c r="V674" s="367"/>
      <c r="W674" s="367"/>
      <c r="X674" s="367"/>
      <c r="Y674" s="367"/>
      <c r="Z674" s="367"/>
      <c r="AA674" s="367"/>
      <c r="AB674" s="367"/>
      <c r="AC674" s="367"/>
      <c r="AD674" s="367"/>
      <c r="AE674" s="367"/>
      <c r="AF674" s="367"/>
      <c r="AG674" s="367"/>
      <c r="AH674" s="367"/>
      <c r="AI674" s="367"/>
      <c r="AJ674" s="367"/>
      <c r="AK674" s="367"/>
      <c r="AL674" s="367"/>
      <c r="AM674" s="367"/>
      <c r="AN674" s="367"/>
      <c r="AO674" s="367"/>
      <c r="AP674" s="367"/>
      <c r="AQ674" s="367"/>
      <c r="AR674" s="367"/>
      <c r="AS674" s="367"/>
      <c r="AT674" s="368"/>
      <c r="AU674" s="367"/>
    </row>
    <row r="675" spans="1:47" ht="12.75">
      <c r="A675" s="367"/>
      <c r="B675" s="367"/>
      <c r="C675" s="367"/>
      <c r="D675" s="367"/>
      <c r="E675" s="367"/>
      <c r="F675" s="367"/>
      <c r="G675" s="367"/>
      <c r="H675" s="367"/>
      <c r="I675" s="367"/>
      <c r="J675" s="367"/>
      <c r="K675" s="367"/>
      <c r="L675" s="367"/>
      <c r="M675" s="367"/>
      <c r="N675" s="367"/>
      <c r="O675" s="367"/>
      <c r="P675" s="364"/>
      <c r="Q675" s="365"/>
      <c r="R675" s="365"/>
      <c r="S675" s="365"/>
      <c r="T675" s="365"/>
      <c r="U675" s="366"/>
      <c r="V675" s="367"/>
      <c r="W675" s="367"/>
      <c r="X675" s="367"/>
      <c r="Y675" s="367"/>
      <c r="Z675" s="367"/>
      <c r="AA675" s="367"/>
      <c r="AB675" s="367"/>
      <c r="AC675" s="367"/>
      <c r="AD675" s="367"/>
      <c r="AE675" s="367"/>
      <c r="AF675" s="367"/>
      <c r="AG675" s="367"/>
      <c r="AH675" s="367"/>
      <c r="AI675" s="367"/>
      <c r="AJ675" s="367"/>
      <c r="AK675" s="367"/>
      <c r="AL675" s="367"/>
      <c r="AM675" s="367"/>
      <c r="AN675" s="367"/>
      <c r="AO675" s="367"/>
      <c r="AP675" s="367"/>
      <c r="AQ675" s="367"/>
      <c r="AR675" s="367"/>
      <c r="AS675" s="367"/>
      <c r="AT675" s="368"/>
      <c r="AU675" s="367"/>
    </row>
    <row r="676" spans="1:47" ht="12.75">
      <c r="A676" s="367"/>
      <c r="B676" s="367"/>
      <c r="C676" s="367"/>
      <c r="D676" s="367"/>
      <c r="E676" s="367"/>
      <c r="F676" s="367"/>
      <c r="G676" s="367"/>
      <c r="H676" s="367"/>
      <c r="I676" s="367"/>
      <c r="J676" s="367"/>
      <c r="K676" s="367"/>
      <c r="L676" s="367"/>
      <c r="M676" s="367"/>
      <c r="N676" s="367"/>
      <c r="O676" s="367"/>
      <c r="P676" s="364"/>
      <c r="Q676" s="365"/>
      <c r="R676" s="365"/>
      <c r="S676" s="365"/>
      <c r="T676" s="365"/>
      <c r="U676" s="366"/>
      <c r="V676" s="367"/>
      <c r="W676" s="367"/>
      <c r="X676" s="367"/>
      <c r="Y676" s="367"/>
      <c r="Z676" s="367"/>
      <c r="AA676" s="367"/>
      <c r="AB676" s="367"/>
      <c r="AC676" s="367"/>
      <c r="AD676" s="367"/>
      <c r="AE676" s="367"/>
      <c r="AF676" s="367"/>
      <c r="AG676" s="367"/>
      <c r="AH676" s="367"/>
      <c r="AI676" s="367"/>
      <c r="AJ676" s="367"/>
      <c r="AK676" s="367"/>
      <c r="AL676" s="367"/>
      <c r="AM676" s="367"/>
      <c r="AN676" s="367"/>
      <c r="AO676" s="367"/>
      <c r="AP676" s="367"/>
      <c r="AQ676" s="367"/>
      <c r="AR676" s="367"/>
      <c r="AS676" s="367"/>
      <c r="AT676" s="368"/>
      <c r="AU676" s="367"/>
    </row>
    <row r="677" spans="1:47" ht="12.75">
      <c r="A677" s="367"/>
      <c r="B677" s="367"/>
      <c r="C677" s="367"/>
      <c r="D677" s="367"/>
      <c r="E677" s="367"/>
      <c r="F677" s="367"/>
      <c r="G677" s="367"/>
      <c r="H677" s="367"/>
      <c r="I677" s="367"/>
      <c r="J677" s="367"/>
      <c r="K677" s="367"/>
      <c r="L677" s="367"/>
      <c r="M677" s="367"/>
      <c r="N677" s="367"/>
      <c r="O677" s="367"/>
      <c r="P677" s="364"/>
      <c r="Q677" s="365"/>
      <c r="R677" s="365"/>
      <c r="S677" s="365"/>
      <c r="T677" s="365"/>
      <c r="U677" s="366"/>
      <c r="V677" s="367"/>
      <c r="W677" s="367"/>
      <c r="X677" s="367"/>
      <c r="Y677" s="367"/>
      <c r="Z677" s="367"/>
      <c r="AA677" s="367"/>
      <c r="AB677" s="367"/>
      <c r="AC677" s="367"/>
      <c r="AD677" s="367"/>
      <c r="AE677" s="367"/>
      <c r="AF677" s="367"/>
      <c r="AG677" s="367"/>
      <c r="AH677" s="367"/>
      <c r="AI677" s="367"/>
      <c r="AJ677" s="367"/>
      <c r="AK677" s="367"/>
      <c r="AL677" s="367"/>
      <c r="AM677" s="367"/>
      <c r="AN677" s="367"/>
      <c r="AO677" s="367"/>
      <c r="AP677" s="367"/>
      <c r="AQ677" s="367"/>
      <c r="AR677" s="367"/>
      <c r="AS677" s="367"/>
      <c r="AT677" s="368"/>
      <c r="AU677" s="367"/>
    </row>
    <row r="678" spans="1:47" ht="12.75">
      <c r="A678" s="367"/>
      <c r="B678" s="367"/>
      <c r="C678" s="367"/>
      <c r="D678" s="367"/>
      <c r="E678" s="367"/>
      <c r="F678" s="367"/>
      <c r="G678" s="367"/>
      <c r="H678" s="367"/>
      <c r="I678" s="367"/>
      <c r="J678" s="367"/>
      <c r="K678" s="367"/>
      <c r="L678" s="367"/>
      <c r="M678" s="367"/>
      <c r="N678" s="367"/>
      <c r="O678" s="367"/>
      <c r="P678" s="364"/>
      <c r="Q678" s="365"/>
      <c r="R678" s="365"/>
      <c r="S678" s="365"/>
      <c r="T678" s="365"/>
      <c r="U678" s="366"/>
      <c r="V678" s="367"/>
      <c r="W678" s="367"/>
      <c r="X678" s="367"/>
      <c r="Y678" s="367"/>
      <c r="Z678" s="367"/>
      <c r="AA678" s="367"/>
      <c r="AB678" s="367"/>
      <c r="AC678" s="367"/>
      <c r="AD678" s="367"/>
      <c r="AE678" s="367"/>
      <c r="AF678" s="367"/>
      <c r="AG678" s="367"/>
      <c r="AH678" s="367"/>
      <c r="AI678" s="367"/>
      <c r="AJ678" s="367"/>
      <c r="AK678" s="367"/>
      <c r="AL678" s="367"/>
      <c r="AM678" s="367"/>
      <c r="AN678" s="367"/>
      <c r="AO678" s="367"/>
      <c r="AP678" s="367"/>
      <c r="AQ678" s="367"/>
      <c r="AR678" s="367"/>
      <c r="AS678" s="367"/>
      <c r="AT678" s="368"/>
      <c r="AU678" s="367"/>
    </row>
    <row r="679" spans="1:47" ht="12.75">
      <c r="A679" s="367"/>
      <c r="B679" s="367"/>
      <c r="C679" s="367"/>
      <c r="D679" s="367"/>
      <c r="E679" s="367"/>
      <c r="F679" s="367"/>
      <c r="G679" s="367"/>
      <c r="H679" s="367"/>
      <c r="I679" s="367"/>
      <c r="J679" s="367"/>
      <c r="K679" s="367"/>
      <c r="L679" s="367"/>
      <c r="M679" s="367"/>
      <c r="N679" s="367"/>
      <c r="O679" s="367"/>
      <c r="P679" s="364"/>
      <c r="Q679" s="365"/>
      <c r="R679" s="365"/>
      <c r="S679" s="365"/>
      <c r="T679" s="365"/>
      <c r="U679" s="366"/>
      <c r="V679" s="367"/>
      <c r="W679" s="367"/>
      <c r="X679" s="367"/>
      <c r="Y679" s="367"/>
      <c r="Z679" s="367"/>
      <c r="AA679" s="367"/>
      <c r="AB679" s="367"/>
      <c r="AC679" s="367"/>
      <c r="AD679" s="367"/>
      <c r="AE679" s="367"/>
      <c r="AF679" s="367"/>
      <c r="AG679" s="367"/>
      <c r="AH679" s="367"/>
      <c r="AI679" s="367"/>
      <c r="AJ679" s="367"/>
      <c r="AK679" s="367"/>
      <c r="AL679" s="367"/>
      <c r="AM679" s="367"/>
      <c r="AN679" s="367"/>
      <c r="AO679" s="367"/>
      <c r="AP679" s="367"/>
      <c r="AQ679" s="367"/>
      <c r="AR679" s="367"/>
      <c r="AS679" s="367"/>
      <c r="AT679" s="368"/>
      <c r="AU679" s="367"/>
    </row>
    <row r="680" spans="1:47" ht="12.75">
      <c r="A680" s="367"/>
      <c r="B680" s="367"/>
      <c r="C680" s="367"/>
      <c r="D680" s="367"/>
      <c r="E680" s="367"/>
      <c r="F680" s="367"/>
      <c r="G680" s="367"/>
      <c r="H680" s="367"/>
      <c r="I680" s="367"/>
      <c r="J680" s="367"/>
      <c r="K680" s="367"/>
      <c r="L680" s="367"/>
      <c r="M680" s="367"/>
      <c r="N680" s="367"/>
      <c r="O680" s="367"/>
      <c r="P680" s="364"/>
      <c r="Q680" s="365"/>
      <c r="R680" s="365"/>
      <c r="S680" s="365"/>
      <c r="T680" s="365"/>
      <c r="U680" s="366"/>
      <c r="V680" s="367"/>
      <c r="W680" s="367"/>
      <c r="X680" s="367"/>
      <c r="Y680" s="367"/>
      <c r="Z680" s="367"/>
      <c r="AA680" s="367"/>
      <c r="AB680" s="367"/>
      <c r="AC680" s="367"/>
      <c r="AD680" s="367"/>
      <c r="AE680" s="367"/>
      <c r="AF680" s="367"/>
      <c r="AG680" s="367"/>
      <c r="AH680" s="367"/>
      <c r="AI680" s="367"/>
      <c r="AJ680" s="367"/>
      <c r="AK680" s="367"/>
      <c r="AL680" s="367"/>
      <c r="AM680" s="367"/>
      <c r="AN680" s="367"/>
      <c r="AO680" s="367"/>
      <c r="AP680" s="367"/>
      <c r="AQ680" s="367"/>
      <c r="AR680" s="367"/>
      <c r="AS680" s="367"/>
      <c r="AT680" s="368"/>
      <c r="AU680" s="367"/>
    </row>
    <row r="681" spans="1:47" ht="12.75">
      <c r="A681" s="367"/>
      <c r="B681" s="367"/>
      <c r="C681" s="367"/>
      <c r="D681" s="367"/>
      <c r="E681" s="367"/>
      <c r="F681" s="367"/>
      <c r="G681" s="367"/>
      <c r="H681" s="367"/>
      <c r="I681" s="367"/>
      <c r="J681" s="367"/>
      <c r="K681" s="367"/>
      <c r="L681" s="367"/>
      <c r="M681" s="367"/>
      <c r="N681" s="367"/>
      <c r="O681" s="367"/>
      <c r="P681" s="364"/>
      <c r="Q681" s="365"/>
      <c r="R681" s="365"/>
      <c r="S681" s="365"/>
      <c r="T681" s="365"/>
      <c r="U681" s="366"/>
      <c r="V681" s="367"/>
      <c r="W681" s="367"/>
      <c r="X681" s="367"/>
      <c r="Y681" s="367"/>
      <c r="Z681" s="367"/>
      <c r="AA681" s="367"/>
      <c r="AB681" s="367"/>
      <c r="AC681" s="367"/>
      <c r="AD681" s="367"/>
      <c r="AE681" s="367"/>
      <c r="AF681" s="367"/>
      <c r="AG681" s="367"/>
      <c r="AH681" s="367"/>
      <c r="AI681" s="367"/>
      <c r="AJ681" s="367"/>
      <c r="AK681" s="367"/>
      <c r="AL681" s="367"/>
      <c r="AM681" s="367"/>
      <c r="AN681" s="367"/>
      <c r="AO681" s="367"/>
      <c r="AP681" s="367"/>
      <c r="AQ681" s="367"/>
      <c r="AR681" s="367"/>
      <c r="AS681" s="367"/>
      <c r="AT681" s="368"/>
      <c r="AU681" s="367"/>
    </row>
    <row r="682" spans="1:47" ht="12.75">
      <c r="A682" s="367"/>
      <c r="B682" s="367"/>
      <c r="C682" s="367"/>
      <c r="D682" s="367"/>
      <c r="E682" s="367"/>
      <c r="F682" s="367"/>
      <c r="G682" s="367"/>
      <c r="H682" s="367"/>
      <c r="I682" s="367"/>
      <c r="J682" s="367"/>
      <c r="K682" s="367"/>
      <c r="L682" s="367"/>
      <c r="M682" s="367"/>
      <c r="N682" s="367"/>
      <c r="O682" s="367"/>
      <c r="P682" s="364"/>
      <c r="Q682" s="365"/>
      <c r="R682" s="365"/>
      <c r="S682" s="365"/>
      <c r="T682" s="365"/>
      <c r="U682" s="366"/>
      <c r="V682" s="367"/>
      <c r="W682" s="367"/>
      <c r="X682" s="367"/>
      <c r="Y682" s="367"/>
      <c r="Z682" s="367"/>
      <c r="AA682" s="367"/>
      <c r="AB682" s="367"/>
      <c r="AC682" s="367"/>
      <c r="AD682" s="367"/>
      <c r="AE682" s="367"/>
      <c r="AF682" s="367"/>
      <c r="AG682" s="367"/>
      <c r="AH682" s="367"/>
      <c r="AI682" s="367"/>
      <c r="AJ682" s="367"/>
      <c r="AK682" s="367"/>
      <c r="AL682" s="367"/>
      <c r="AM682" s="367"/>
      <c r="AN682" s="367"/>
      <c r="AO682" s="367"/>
      <c r="AP682" s="367"/>
      <c r="AQ682" s="367"/>
      <c r="AR682" s="367"/>
      <c r="AS682" s="367"/>
      <c r="AT682" s="368"/>
      <c r="AU682" s="367"/>
    </row>
    <row r="683" spans="1:47" ht="12.75">
      <c r="A683" s="367"/>
      <c r="B683" s="367"/>
      <c r="C683" s="367"/>
      <c r="D683" s="367"/>
      <c r="E683" s="367"/>
      <c r="F683" s="367"/>
      <c r="G683" s="367"/>
      <c r="H683" s="367"/>
      <c r="I683" s="367"/>
      <c r="J683" s="367"/>
      <c r="K683" s="367"/>
      <c r="L683" s="367"/>
      <c r="M683" s="367"/>
      <c r="N683" s="367"/>
      <c r="O683" s="367"/>
      <c r="P683" s="364"/>
      <c r="Q683" s="365"/>
      <c r="R683" s="365"/>
      <c r="S683" s="365"/>
      <c r="T683" s="365"/>
      <c r="U683" s="366"/>
      <c r="V683" s="367"/>
      <c r="W683" s="367"/>
      <c r="X683" s="367"/>
      <c r="Y683" s="367"/>
      <c r="Z683" s="367"/>
      <c r="AA683" s="367"/>
      <c r="AB683" s="367"/>
      <c r="AC683" s="367"/>
      <c r="AD683" s="367"/>
      <c r="AE683" s="367"/>
      <c r="AF683" s="367"/>
      <c r="AG683" s="367"/>
      <c r="AH683" s="367"/>
      <c r="AI683" s="367"/>
      <c r="AJ683" s="367"/>
      <c r="AK683" s="367"/>
      <c r="AL683" s="367"/>
      <c r="AM683" s="367"/>
      <c r="AN683" s="367"/>
      <c r="AO683" s="367"/>
      <c r="AP683" s="367"/>
      <c r="AQ683" s="367"/>
      <c r="AR683" s="367"/>
      <c r="AS683" s="367"/>
      <c r="AT683" s="368"/>
      <c r="AU683" s="367"/>
    </row>
    <row r="684" spans="1:47" ht="12.75">
      <c r="A684" s="367"/>
      <c r="B684" s="367"/>
      <c r="C684" s="367"/>
      <c r="D684" s="367"/>
      <c r="E684" s="367"/>
      <c r="F684" s="367"/>
      <c r="G684" s="367"/>
      <c r="H684" s="367"/>
      <c r="I684" s="367"/>
      <c r="J684" s="367"/>
      <c r="K684" s="367"/>
      <c r="L684" s="367"/>
      <c r="M684" s="367"/>
      <c r="N684" s="367"/>
      <c r="O684" s="367"/>
      <c r="P684" s="364"/>
      <c r="Q684" s="365"/>
      <c r="R684" s="365"/>
      <c r="S684" s="365"/>
      <c r="T684" s="365"/>
      <c r="U684" s="366"/>
      <c r="V684" s="367"/>
      <c r="W684" s="367"/>
      <c r="X684" s="367"/>
      <c r="Y684" s="367"/>
      <c r="Z684" s="367"/>
      <c r="AA684" s="367"/>
      <c r="AB684" s="367"/>
      <c r="AC684" s="367"/>
      <c r="AD684" s="367"/>
      <c r="AE684" s="367"/>
      <c r="AF684" s="367"/>
      <c r="AG684" s="367"/>
      <c r="AH684" s="367"/>
      <c r="AI684" s="367"/>
      <c r="AJ684" s="367"/>
      <c r="AK684" s="367"/>
      <c r="AL684" s="367"/>
      <c r="AM684" s="367"/>
      <c r="AN684" s="367"/>
      <c r="AO684" s="367"/>
      <c r="AP684" s="367"/>
      <c r="AQ684" s="367"/>
      <c r="AR684" s="367"/>
      <c r="AS684" s="367"/>
      <c r="AT684" s="368"/>
      <c r="AU684" s="367"/>
    </row>
    <row r="685" spans="1:47" ht="12.75">
      <c r="A685" s="367"/>
      <c r="B685" s="367"/>
      <c r="C685" s="367"/>
      <c r="D685" s="367"/>
      <c r="E685" s="367"/>
      <c r="F685" s="367"/>
      <c r="G685" s="367"/>
      <c r="H685" s="367"/>
      <c r="I685" s="367"/>
      <c r="J685" s="367"/>
      <c r="K685" s="367"/>
      <c r="L685" s="367"/>
      <c r="M685" s="367"/>
      <c r="N685" s="367"/>
      <c r="O685" s="367"/>
      <c r="P685" s="364"/>
      <c r="Q685" s="365"/>
      <c r="R685" s="365"/>
      <c r="S685" s="365"/>
      <c r="T685" s="365"/>
      <c r="U685" s="366"/>
      <c r="V685" s="367"/>
      <c r="W685" s="367"/>
      <c r="X685" s="367"/>
      <c r="Y685" s="367"/>
      <c r="Z685" s="367"/>
      <c r="AA685" s="367"/>
      <c r="AB685" s="367"/>
      <c r="AC685" s="367"/>
      <c r="AD685" s="367"/>
      <c r="AE685" s="367"/>
      <c r="AF685" s="367"/>
      <c r="AG685" s="367"/>
      <c r="AH685" s="367"/>
      <c r="AI685" s="367"/>
      <c r="AJ685" s="367"/>
      <c r="AK685" s="367"/>
      <c r="AL685" s="367"/>
      <c r="AM685" s="367"/>
      <c r="AN685" s="367"/>
      <c r="AO685" s="367"/>
      <c r="AP685" s="367"/>
      <c r="AQ685" s="367"/>
      <c r="AR685" s="367"/>
      <c r="AS685" s="367"/>
      <c r="AT685" s="368"/>
      <c r="AU685" s="367"/>
    </row>
    <row r="686" spans="1:47" ht="12.75">
      <c r="A686" s="367"/>
      <c r="B686" s="367"/>
      <c r="C686" s="367"/>
      <c r="D686" s="367"/>
      <c r="E686" s="367"/>
      <c r="F686" s="367"/>
      <c r="G686" s="367"/>
      <c r="H686" s="367"/>
      <c r="I686" s="367"/>
      <c r="J686" s="367"/>
      <c r="K686" s="367"/>
      <c r="L686" s="367"/>
      <c r="M686" s="367"/>
      <c r="N686" s="367"/>
      <c r="O686" s="367"/>
      <c r="P686" s="364"/>
      <c r="Q686" s="365"/>
      <c r="R686" s="365"/>
      <c r="S686" s="365"/>
      <c r="T686" s="365"/>
      <c r="U686" s="366"/>
      <c r="V686" s="367"/>
      <c r="W686" s="367"/>
      <c r="X686" s="367"/>
      <c r="Y686" s="367"/>
      <c r="Z686" s="367"/>
      <c r="AA686" s="367"/>
      <c r="AB686" s="367"/>
      <c r="AC686" s="367"/>
      <c r="AD686" s="367"/>
      <c r="AE686" s="367"/>
      <c r="AF686" s="367"/>
      <c r="AG686" s="367"/>
      <c r="AH686" s="367"/>
      <c r="AI686" s="367"/>
      <c r="AJ686" s="367"/>
      <c r="AK686" s="367"/>
      <c r="AL686" s="367"/>
      <c r="AM686" s="367"/>
      <c r="AN686" s="367"/>
      <c r="AO686" s="367"/>
      <c r="AP686" s="367"/>
      <c r="AQ686" s="367"/>
      <c r="AR686" s="367"/>
      <c r="AS686" s="367"/>
      <c r="AT686" s="368"/>
      <c r="AU686" s="367"/>
    </row>
    <row r="687" spans="1:47" ht="12.75">
      <c r="A687" s="367"/>
      <c r="B687" s="367"/>
      <c r="C687" s="367"/>
      <c r="D687" s="367"/>
      <c r="E687" s="367"/>
      <c r="F687" s="367"/>
      <c r="G687" s="367"/>
      <c r="H687" s="367"/>
      <c r="I687" s="367"/>
      <c r="J687" s="367"/>
      <c r="K687" s="367"/>
      <c r="L687" s="367"/>
      <c r="M687" s="367"/>
      <c r="N687" s="367"/>
      <c r="O687" s="367"/>
      <c r="P687" s="364"/>
      <c r="Q687" s="365"/>
      <c r="R687" s="365"/>
      <c r="S687" s="365"/>
      <c r="T687" s="365"/>
      <c r="U687" s="366"/>
      <c r="V687" s="367"/>
      <c r="W687" s="367"/>
      <c r="X687" s="367"/>
      <c r="Y687" s="367"/>
      <c r="Z687" s="367"/>
      <c r="AA687" s="367"/>
      <c r="AB687" s="367"/>
      <c r="AC687" s="367"/>
      <c r="AD687" s="367"/>
      <c r="AE687" s="367"/>
      <c r="AF687" s="367"/>
      <c r="AG687" s="367"/>
      <c r="AH687" s="367"/>
      <c r="AI687" s="367"/>
      <c r="AJ687" s="367"/>
      <c r="AK687" s="367"/>
      <c r="AL687" s="367"/>
      <c r="AM687" s="367"/>
      <c r="AN687" s="367"/>
      <c r="AO687" s="367"/>
      <c r="AP687" s="367"/>
      <c r="AQ687" s="367"/>
      <c r="AR687" s="367"/>
      <c r="AS687" s="367"/>
      <c r="AT687" s="368"/>
      <c r="AU687" s="367"/>
    </row>
    <row r="688" spans="1:47" ht="12.75">
      <c r="A688" s="367"/>
      <c r="B688" s="367"/>
      <c r="C688" s="367"/>
      <c r="D688" s="367"/>
      <c r="E688" s="367"/>
      <c r="F688" s="367"/>
      <c r="G688" s="367"/>
      <c r="H688" s="367"/>
      <c r="I688" s="367"/>
      <c r="J688" s="367"/>
      <c r="K688" s="367"/>
      <c r="L688" s="367"/>
      <c r="M688" s="367"/>
      <c r="N688" s="367"/>
      <c r="O688" s="367"/>
      <c r="P688" s="364"/>
      <c r="Q688" s="365"/>
      <c r="R688" s="365"/>
      <c r="S688" s="365"/>
      <c r="T688" s="365"/>
      <c r="U688" s="366"/>
      <c r="V688" s="367"/>
      <c r="W688" s="367"/>
      <c r="X688" s="367"/>
      <c r="Y688" s="367"/>
      <c r="Z688" s="367"/>
      <c r="AA688" s="367"/>
      <c r="AB688" s="367"/>
      <c r="AC688" s="367"/>
      <c r="AD688" s="367"/>
      <c r="AE688" s="367"/>
      <c r="AF688" s="367"/>
      <c r="AG688" s="367"/>
      <c r="AH688" s="367"/>
      <c r="AI688" s="367"/>
      <c r="AJ688" s="367"/>
      <c r="AK688" s="367"/>
      <c r="AL688" s="367"/>
      <c r="AM688" s="367"/>
      <c r="AN688" s="367"/>
      <c r="AO688" s="367"/>
      <c r="AP688" s="367"/>
      <c r="AQ688" s="367"/>
      <c r="AR688" s="367"/>
      <c r="AS688" s="367"/>
      <c r="AT688" s="368"/>
      <c r="AU688" s="367"/>
    </row>
    <row r="689" spans="1:47" ht="12.75">
      <c r="A689" s="367"/>
      <c r="B689" s="367"/>
      <c r="C689" s="367"/>
      <c r="D689" s="367"/>
      <c r="E689" s="367"/>
      <c r="F689" s="367"/>
      <c r="G689" s="367"/>
      <c r="H689" s="367"/>
      <c r="I689" s="367"/>
      <c r="J689" s="367"/>
      <c r="K689" s="367"/>
      <c r="L689" s="367"/>
      <c r="M689" s="367"/>
      <c r="N689" s="367"/>
      <c r="O689" s="367"/>
      <c r="P689" s="364"/>
      <c r="Q689" s="365"/>
      <c r="R689" s="365"/>
      <c r="S689" s="365"/>
      <c r="T689" s="365"/>
      <c r="U689" s="366"/>
      <c r="V689" s="367"/>
      <c r="W689" s="367"/>
      <c r="X689" s="367"/>
      <c r="Y689" s="367"/>
      <c r="Z689" s="367"/>
      <c r="AA689" s="367"/>
      <c r="AB689" s="367"/>
      <c r="AC689" s="367"/>
      <c r="AD689" s="367"/>
      <c r="AE689" s="367"/>
      <c r="AF689" s="367"/>
      <c r="AG689" s="367"/>
      <c r="AH689" s="367"/>
      <c r="AI689" s="367"/>
      <c r="AJ689" s="367"/>
      <c r="AK689" s="367"/>
      <c r="AL689" s="367"/>
      <c r="AM689" s="367"/>
      <c r="AN689" s="367"/>
      <c r="AO689" s="367"/>
      <c r="AP689" s="367"/>
      <c r="AQ689" s="367"/>
      <c r="AR689" s="367"/>
      <c r="AS689" s="367"/>
      <c r="AT689" s="368"/>
      <c r="AU689" s="367"/>
    </row>
    <row r="690" spans="1:47" ht="12.75">
      <c r="A690" s="367"/>
      <c r="B690" s="367"/>
      <c r="C690" s="367"/>
      <c r="D690" s="367"/>
      <c r="E690" s="367"/>
      <c r="F690" s="367"/>
      <c r="G690" s="367"/>
      <c r="H690" s="367"/>
      <c r="I690" s="367"/>
      <c r="J690" s="367"/>
      <c r="K690" s="367"/>
      <c r="L690" s="367"/>
      <c r="M690" s="367"/>
      <c r="N690" s="367"/>
      <c r="O690" s="367"/>
      <c r="P690" s="364"/>
      <c r="Q690" s="365"/>
      <c r="R690" s="365"/>
      <c r="S690" s="365"/>
      <c r="T690" s="365"/>
      <c r="U690" s="366"/>
      <c r="V690" s="367"/>
      <c r="W690" s="367"/>
      <c r="X690" s="367"/>
      <c r="Y690" s="367"/>
      <c r="Z690" s="367"/>
      <c r="AA690" s="367"/>
      <c r="AB690" s="367"/>
      <c r="AC690" s="367"/>
      <c r="AD690" s="367"/>
      <c r="AE690" s="367"/>
      <c r="AF690" s="367"/>
      <c r="AG690" s="367"/>
      <c r="AH690" s="367"/>
      <c r="AI690" s="367"/>
      <c r="AJ690" s="367"/>
      <c r="AK690" s="367"/>
      <c r="AL690" s="367"/>
      <c r="AM690" s="367"/>
      <c r="AN690" s="367"/>
      <c r="AO690" s="367"/>
      <c r="AP690" s="367"/>
      <c r="AQ690" s="367"/>
      <c r="AR690" s="367"/>
      <c r="AS690" s="367"/>
      <c r="AT690" s="368"/>
      <c r="AU690" s="367"/>
    </row>
    <row r="691" spans="1:47" ht="12.75">
      <c r="A691" s="367"/>
      <c r="B691" s="367"/>
      <c r="C691" s="367"/>
      <c r="D691" s="367"/>
      <c r="E691" s="367"/>
      <c r="F691" s="367"/>
      <c r="G691" s="367"/>
      <c r="H691" s="367"/>
      <c r="I691" s="367"/>
      <c r="J691" s="367"/>
      <c r="K691" s="367"/>
      <c r="L691" s="367"/>
      <c r="M691" s="367"/>
      <c r="N691" s="367"/>
      <c r="O691" s="367"/>
      <c r="P691" s="364"/>
      <c r="Q691" s="365"/>
      <c r="R691" s="365"/>
      <c r="S691" s="365"/>
      <c r="T691" s="365"/>
      <c r="U691" s="366"/>
      <c r="V691" s="367"/>
      <c r="W691" s="367"/>
      <c r="X691" s="367"/>
      <c r="Y691" s="367"/>
      <c r="Z691" s="367"/>
      <c r="AA691" s="367"/>
      <c r="AB691" s="367"/>
      <c r="AC691" s="367"/>
      <c r="AD691" s="367"/>
      <c r="AE691" s="367"/>
      <c r="AF691" s="367"/>
      <c r="AG691" s="367"/>
      <c r="AH691" s="367"/>
      <c r="AI691" s="367"/>
      <c r="AJ691" s="367"/>
      <c r="AK691" s="367"/>
      <c r="AL691" s="367"/>
      <c r="AM691" s="367"/>
      <c r="AN691" s="367"/>
      <c r="AO691" s="367"/>
      <c r="AP691" s="367"/>
      <c r="AQ691" s="367"/>
      <c r="AR691" s="367"/>
      <c r="AS691" s="367"/>
      <c r="AT691" s="368"/>
      <c r="AU691" s="367"/>
    </row>
    <row r="692" spans="1:47" ht="12.75">
      <c r="A692" s="367"/>
      <c r="B692" s="367"/>
      <c r="C692" s="367"/>
      <c r="D692" s="367"/>
      <c r="E692" s="367"/>
      <c r="F692" s="367"/>
      <c r="G692" s="367"/>
      <c r="H692" s="367"/>
      <c r="I692" s="367"/>
      <c r="J692" s="367"/>
      <c r="K692" s="367"/>
      <c r="L692" s="367"/>
      <c r="M692" s="367"/>
      <c r="N692" s="367"/>
      <c r="O692" s="367"/>
      <c r="P692" s="364"/>
      <c r="Q692" s="365"/>
      <c r="R692" s="365"/>
      <c r="S692" s="365"/>
      <c r="T692" s="365"/>
      <c r="U692" s="366"/>
      <c r="V692" s="367"/>
      <c r="W692" s="367"/>
      <c r="X692" s="367"/>
      <c r="Y692" s="367"/>
      <c r="Z692" s="367"/>
      <c r="AA692" s="367"/>
      <c r="AB692" s="367"/>
      <c r="AC692" s="367"/>
      <c r="AD692" s="367"/>
      <c r="AE692" s="367"/>
      <c r="AF692" s="367"/>
      <c r="AG692" s="367"/>
      <c r="AH692" s="367"/>
      <c r="AI692" s="367"/>
      <c r="AJ692" s="367"/>
      <c r="AK692" s="367"/>
      <c r="AL692" s="367"/>
      <c r="AM692" s="367"/>
      <c r="AN692" s="367"/>
      <c r="AO692" s="367"/>
      <c r="AP692" s="367"/>
      <c r="AQ692" s="367"/>
      <c r="AR692" s="367"/>
      <c r="AS692" s="367"/>
      <c r="AT692" s="368"/>
      <c r="AU692" s="367"/>
    </row>
    <row r="693" spans="1:47" ht="12.75">
      <c r="A693" s="367"/>
      <c r="B693" s="367"/>
      <c r="C693" s="367"/>
      <c r="D693" s="367"/>
      <c r="E693" s="367"/>
      <c r="F693" s="367"/>
      <c r="G693" s="367"/>
      <c r="H693" s="367"/>
      <c r="I693" s="367"/>
      <c r="J693" s="367"/>
      <c r="K693" s="367"/>
      <c r="L693" s="367"/>
      <c r="M693" s="367"/>
      <c r="N693" s="367"/>
      <c r="O693" s="367"/>
      <c r="P693" s="364"/>
      <c r="Q693" s="365"/>
      <c r="R693" s="365"/>
      <c r="S693" s="365"/>
      <c r="T693" s="365"/>
      <c r="U693" s="366"/>
      <c r="V693" s="367"/>
      <c r="W693" s="367"/>
      <c r="X693" s="367"/>
      <c r="Y693" s="367"/>
      <c r="Z693" s="367"/>
      <c r="AA693" s="367"/>
      <c r="AB693" s="367"/>
      <c r="AC693" s="367"/>
      <c r="AD693" s="367"/>
      <c r="AE693" s="367"/>
      <c r="AF693" s="367"/>
      <c r="AG693" s="367"/>
      <c r="AH693" s="367"/>
      <c r="AI693" s="367"/>
      <c r="AJ693" s="367"/>
      <c r="AK693" s="367"/>
      <c r="AL693" s="367"/>
      <c r="AM693" s="367"/>
      <c r="AN693" s="367"/>
      <c r="AO693" s="367"/>
      <c r="AP693" s="367"/>
      <c r="AQ693" s="367"/>
      <c r="AR693" s="367"/>
      <c r="AS693" s="367"/>
      <c r="AT693" s="368"/>
      <c r="AU693" s="367"/>
    </row>
    <row r="694" spans="1:47" ht="12.75">
      <c r="A694" s="367"/>
      <c r="B694" s="367"/>
      <c r="C694" s="367"/>
      <c r="D694" s="367"/>
      <c r="E694" s="367"/>
      <c r="F694" s="367"/>
      <c r="G694" s="367"/>
      <c r="H694" s="367"/>
      <c r="I694" s="367"/>
      <c r="J694" s="367"/>
      <c r="K694" s="367"/>
      <c r="L694" s="367"/>
      <c r="M694" s="367"/>
      <c r="N694" s="367"/>
      <c r="O694" s="367"/>
      <c r="P694" s="364"/>
      <c r="Q694" s="365"/>
      <c r="R694" s="365"/>
      <c r="S694" s="365"/>
      <c r="T694" s="365"/>
      <c r="U694" s="366"/>
      <c r="V694" s="367"/>
      <c r="W694" s="367"/>
      <c r="X694" s="367"/>
      <c r="Y694" s="367"/>
      <c r="Z694" s="367"/>
      <c r="AA694" s="367"/>
      <c r="AB694" s="367"/>
      <c r="AC694" s="367"/>
      <c r="AD694" s="367"/>
      <c r="AE694" s="367"/>
      <c r="AF694" s="367"/>
      <c r="AG694" s="367"/>
      <c r="AH694" s="367"/>
      <c r="AI694" s="367"/>
      <c r="AJ694" s="367"/>
      <c r="AK694" s="367"/>
      <c r="AL694" s="367"/>
      <c r="AM694" s="367"/>
      <c r="AN694" s="367"/>
      <c r="AO694" s="367"/>
      <c r="AP694" s="367"/>
      <c r="AQ694" s="367"/>
      <c r="AR694" s="367"/>
      <c r="AS694" s="367"/>
      <c r="AT694" s="368"/>
      <c r="AU694" s="367"/>
    </row>
    <row r="695" spans="1:47" ht="12.75">
      <c r="A695" s="367"/>
      <c r="B695" s="367"/>
      <c r="C695" s="367"/>
      <c r="D695" s="367"/>
      <c r="E695" s="367"/>
      <c r="F695" s="367"/>
      <c r="G695" s="367"/>
      <c r="H695" s="367"/>
      <c r="I695" s="367"/>
      <c r="J695" s="367"/>
      <c r="K695" s="367"/>
      <c r="L695" s="367"/>
      <c r="M695" s="367"/>
      <c r="N695" s="367"/>
      <c r="O695" s="367"/>
      <c r="P695" s="364"/>
      <c r="Q695" s="365"/>
      <c r="R695" s="365"/>
      <c r="S695" s="365"/>
      <c r="T695" s="365"/>
      <c r="U695" s="366"/>
      <c r="V695" s="367"/>
      <c r="W695" s="367"/>
      <c r="X695" s="367"/>
      <c r="Y695" s="367"/>
      <c r="Z695" s="367"/>
      <c r="AA695" s="367"/>
      <c r="AB695" s="367"/>
      <c r="AC695" s="367"/>
      <c r="AD695" s="367"/>
      <c r="AE695" s="367"/>
      <c r="AF695" s="367"/>
      <c r="AG695" s="367"/>
      <c r="AH695" s="367"/>
      <c r="AI695" s="367"/>
      <c r="AJ695" s="367"/>
      <c r="AK695" s="367"/>
      <c r="AL695" s="367"/>
      <c r="AM695" s="367"/>
      <c r="AN695" s="367"/>
      <c r="AO695" s="367"/>
      <c r="AP695" s="367"/>
      <c r="AQ695" s="367"/>
      <c r="AR695" s="367"/>
      <c r="AS695" s="367"/>
      <c r="AT695" s="368"/>
      <c r="AU695" s="367"/>
    </row>
    <row r="696" spans="1:47" ht="12.75">
      <c r="A696" s="367"/>
      <c r="B696" s="367"/>
      <c r="C696" s="367"/>
      <c r="D696" s="367"/>
      <c r="E696" s="367"/>
      <c r="F696" s="367"/>
      <c r="G696" s="367"/>
      <c r="H696" s="367"/>
      <c r="I696" s="367"/>
      <c r="J696" s="367"/>
      <c r="K696" s="367"/>
      <c r="L696" s="367"/>
      <c r="M696" s="367"/>
      <c r="N696" s="367"/>
      <c r="O696" s="367"/>
      <c r="P696" s="364"/>
      <c r="Q696" s="365"/>
      <c r="R696" s="365"/>
      <c r="S696" s="365"/>
      <c r="T696" s="365"/>
      <c r="U696" s="366"/>
      <c r="V696" s="367"/>
      <c r="W696" s="367"/>
      <c r="X696" s="367"/>
      <c r="Y696" s="367"/>
      <c r="Z696" s="367"/>
      <c r="AA696" s="367"/>
      <c r="AB696" s="367"/>
      <c r="AC696" s="367"/>
      <c r="AD696" s="367"/>
      <c r="AE696" s="367"/>
      <c r="AF696" s="367"/>
      <c r="AG696" s="367"/>
      <c r="AH696" s="367"/>
      <c r="AI696" s="367"/>
      <c r="AJ696" s="367"/>
      <c r="AK696" s="367"/>
      <c r="AL696" s="367"/>
      <c r="AM696" s="367"/>
      <c r="AN696" s="367"/>
      <c r="AO696" s="367"/>
      <c r="AP696" s="367"/>
      <c r="AQ696" s="367"/>
      <c r="AR696" s="367"/>
      <c r="AS696" s="367"/>
      <c r="AT696" s="368"/>
      <c r="AU696" s="367"/>
    </row>
    <row r="697" spans="1:47" ht="12.75">
      <c r="A697" s="367"/>
      <c r="B697" s="367"/>
      <c r="C697" s="367"/>
      <c r="D697" s="367"/>
      <c r="E697" s="367"/>
      <c r="F697" s="367"/>
      <c r="G697" s="367"/>
      <c r="H697" s="367"/>
      <c r="I697" s="367"/>
      <c r="J697" s="367"/>
      <c r="K697" s="367"/>
      <c r="L697" s="367"/>
      <c r="M697" s="367"/>
      <c r="N697" s="367"/>
      <c r="O697" s="367"/>
      <c r="P697" s="364"/>
      <c r="Q697" s="365"/>
      <c r="R697" s="365"/>
      <c r="S697" s="365"/>
      <c r="T697" s="365"/>
      <c r="U697" s="366"/>
      <c r="V697" s="367"/>
      <c r="W697" s="367"/>
      <c r="X697" s="367"/>
      <c r="Y697" s="367"/>
      <c r="Z697" s="367"/>
      <c r="AA697" s="367"/>
      <c r="AB697" s="367"/>
      <c r="AC697" s="367"/>
      <c r="AD697" s="367"/>
      <c r="AE697" s="367"/>
      <c r="AF697" s="367"/>
      <c r="AG697" s="367"/>
      <c r="AH697" s="367"/>
      <c r="AI697" s="367"/>
      <c r="AJ697" s="367"/>
      <c r="AK697" s="367"/>
      <c r="AL697" s="367"/>
      <c r="AM697" s="367"/>
      <c r="AN697" s="367"/>
      <c r="AO697" s="367"/>
      <c r="AP697" s="367"/>
      <c r="AQ697" s="367"/>
      <c r="AR697" s="367"/>
      <c r="AS697" s="367"/>
      <c r="AT697" s="368"/>
      <c r="AU697" s="367"/>
    </row>
    <row r="698" spans="1:47" ht="12.75">
      <c r="A698" s="367"/>
      <c r="B698" s="367"/>
      <c r="C698" s="367"/>
      <c r="D698" s="367"/>
      <c r="E698" s="367"/>
      <c r="F698" s="367"/>
      <c r="G698" s="367"/>
      <c r="H698" s="367"/>
      <c r="I698" s="367"/>
      <c r="J698" s="367"/>
      <c r="K698" s="367"/>
      <c r="L698" s="367"/>
      <c r="M698" s="367"/>
      <c r="N698" s="367"/>
      <c r="O698" s="367"/>
      <c r="P698" s="364"/>
      <c r="Q698" s="365"/>
      <c r="R698" s="365"/>
      <c r="S698" s="365"/>
      <c r="T698" s="365"/>
      <c r="U698" s="366"/>
      <c r="V698" s="367"/>
      <c r="W698" s="367"/>
      <c r="X698" s="367"/>
      <c r="Y698" s="367"/>
      <c r="Z698" s="367"/>
      <c r="AA698" s="367"/>
      <c r="AB698" s="367"/>
      <c r="AC698" s="367"/>
      <c r="AD698" s="367"/>
      <c r="AE698" s="367"/>
      <c r="AF698" s="367"/>
      <c r="AG698" s="367"/>
      <c r="AH698" s="367"/>
      <c r="AI698" s="367"/>
      <c r="AJ698" s="367"/>
      <c r="AK698" s="367"/>
      <c r="AL698" s="367"/>
      <c r="AM698" s="367"/>
      <c r="AN698" s="367"/>
      <c r="AO698" s="367"/>
      <c r="AP698" s="367"/>
      <c r="AQ698" s="367"/>
      <c r="AR698" s="367"/>
      <c r="AS698" s="367"/>
      <c r="AT698" s="368"/>
      <c r="AU698" s="367"/>
    </row>
    <row r="699" spans="1:47" ht="12.75">
      <c r="A699" s="367"/>
      <c r="B699" s="367"/>
      <c r="C699" s="367"/>
      <c r="D699" s="367"/>
      <c r="E699" s="367"/>
      <c r="F699" s="367"/>
      <c r="G699" s="367"/>
      <c r="H699" s="367"/>
      <c r="I699" s="367"/>
      <c r="J699" s="367"/>
      <c r="K699" s="367"/>
      <c r="L699" s="367"/>
      <c r="M699" s="367"/>
      <c r="N699" s="367"/>
      <c r="O699" s="367"/>
      <c r="P699" s="364"/>
      <c r="Q699" s="365"/>
      <c r="R699" s="365"/>
      <c r="S699" s="365"/>
      <c r="T699" s="365"/>
      <c r="U699" s="366"/>
      <c r="V699" s="367"/>
      <c r="W699" s="367"/>
      <c r="X699" s="367"/>
      <c r="Y699" s="367"/>
      <c r="Z699" s="367"/>
      <c r="AA699" s="367"/>
      <c r="AB699" s="367"/>
      <c r="AC699" s="367"/>
      <c r="AD699" s="367"/>
      <c r="AE699" s="367"/>
      <c r="AF699" s="367"/>
      <c r="AG699" s="367"/>
      <c r="AH699" s="367"/>
      <c r="AI699" s="367"/>
      <c r="AJ699" s="367"/>
      <c r="AK699" s="367"/>
      <c r="AL699" s="367"/>
      <c r="AM699" s="367"/>
      <c r="AN699" s="367"/>
      <c r="AO699" s="367"/>
      <c r="AP699" s="367"/>
      <c r="AQ699" s="367"/>
      <c r="AR699" s="367"/>
      <c r="AS699" s="367"/>
      <c r="AT699" s="368"/>
      <c r="AU699" s="367"/>
    </row>
    <row r="700" spans="1:47" ht="12.75">
      <c r="A700" s="367"/>
      <c r="B700" s="367"/>
      <c r="C700" s="367"/>
      <c r="D700" s="367"/>
      <c r="E700" s="367"/>
      <c r="F700" s="367"/>
      <c r="G700" s="367"/>
      <c r="H700" s="367"/>
      <c r="I700" s="367"/>
      <c r="J700" s="367"/>
      <c r="K700" s="367"/>
      <c r="L700" s="367"/>
      <c r="M700" s="367"/>
      <c r="N700" s="367"/>
      <c r="O700" s="367"/>
      <c r="P700" s="364"/>
      <c r="Q700" s="365"/>
      <c r="R700" s="365"/>
      <c r="S700" s="365"/>
      <c r="T700" s="365"/>
      <c r="U700" s="366"/>
      <c r="V700" s="367"/>
      <c r="W700" s="367"/>
      <c r="X700" s="367"/>
      <c r="Y700" s="367"/>
      <c r="Z700" s="367"/>
      <c r="AA700" s="367"/>
      <c r="AB700" s="367"/>
      <c r="AC700" s="367"/>
      <c r="AD700" s="367"/>
      <c r="AE700" s="367"/>
      <c r="AF700" s="367"/>
      <c r="AG700" s="367"/>
      <c r="AH700" s="367"/>
      <c r="AI700" s="367"/>
      <c r="AJ700" s="367"/>
      <c r="AK700" s="367"/>
      <c r="AL700" s="367"/>
      <c r="AM700" s="367"/>
      <c r="AN700" s="367"/>
      <c r="AO700" s="367"/>
      <c r="AP700" s="367"/>
      <c r="AQ700" s="367"/>
      <c r="AR700" s="367"/>
      <c r="AS700" s="367"/>
      <c r="AT700" s="368"/>
      <c r="AU700" s="367"/>
    </row>
    <row r="701" spans="1:47" ht="12.75">
      <c r="A701" s="367"/>
      <c r="B701" s="367"/>
      <c r="C701" s="367"/>
      <c r="D701" s="367"/>
      <c r="E701" s="367"/>
      <c r="F701" s="367"/>
      <c r="G701" s="367"/>
      <c r="H701" s="367"/>
      <c r="I701" s="367"/>
      <c r="J701" s="367"/>
      <c r="K701" s="367"/>
      <c r="L701" s="367"/>
      <c r="M701" s="367"/>
      <c r="N701" s="367"/>
      <c r="O701" s="367"/>
      <c r="P701" s="364"/>
      <c r="Q701" s="365"/>
      <c r="R701" s="365"/>
      <c r="S701" s="365"/>
      <c r="T701" s="365"/>
      <c r="U701" s="366"/>
      <c r="V701" s="367"/>
      <c r="W701" s="367"/>
      <c r="X701" s="367"/>
      <c r="Y701" s="367"/>
      <c r="Z701" s="367"/>
      <c r="AA701" s="367"/>
      <c r="AB701" s="367"/>
      <c r="AC701" s="367"/>
      <c r="AD701" s="367"/>
      <c r="AE701" s="367"/>
      <c r="AF701" s="367"/>
      <c r="AG701" s="367"/>
      <c r="AH701" s="367"/>
      <c r="AI701" s="367"/>
      <c r="AJ701" s="367"/>
      <c r="AK701" s="367"/>
      <c r="AL701" s="367"/>
      <c r="AM701" s="367"/>
      <c r="AN701" s="367"/>
      <c r="AO701" s="367"/>
      <c r="AP701" s="367"/>
      <c r="AQ701" s="367"/>
      <c r="AR701" s="367"/>
      <c r="AS701" s="367"/>
      <c r="AT701" s="368"/>
      <c r="AU701" s="367"/>
    </row>
    <row r="702" spans="1:47" ht="12.75">
      <c r="A702" s="367"/>
      <c r="B702" s="367"/>
      <c r="C702" s="367"/>
      <c r="D702" s="367"/>
      <c r="E702" s="367"/>
      <c r="F702" s="367"/>
      <c r="G702" s="367"/>
      <c r="H702" s="367"/>
      <c r="I702" s="367"/>
      <c r="J702" s="367"/>
      <c r="K702" s="367"/>
      <c r="L702" s="367"/>
      <c r="M702" s="367"/>
      <c r="N702" s="367"/>
      <c r="O702" s="367"/>
      <c r="P702" s="364"/>
      <c r="Q702" s="365"/>
      <c r="R702" s="365"/>
      <c r="S702" s="365"/>
      <c r="T702" s="365"/>
      <c r="U702" s="366"/>
      <c r="V702" s="367"/>
      <c r="W702" s="367"/>
      <c r="X702" s="367"/>
      <c r="Y702" s="367"/>
      <c r="Z702" s="367"/>
      <c r="AA702" s="367"/>
      <c r="AB702" s="367"/>
      <c r="AC702" s="367"/>
      <c r="AD702" s="367"/>
      <c r="AE702" s="367"/>
      <c r="AF702" s="367"/>
      <c r="AG702" s="367"/>
      <c r="AH702" s="367"/>
      <c r="AI702" s="367"/>
      <c r="AJ702" s="367"/>
      <c r="AK702" s="367"/>
      <c r="AL702" s="367"/>
      <c r="AM702" s="367"/>
      <c r="AN702" s="367"/>
      <c r="AO702" s="367"/>
      <c r="AP702" s="367"/>
      <c r="AQ702" s="367"/>
      <c r="AR702" s="367"/>
      <c r="AS702" s="367"/>
      <c r="AT702" s="368"/>
      <c r="AU702" s="367"/>
    </row>
    <row r="703" spans="1:47" ht="12.75">
      <c r="A703" s="367"/>
      <c r="B703" s="367"/>
      <c r="C703" s="367"/>
      <c r="D703" s="367"/>
      <c r="E703" s="367"/>
      <c r="F703" s="367"/>
      <c r="G703" s="367"/>
      <c r="H703" s="367"/>
      <c r="I703" s="367"/>
      <c r="J703" s="367"/>
      <c r="K703" s="367"/>
      <c r="L703" s="367"/>
      <c r="M703" s="367"/>
      <c r="N703" s="367"/>
      <c r="O703" s="367"/>
      <c r="P703" s="364"/>
      <c r="Q703" s="365"/>
      <c r="R703" s="365"/>
      <c r="S703" s="365"/>
      <c r="T703" s="365"/>
      <c r="U703" s="366"/>
      <c r="V703" s="367"/>
      <c r="W703" s="367"/>
      <c r="X703" s="367"/>
      <c r="Y703" s="367"/>
      <c r="Z703" s="367"/>
      <c r="AA703" s="367"/>
      <c r="AB703" s="367"/>
      <c r="AC703" s="367"/>
      <c r="AD703" s="367"/>
      <c r="AE703" s="367"/>
      <c r="AF703" s="367"/>
      <c r="AG703" s="367"/>
      <c r="AH703" s="367"/>
      <c r="AI703" s="367"/>
      <c r="AJ703" s="367"/>
      <c r="AK703" s="367"/>
      <c r="AL703" s="367"/>
      <c r="AM703" s="367"/>
      <c r="AN703" s="367"/>
      <c r="AO703" s="367"/>
      <c r="AP703" s="367"/>
      <c r="AQ703" s="367"/>
      <c r="AR703" s="367"/>
      <c r="AS703" s="367"/>
      <c r="AT703" s="368"/>
      <c r="AU703" s="367"/>
    </row>
    <row r="704" spans="1:47" ht="12.75">
      <c r="A704" s="367"/>
      <c r="B704" s="367"/>
      <c r="C704" s="367"/>
      <c r="D704" s="367"/>
      <c r="E704" s="367"/>
      <c r="F704" s="367"/>
      <c r="G704" s="367"/>
      <c r="H704" s="367"/>
      <c r="I704" s="367"/>
      <c r="J704" s="367"/>
      <c r="K704" s="367"/>
      <c r="L704" s="367"/>
      <c r="M704" s="367"/>
      <c r="N704" s="367"/>
      <c r="O704" s="367"/>
      <c r="P704" s="364"/>
      <c r="Q704" s="365"/>
      <c r="R704" s="365"/>
      <c r="S704" s="365"/>
      <c r="T704" s="365"/>
      <c r="U704" s="366"/>
      <c r="V704" s="367"/>
      <c r="W704" s="367"/>
      <c r="X704" s="367"/>
      <c r="Y704" s="367"/>
      <c r="Z704" s="367"/>
      <c r="AA704" s="367"/>
      <c r="AB704" s="367"/>
      <c r="AC704" s="367"/>
      <c r="AD704" s="367"/>
      <c r="AE704" s="367"/>
      <c r="AF704" s="367"/>
      <c r="AG704" s="367"/>
      <c r="AH704" s="367"/>
      <c r="AI704" s="367"/>
      <c r="AJ704" s="367"/>
      <c r="AK704" s="367"/>
      <c r="AL704" s="367"/>
      <c r="AM704" s="367"/>
      <c r="AN704" s="367"/>
      <c r="AO704" s="367"/>
      <c r="AP704" s="367"/>
      <c r="AQ704" s="367"/>
      <c r="AR704" s="367"/>
      <c r="AS704" s="367"/>
      <c r="AT704" s="368"/>
      <c r="AU704" s="367"/>
    </row>
    <row r="705" spans="1:47" ht="12.75">
      <c r="A705" s="367"/>
      <c r="B705" s="367"/>
      <c r="C705" s="367"/>
      <c r="D705" s="367"/>
      <c r="E705" s="367"/>
      <c r="F705" s="367"/>
      <c r="G705" s="367"/>
      <c r="H705" s="367"/>
      <c r="I705" s="367"/>
      <c r="J705" s="367"/>
      <c r="K705" s="367"/>
      <c r="L705" s="367"/>
      <c r="M705" s="367"/>
      <c r="N705" s="367"/>
      <c r="O705" s="367"/>
      <c r="P705" s="364"/>
      <c r="Q705" s="365"/>
      <c r="R705" s="365"/>
      <c r="S705" s="365"/>
      <c r="T705" s="365"/>
      <c r="U705" s="366"/>
      <c r="V705" s="367"/>
      <c r="W705" s="367"/>
      <c r="X705" s="367"/>
      <c r="Y705" s="367"/>
      <c r="Z705" s="367"/>
      <c r="AA705" s="367"/>
      <c r="AB705" s="367"/>
      <c r="AC705" s="367"/>
      <c r="AD705" s="367"/>
      <c r="AE705" s="367"/>
      <c r="AF705" s="367"/>
      <c r="AG705" s="367"/>
      <c r="AH705" s="367"/>
      <c r="AI705" s="367"/>
      <c r="AJ705" s="367"/>
      <c r="AK705" s="367"/>
      <c r="AL705" s="367"/>
      <c r="AM705" s="367"/>
      <c r="AN705" s="367"/>
      <c r="AO705" s="367"/>
      <c r="AP705" s="367"/>
      <c r="AQ705" s="367"/>
      <c r="AR705" s="367"/>
      <c r="AS705" s="367"/>
      <c r="AT705" s="368"/>
      <c r="AU705" s="367"/>
    </row>
    <row r="706" spans="1:47" ht="12.75">
      <c r="A706" s="367"/>
      <c r="B706" s="367"/>
      <c r="C706" s="367"/>
      <c r="D706" s="367"/>
      <c r="E706" s="367"/>
      <c r="F706" s="367"/>
      <c r="G706" s="367"/>
      <c r="H706" s="367"/>
      <c r="I706" s="367"/>
      <c r="J706" s="367"/>
      <c r="K706" s="367"/>
      <c r="L706" s="367"/>
      <c r="M706" s="367"/>
      <c r="N706" s="367"/>
      <c r="O706" s="367"/>
      <c r="P706" s="364"/>
      <c r="Q706" s="365"/>
      <c r="R706" s="365"/>
      <c r="S706" s="365"/>
      <c r="T706" s="365"/>
      <c r="U706" s="366"/>
      <c r="V706" s="367"/>
      <c r="W706" s="367"/>
      <c r="X706" s="367"/>
      <c r="Y706" s="367"/>
      <c r="Z706" s="367"/>
      <c r="AA706" s="367"/>
      <c r="AB706" s="367"/>
      <c r="AC706" s="367"/>
      <c r="AD706" s="367"/>
      <c r="AE706" s="367"/>
      <c r="AF706" s="367"/>
      <c r="AG706" s="367"/>
      <c r="AH706" s="367"/>
      <c r="AI706" s="367"/>
      <c r="AJ706" s="367"/>
      <c r="AK706" s="367"/>
      <c r="AL706" s="367"/>
      <c r="AM706" s="367"/>
      <c r="AN706" s="367"/>
      <c r="AO706" s="367"/>
      <c r="AP706" s="367"/>
      <c r="AQ706" s="367"/>
      <c r="AR706" s="367"/>
      <c r="AS706" s="367"/>
      <c r="AT706" s="368"/>
      <c r="AU706" s="367"/>
    </row>
    <row r="707" spans="1:47" ht="12.75">
      <c r="A707" s="367"/>
      <c r="B707" s="367"/>
      <c r="C707" s="367"/>
      <c r="D707" s="367"/>
      <c r="E707" s="367"/>
      <c r="F707" s="367"/>
      <c r="G707" s="367"/>
      <c r="H707" s="367"/>
      <c r="I707" s="367"/>
      <c r="J707" s="367"/>
      <c r="K707" s="367"/>
      <c r="L707" s="367"/>
      <c r="M707" s="367"/>
      <c r="N707" s="367"/>
      <c r="O707" s="367"/>
      <c r="P707" s="364"/>
      <c r="Q707" s="365"/>
      <c r="R707" s="365"/>
      <c r="S707" s="365"/>
      <c r="T707" s="365"/>
      <c r="U707" s="366"/>
      <c r="V707" s="367"/>
      <c r="W707" s="367"/>
      <c r="X707" s="367"/>
      <c r="Y707" s="367"/>
      <c r="Z707" s="367"/>
      <c r="AA707" s="367"/>
      <c r="AB707" s="367"/>
      <c r="AC707" s="367"/>
      <c r="AD707" s="367"/>
      <c r="AE707" s="367"/>
      <c r="AF707" s="367"/>
      <c r="AG707" s="367"/>
      <c r="AH707" s="367"/>
      <c r="AI707" s="367"/>
      <c r="AJ707" s="367"/>
      <c r="AK707" s="367"/>
      <c r="AL707" s="367"/>
      <c r="AM707" s="367"/>
      <c r="AN707" s="367"/>
      <c r="AO707" s="367"/>
      <c r="AP707" s="367"/>
      <c r="AQ707" s="367"/>
      <c r="AR707" s="367"/>
      <c r="AS707" s="367"/>
      <c r="AT707" s="368"/>
      <c r="AU707" s="367"/>
    </row>
    <row r="708" spans="1:47" ht="12.75">
      <c r="A708" s="367"/>
      <c r="B708" s="367"/>
      <c r="C708" s="367"/>
      <c r="D708" s="367"/>
      <c r="E708" s="367"/>
      <c r="F708" s="367"/>
      <c r="G708" s="367"/>
      <c r="H708" s="367"/>
      <c r="I708" s="367"/>
      <c r="J708" s="367"/>
      <c r="K708" s="367"/>
      <c r="L708" s="367"/>
      <c r="M708" s="367"/>
      <c r="N708" s="367"/>
      <c r="O708" s="367"/>
      <c r="P708" s="364"/>
      <c r="Q708" s="365"/>
      <c r="R708" s="365"/>
      <c r="S708" s="365"/>
      <c r="T708" s="365"/>
      <c r="U708" s="366"/>
      <c r="V708" s="367"/>
      <c r="W708" s="367"/>
      <c r="X708" s="367"/>
      <c r="Y708" s="367"/>
      <c r="Z708" s="367"/>
      <c r="AA708" s="367"/>
      <c r="AB708" s="367"/>
      <c r="AC708" s="367"/>
      <c r="AD708" s="367"/>
      <c r="AE708" s="367"/>
      <c r="AF708" s="367"/>
      <c r="AG708" s="367"/>
      <c r="AH708" s="367"/>
      <c r="AI708" s="367"/>
      <c r="AJ708" s="367"/>
      <c r="AK708" s="367"/>
      <c r="AL708" s="367"/>
      <c r="AM708" s="367"/>
      <c r="AN708" s="367"/>
      <c r="AO708" s="367"/>
      <c r="AP708" s="367"/>
      <c r="AQ708" s="367"/>
      <c r="AR708" s="367"/>
      <c r="AS708" s="367"/>
      <c r="AT708" s="368"/>
      <c r="AU708" s="367"/>
    </row>
    <row r="709" spans="1:47" ht="12.75">
      <c r="A709" s="367"/>
      <c r="B709" s="367"/>
      <c r="C709" s="367"/>
      <c r="D709" s="367"/>
      <c r="E709" s="367"/>
      <c r="F709" s="367"/>
      <c r="G709" s="367"/>
      <c r="H709" s="367"/>
      <c r="I709" s="367"/>
      <c r="J709" s="367"/>
      <c r="K709" s="367"/>
      <c r="L709" s="367"/>
      <c r="M709" s="367"/>
      <c r="N709" s="367"/>
      <c r="O709" s="367"/>
      <c r="P709" s="364"/>
      <c r="Q709" s="365"/>
      <c r="R709" s="365"/>
      <c r="S709" s="365"/>
      <c r="T709" s="365"/>
      <c r="U709" s="366"/>
      <c r="V709" s="367"/>
      <c r="W709" s="367"/>
      <c r="X709" s="367"/>
      <c r="Y709" s="367"/>
      <c r="Z709" s="367"/>
      <c r="AA709" s="367"/>
      <c r="AB709" s="367"/>
      <c r="AC709" s="367"/>
      <c r="AD709" s="367"/>
      <c r="AE709" s="367"/>
      <c r="AF709" s="367"/>
      <c r="AG709" s="367"/>
      <c r="AH709" s="367"/>
      <c r="AI709" s="367"/>
      <c r="AJ709" s="367"/>
      <c r="AK709" s="367"/>
      <c r="AL709" s="367"/>
      <c r="AM709" s="367"/>
      <c r="AN709" s="367"/>
      <c r="AO709" s="367"/>
      <c r="AP709" s="367"/>
      <c r="AQ709" s="367"/>
      <c r="AR709" s="367"/>
      <c r="AS709" s="367"/>
      <c r="AT709" s="368"/>
      <c r="AU709" s="367"/>
    </row>
    <row r="710" spans="1:47" ht="12.75">
      <c r="A710" s="367"/>
      <c r="B710" s="367"/>
      <c r="C710" s="367"/>
      <c r="D710" s="367"/>
      <c r="E710" s="367"/>
      <c r="F710" s="367"/>
      <c r="G710" s="367"/>
      <c r="H710" s="367"/>
      <c r="I710" s="367"/>
      <c r="J710" s="367"/>
      <c r="K710" s="367"/>
      <c r="L710" s="367"/>
      <c r="M710" s="367"/>
      <c r="N710" s="367"/>
      <c r="O710" s="367"/>
      <c r="P710" s="364"/>
      <c r="Q710" s="365"/>
      <c r="R710" s="365"/>
      <c r="S710" s="365"/>
      <c r="T710" s="365"/>
      <c r="U710" s="366"/>
      <c r="V710" s="367"/>
      <c r="W710" s="367"/>
      <c r="X710" s="367"/>
      <c r="Y710" s="367"/>
      <c r="Z710" s="367"/>
      <c r="AA710" s="367"/>
      <c r="AB710" s="367"/>
      <c r="AC710" s="367"/>
      <c r="AD710" s="367"/>
      <c r="AE710" s="367"/>
      <c r="AF710" s="367"/>
      <c r="AG710" s="367"/>
      <c r="AH710" s="367"/>
      <c r="AI710" s="367"/>
      <c r="AJ710" s="367"/>
      <c r="AK710" s="367"/>
      <c r="AL710" s="367"/>
      <c r="AM710" s="367"/>
      <c r="AN710" s="367"/>
      <c r="AO710" s="367"/>
      <c r="AP710" s="367"/>
      <c r="AQ710" s="367"/>
      <c r="AR710" s="367"/>
      <c r="AS710" s="367"/>
      <c r="AT710" s="368"/>
      <c r="AU710" s="367"/>
    </row>
    <row r="711" spans="1:47" ht="12.75">
      <c r="A711" s="367"/>
      <c r="B711" s="367"/>
      <c r="C711" s="367"/>
      <c r="D711" s="367"/>
      <c r="E711" s="367"/>
      <c r="F711" s="367"/>
      <c r="G711" s="367"/>
      <c r="H711" s="367"/>
      <c r="I711" s="367"/>
      <c r="J711" s="367"/>
      <c r="K711" s="367"/>
      <c r="L711" s="367"/>
      <c r="M711" s="367"/>
      <c r="N711" s="367"/>
      <c r="O711" s="367"/>
      <c r="P711" s="364"/>
      <c r="Q711" s="365"/>
      <c r="R711" s="365"/>
      <c r="S711" s="365"/>
      <c r="T711" s="365"/>
      <c r="U711" s="366"/>
      <c r="V711" s="367"/>
      <c r="W711" s="367"/>
      <c r="X711" s="367"/>
      <c r="Y711" s="367"/>
      <c r="Z711" s="367"/>
      <c r="AA711" s="367"/>
      <c r="AB711" s="367"/>
      <c r="AC711" s="367"/>
      <c r="AD711" s="367"/>
      <c r="AE711" s="367"/>
      <c r="AF711" s="367"/>
      <c r="AG711" s="367"/>
      <c r="AH711" s="367"/>
      <c r="AI711" s="367"/>
      <c r="AJ711" s="367"/>
      <c r="AK711" s="367"/>
      <c r="AL711" s="367"/>
      <c r="AM711" s="367"/>
      <c r="AN711" s="367"/>
      <c r="AO711" s="367"/>
      <c r="AP711" s="367"/>
      <c r="AQ711" s="367"/>
      <c r="AR711" s="367"/>
      <c r="AS711" s="367"/>
      <c r="AT711" s="368"/>
      <c r="AU711" s="367"/>
    </row>
    <row r="712" spans="1:47" ht="12.75">
      <c r="A712" s="367"/>
      <c r="B712" s="367"/>
      <c r="C712" s="367"/>
      <c r="D712" s="367"/>
      <c r="E712" s="367"/>
      <c r="F712" s="367"/>
      <c r="G712" s="367"/>
      <c r="H712" s="367"/>
      <c r="I712" s="367"/>
      <c r="J712" s="367"/>
      <c r="K712" s="367"/>
      <c r="L712" s="367"/>
      <c r="M712" s="367"/>
      <c r="N712" s="367"/>
      <c r="O712" s="367"/>
      <c r="P712" s="364"/>
      <c r="Q712" s="365"/>
      <c r="R712" s="365"/>
      <c r="S712" s="365"/>
      <c r="T712" s="365"/>
      <c r="U712" s="366"/>
      <c r="V712" s="367"/>
      <c r="W712" s="367"/>
      <c r="X712" s="367"/>
      <c r="Y712" s="367"/>
      <c r="Z712" s="367"/>
      <c r="AA712" s="367"/>
      <c r="AB712" s="367"/>
      <c r="AC712" s="367"/>
      <c r="AD712" s="367"/>
      <c r="AE712" s="367"/>
      <c r="AF712" s="367"/>
      <c r="AG712" s="367"/>
      <c r="AH712" s="367"/>
      <c r="AI712" s="367"/>
      <c r="AJ712" s="367"/>
      <c r="AK712" s="367"/>
      <c r="AL712" s="367"/>
      <c r="AM712" s="367"/>
      <c r="AN712" s="367"/>
      <c r="AO712" s="367"/>
      <c r="AP712" s="367"/>
      <c r="AQ712" s="367"/>
      <c r="AR712" s="367"/>
      <c r="AS712" s="367"/>
      <c r="AT712" s="368"/>
      <c r="AU712" s="367"/>
    </row>
    <row r="713" spans="1:47" ht="12.75">
      <c r="A713" s="367"/>
      <c r="B713" s="367"/>
      <c r="C713" s="367"/>
      <c r="D713" s="367"/>
      <c r="E713" s="367"/>
      <c r="F713" s="367"/>
      <c r="G713" s="367"/>
      <c r="H713" s="367"/>
      <c r="I713" s="367"/>
      <c r="J713" s="367"/>
      <c r="K713" s="367"/>
      <c r="L713" s="367"/>
      <c r="M713" s="367"/>
      <c r="N713" s="367"/>
      <c r="O713" s="367"/>
      <c r="P713" s="364"/>
      <c r="Q713" s="365"/>
      <c r="R713" s="365"/>
      <c r="S713" s="365"/>
      <c r="T713" s="365"/>
      <c r="U713" s="366"/>
      <c r="V713" s="367"/>
      <c r="W713" s="367"/>
      <c r="X713" s="367"/>
      <c r="Y713" s="367"/>
      <c r="Z713" s="367"/>
      <c r="AA713" s="367"/>
      <c r="AB713" s="367"/>
      <c r="AC713" s="367"/>
      <c r="AD713" s="367"/>
      <c r="AE713" s="367"/>
      <c r="AF713" s="367"/>
      <c r="AG713" s="367"/>
      <c r="AH713" s="367"/>
      <c r="AI713" s="367"/>
      <c r="AJ713" s="367"/>
      <c r="AK713" s="367"/>
      <c r="AL713" s="367"/>
      <c r="AM713" s="367"/>
      <c r="AN713" s="367"/>
      <c r="AO713" s="367"/>
      <c r="AP713" s="367"/>
      <c r="AQ713" s="367"/>
      <c r="AR713" s="367"/>
      <c r="AS713" s="367"/>
      <c r="AT713" s="368"/>
      <c r="AU713" s="367"/>
    </row>
    <row r="714" spans="1:47" ht="12.75">
      <c r="A714" s="367"/>
      <c r="B714" s="367"/>
      <c r="C714" s="367"/>
      <c r="D714" s="367"/>
      <c r="E714" s="367"/>
      <c r="F714" s="367"/>
      <c r="G714" s="367"/>
      <c r="H714" s="367"/>
      <c r="I714" s="367"/>
      <c r="J714" s="367"/>
      <c r="K714" s="367"/>
      <c r="L714" s="367"/>
      <c r="M714" s="367"/>
      <c r="N714" s="367"/>
      <c r="O714" s="367"/>
      <c r="P714" s="364"/>
      <c r="Q714" s="365"/>
      <c r="R714" s="365"/>
      <c r="S714" s="365"/>
      <c r="T714" s="365"/>
      <c r="U714" s="366"/>
      <c r="V714" s="367"/>
      <c r="W714" s="367"/>
      <c r="X714" s="367"/>
      <c r="Y714" s="367"/>
      <c r="Z714" s="367"/>
      <c r="AA714" s="367"/>
      <c r="AB714" s="367"/>
      <c r="AC714" s="367"/>
      <c r="AD714" s="367"/>
      <c r="AE714" s="367"/>
      <c r="AF714" s="367"/>
      <c r="AG714" s="367"/>
      <c r="AH714" s="367"/>
      <c r="AI714" s="367"/>
      <c r="AJ714" s="367"/>
      <c r="AK714" s="367"/>
      <c r="AL714" s="367"/>
      <c r="AM714" s="367"/>
      <c r="AN714" s="367"/>
      <c r="AO714" s="367"/>
      <c r="AP714" s="367"/>
      <c r="AQ714" s="367"/>
      <c r="AR714" s="367"/>
      <c r="AS714" s="367"/>
      <c r="AT714" s="368"/>
      <c r="AU714" s="367"/>
    </row>
    <row r="715" spans="1:47" ht="12.75">
      <c r="A715" s="367"/>
      <c r="B715" s="367"/>
      <c r="C715" s="367"/>
      <c r="D715" s="367"/>
      <c r="E715" s="367"/>
      <c r="F715" s="367"/>
      <c r="G715" s="367"/>
      <c r="H715" s="367"/>
      <c r="I715" s="367"/>
      <c r="J715" s="367"/>
      <c r="K715" s="367"/>
      <c r="L715" s="367"/>
      <c r="M715" s="367"/>
      <c r="N715" s="367"/>
      <c r="O715" s="367"/>
      <c r="P715" s="364"/>
      <c r="Q715" s="365"/>
      <c r="R715" s="365"/>
      <c r="S715" s="365"/>
      <c r="T715" s="365"/>
      <c r="U715" s="366"/>
      <c r="V715" s="367"/>
      <c r="W715" s="367"/>
      <c r="X715" s="367"/>
      <c r="Y715" s="367"/>
      <c r="Z715" s="367"/>
      <c r="AA715" s="367"/>
      <c r="AB715" s="367"/>
      <c r="AC715" s="367"/>
      <c r="AD715" s="367"/>
      <c r="AE715" s="367"/>
      <c r="AF715" s="367"/>
      <c r="AG715" s="367"/>
      <c r="AH715" s="367"/>
      <c r="AI715" s="367"/>
      <c r="AJ715" s="367"/>
      <c r="AK715" s="367"/>
      <c r="AL715" s="367"/>
      <c r="AM715" s="367"/>
      <c r="AN715" s="367"/>
      <c r="AO715" s="367"/>
      <c r="AP715" s="367"/>
      <c r="AQ715" s="367"/>
      <c r="AR715" s="367"/>
      <c r="AS715" s="367"/>
      <c r="AT715" s="368"/>
      <c r="AU715" s="367"/>
    </row>
    <row r="716" spans="1:47" ht="12.75">
      <c r="A716" s="367"/>
      <c r="B716" s="367"/>
      <c r="C716" s="367"/>
      <c r="D716" s="367"/>
      <c r="E716" s="367"/>
      <c r="F716" s="367"/>
      <c r="G716" s="367"/>
      <c r="H716" s="367"/>
      <c r="I716" s="367"/>
      <c r="J716" s="367"/>
      <c r="K716" s="367"/>
      <c r="L716" s="367"/>
      <c r="M716" s="367"/>
      <c r="N716" s="367"/>
      <c r="O716" s="367"/>
      <c r="P716" s="364"/>
      <c r="Q716" s="365"/>
      <c r="R716" s="365"/>
      <c r="S716" s="365"/>
      <c r="T716" s="365"/>
      <c r="U716" s="366"/>
      <c r="V716" s="367"/>
      <c r="W716" s="367"/>
      <c r="X716" s="367"/>
      <c r="Y716" s="367"/>
      <c r="Z716" s="367"/>
      <c r="AA716" s="367"/>
      <c r="AB716" s="367"/>
      <c r="AC716" s="367"/>
      <c r="AD716" s="367"/>
      <c r="AE716" s="367"/>
      <c r="AF716" s="367"/>
      <c r="AG716" s="367"/>
      <c r="AH716" s="367"/>
      <c r="AI716" s="367"/>
      <c r="AJ716" s="367"/>
      <c r="AK716" s="367"/>
      <c r="AL716" s="367"/>
      <c r="AM716" s="367"/>
      <c r="AN716" s="367"/>
      <c r="AO716" s="367"/>
      <c r="AP716" s="367"/>
      <c r="AQ716" s="367"/>
      <c r="AR716" s="367"/>
      <c r="AS716" s="367"/>
      <c r="AT716" s="368"/>
      <c r="AU716" s="367"/>
    </row>
    <row r="717" spans="1:47" ht="12.75">
      <c r="A717" s="367"/>
      <c r="B717" s="367"/>
      <c r="C717" s="367"/>
      <c r="D717" s="367"/>
      <c r="E717" s="367"/>
      <c r="F717" s="367"/>
      <c r="G717" s="367"/>
      <c r="H717" s="367"/>
      <c r="I717" s="367"/>
      <c r="J717" s="367"/>
      <c r="K717" s="367"/>
      <c r="L717" s="367"/>
      <c r="M717" s="367"/>
      <c r="N717" s="367"/>
      <c r="O717" s="367"/>
      <c r="P717" s="364"/>
      <c r="Q717" s="365"/>
      <c r="R717" s="365"/>
      <c r="S717" s="365"/>
      <c r="T717" s="365"/>
      <c r="U717" s="366"/>
      <c r="V717" s="367"/>
      <c r="W717" s="367"/>
      <c r="X717" s="367"/>
      <c r="Y717" s="367"/>
      <c r="Z717" s="367"/>
      <c r="AA717" s="367"/>
      <c r="AB717" s="367"/>
      <c r="AC717" s="367"/>
      <c r="AD717" s="367"/>
      <c r="AE717" s="367"/>
      <c r="AF717" s="367"/>
      <c r="AG717" s="367"/>
      <c r="AH717" s="367"/>
      <c r="AI717" s="367"/>
      <c r="AJ717" s="367"/>
      <c r="AK717" s="367"/>
      <c r="AL717" s="367"/>
      <c r="AM717" s="367"/>
      <c r="AN717" s="367"/>
      <c r="AO717" s="367"/>
      <c r="AP717" s="367"/>
      <c r="AQ717" s="367"/>
      <c r="AR717" s="367"/>
      <c r="AS717" s="367"/>
      <c r="AT717" s="368"/>
      <c r="AU717" s="367"/>
    </row>
    <row r="718" spans="1:47" ht="12.75">
      <c r="A718" s="367"/>
      <c r="B718" s="367"/>
      <c r="C718" s="367"/>
      <c r="D718" s="367"/>
      <c r="E718" s="367"/>
      <c r="F718" s="367"/>
      <c r="G718" s="367"/>
      <c r="H718" s="367"/>
      <c r="I718" s="367"/>
      <c r="J718" s="367"/>
      <c r="K718" s="367"/>
      <c r="L718" s="367"/>
      <c r="M718" s="367"/>
      <c r="N718" s="367"/>
      <c r="O718" s="367"/>
      <c r="P718" s="364"/>
      <c r="Q718" s="365"/>
      <c r="R718" s="365"/>
      <c r="S718" s="365"/>
      <c r="T718" s="365"/>
      <c r="U718" s="366"/>
      <c r="V718" s="367"/>
      <c r="W718" s="367"/>
      <c r="X718" s="367"/>
      <c r="Y718" s="367"/>
      <c r="Z718" s="367"/>
      <c r="AA718" s="367"/>
      <c r="AB718" s="367"/>
      <c r="AC718" s="367"/>
      <c r="AD718" s="367"/>
      <c r="AE718" s="367"/>
      <c r="AF718" s="367"/>
      <c r="AG718" s="367"/>
      <c r="AH718" s="367"/>
      <c r="AI718" s="367"/>
      <c r="AJ718" s="367"/>
      <c r="AK718" s="367"/>
      <c r="AL718" s="367"/>
      <c r="AM718" s="367"/>
      <c r="AN718" s="367"/>
      <c r="AO718" s="367"/>
      <c r="AP718" s="367"/>
      <c r="AQ718" s="367"/>
      <c r="AR718" s="367"/>
      <c r="AS718" s="367"/>
      <c r="AT718" s="368"/>
      <c r="AU718" s="367"/>
    </row>
    <row r="719" spans="1:47" ht="12.75">
      <c r="A719" s="367"/>
      <c r="B719" s="367"/>
      <c r="C719" s="367"/>
      <c r="D719" s="367"/>
      <c r="E719" s="367"/>
      <c r="F719" s="367"/>
      <c r="G719" s="367"/>
      <c r="H719" s="367"/>
      <c r="I719" s="367"/>
      <c r="J719" s="367"/>
      <c r="K719" s="367"/>
      <c r="L719" s="367"/>
      <c r="M719" s="367"/>
      <c r="N719" s="367"/>
      <c r="O719" s="367"/>
      <c r="P719" s="364"/>
      <c r="Q719" s="365"/>
      <c r="R719" s="365"/>
      <c r="S719" s="365"/>
      <c r="T719" s="365"/>
      <c r="U719" s="366"/>
      <c r="V719" s="367"/>
      <c r="W719" s="367"/>
      <c r="X719" s="367"/>
      <c r="Y719" s="367"/>
      <c r="Z719" s="367"/>
      <c r="AA719" s="367"/>
      <c r="AB719" s="367"/>
      <c r="AC719" s="367"/>
      <c r="AD719" s="367"/>
      <c r="AE719" s="367"/>
      <c r="AF719" s="367"/>
      <c r="AG719" s="367"/>
      <c r="AH719" s="367"/>
      <c r="AI719" s="367"/>
      <c r="AJ719" s="367"/>
      <c r="AK719" s="367"/>
      <c r="AL719" s="367"/>
      <c r="AM719" s="367"/>
      <c r="AN719" s="367"/>
      <c r="AO719" s="367"/>
      <c r="AP719" s="367"/>
      <c r="AQ719" s="367"/>
      <c r="AR719" s="367"/>
      <c r="AS719" s="367"/>
      <c r="AT719" s="368"/>
      <c r="AU719" s="367"/>
    </row>
    <row r="720" spans="1:47" ht="12.75">
      <c r="A720" s="367"/>
      <c r="B720" s="367"/>
      <c r="C720" s="367"/>
      <c r="D720" s="367"/>
      <c r="E720" s="367"/>
      <c r="F720" s="367"/>
      <c r="G720" s="367"/>
      <c r="H720" s="367"/>
      <c r="I720" s="367"/>
      <c r="J720" s="367"/>
      <c r="K720" s="367"/>
      <c r="L720" s="367"/>
      <c r="M720" s="367"/>
      <c r="N720" s="367"/>
      <c r="O720" s="367"/>
      <c r="P720" s="364"/>
      <c r="Q720" s="365"/>
      <c r="R720" s="365"/>
      <c r="S720" s="365"/>
      <c r="T720" s="365"/>
      <c r="U720" s="366"/>
      <c r="V720" s="367"/>
      <c r="W720" s="367"/>
      <c r="X720" s="367"/>
      <c r="Y720" s="367"/>
      <c r="Z720" s="367"/>
      <c r="AA720" s="367"/>
      <c r="AB720" s="367"/>
      <c r="AC720" s="367"/>
      <c r="AD720" s="367"/>
      <c r="AE720" s="367"/>
      <c r="AF720" s="367"/>
      <c r="AG720" s="367"/>
      <c r="AH720" s="367"/>
      <c r="AI720" s="367"/>
      <c r="AJ720" s="367"/>
      <c r="AK720" s="367"/>
      <c r="AL720" s="367"/>
      <c r="AM720" s="367"/>
      <c r="AN720" s="367"/>
      <c r="AO720" s="367"/>
      <c r="AP720" s="367"/>
      <c r="AQ720" s="367"/>
      <c r="AR720" s="367"/>
      <c r="AS720" s="367"/>
      <c r="AT720" s="368"/>
      <c r="AU720" s="367"/>
    </row>
    <row r="721" spans="1:47" ht="12.75">
      <c r="A721" s="367"/>
      <c r="B721" s="367"/>
      <c r="C721" s="367"/>
      <c r="D721" s="367"/>
      <c r="E721" s="367"/>
      <c r="F721" s="367"/>
      <c r="G721" s="367"/>
      <c r="H721" s="367"/>
      <c r="I721" s="367"/>
      <c r="J721" s="367"/>
      <c r="K721" s="367"/>
      <c r="L721" s="367"/>
      <c r="M721" s="367"/>
      <c r="N721" s="367"/>
      <c r="O721" s="367"/>
      <c r="P721" s="364"/>
      <c r="Q721" s="365"/>
      <c r="R721" s="365"/>
      <c r="S721" s="365"/>
      <c r="T721" s="365"/>
      <c r="U721" s="366"/>
      <c r="V721" s="367"/>
      <c r="W721" s="367"/>
      <c r="X721" s="367"/>
      <c r="Y721" s="367"/>
      <c r="Z721" s="367"/>
      <c r="AA721" s="367"/>
      <c r="AB721" s="367"/>
      <c r="AC721" s="367"/>
      <c r="AD721" s="367"/>
      <c r="AE721" s="367"/>
      <c r="AF721" s="367"/>
      <c r="AG721" s="367"/>
      <c r="AH721" s="367"/>
      <c r="AI721" s="367"/>
      <c r="AJ721" s="367"/>
      <c r="AK721" s="367"/>
      <c r="AL721" s="367"/>
      <c r="AM721" s="367"/>
      <c r="AN721" s="367"/>
      <c r="AO721" s="367"/>
      <c r="AP721" s="367"/>
      <c r="AQ721" s="367"/>
      <c r="AR721" s="367"/>
      <c r="AS721" s="367"/>
      <c r="AT721" s="368"/>
      <c r="AU721" s="367"/>
    </row>
    <row r="722" spans="1:47" ht="12.75">
      <c r="A722" s="367"/>
      <c r="B722" s="367"/>
      <c r="C722" s="367"/>
      <c r="D722" s="367"/>
      <c r="E722" s="367"/>
      <c r="F722" s="367"/>
      <c r="G722" s="367"/>
      <c r="H722" s="367"/>
      <c r="I722" s="367"/>
      <c r="J722" s="367"/>
      <c r="K722" s="367"/>
      <c r="L722" s="367"/>
      <c r="M722" s="367"/>
      <c r="N722" s="367"/>
      <c r="O722" s="367"/>
      <c r="P722" s="364"/>
      <c r="Q722" s="365"/>
      <c r="R722" s="365"/>
      <c r="S722" s="365"/>
      <c r="T722" s="365"/>
      <c r="U722" s="366"/>
      <c r="V722" s="367"/>
      <c r="W722" s="367"/>
      <c r="X722" s="367"/>
      <c r="Y722" s="367"/>
      <c r="Z722" s="367"/>
      <c r="AA722" s="367"/>
      <c r="AB722" s="367"/>
      <c r="AC722" s="367"/>
      <c r="AD722" s="367"/>
      <c r="AE722" s="367"/>
      <c r="AF722" s="367"/>
      <c r="AG722" s="367"/>
      <c r="AH722" s="367"/>
      <c r="AI722" s="367"/>
      <c r="AJ722" s="367"/>
      <c r="AK722" s="367"/>
      <c r="AL722" s="367"/>
      <c r="AM722" s="367"/>
      <c r="AN722" s="367"/>
      <c r="AO722" s="367"/>
      <c r="AP722" s="367"/>
      <c r="AQ722" s="367"/>
      <c r="AR722" s="367"/>
      <c r="AS722" s="367"/>
      <c r="AT722" s="368"/>
      <c r="AU722" s="367"/>
    </row>
    <row r="723" spans="1:47" ht="12.75">
      <c r="A723" s="367"/>
      <c r="B723" s="367"/>
      <c r="C723" s="367"/>
      <c r="D723" s="367"/>
      <c r="E723" s="367"/>
      <c r="F723" s="367"/>
      <c r="G723" s="367"/>
      <c r="H723" s="367"/>
      <c r="I723" s="367"/>
      <c r="J723" s="367"/>
      <c r="K723" s="367"/>
      <c r="L723" s="367"/>
      <c r="M723" s="367"/>
      <c r="N723" s="367"/>
      <c r="O723" s="367"/>
      <c r="P723" s="364"/>
      <c r="Q723" s="365"/>
      <c r="R723" s="365"/>
      <c r="S723" s="365"/>
      <c r="T723" s="365"/>
      <c r="U723" s="366"/>
      <c r="V723" s="367"/>
      <c r="W723" s="367"/>
      <c r="X723" s="367"/>
      <c r="Y723" s="367"/>
      <c r="Z723" s="367"/>
      <c r="AA723" s="367"/>
      <c r="AB723" s="367"/>
      <c r="AC723" s="367"/>
      <c r="AD723" s="367"/>
      <c r="AE723" s="367"/>
      <c r="AF723" s="367"/>
      <c r="AG723" s="367"/>
      <c r="AH723" s="367"/>
      <c r="AI723" s="367"/>
      <c r="AJ723" s="367"/>
      <c r="AK723" s="367"/>
      <c r="AL723" s="367"/>
      <c r="AM723" s="367"/>
      <c r="AN723" s="367"/>
      <c r="AO723" s="367"/>
      <c r="AP723" s="367"/>
      <c r="AQ723" s="367"/>
      <c r="AR723" s="367"/>
      <c r="AS723" s="367"/>
      <c r="AT723" s="368"/>
      <c r="AU723" s="367"/>
    </row>
    <row r="724" spans="1:47" ht="12.75">
      <c r="A724" s="367"/>
      <c r="B724" s="367"/>
      <c r="C724" s="367"/>
      <c r="D724" s="367"/>
      <c r="E724" s="367"/>
      <c r="F724" s="367"/>
      <c r="G724" s="367"/>
      <c r="H724" s="367"/>
      <c r="I724" s="367"/>
      <c r="J724" s="367"/>
      <c r="K724" s="367"/>
      <c r="L724" s="367"/>
      <c r="M724" s="367"/>
      <c r="N724" s="367"/>
      <c r="O724" s="367"/>
      <c r="P724" s="364"/>
      <c r="Q724" s="365"/>
      <c r="R724" s="365"/>
      <c r="S724" s="365"/>
      <c r="T724" s="365"/>
      <c r="U724" s="366"/>
      <c r="V724" s="367"/>
      <c r="W724" s="367"/>
      <c r="X724" s="367"/>
      <c r="Y724" s="367"/>
      <c r="Z724" s="367"/>
      <c r="AA724" s="367"/>
      <c r="AB724" s="367"/>
      <c r="AC724" s="367"/>
      <c r="AD724" s="367"/>
      <c r="AE724" s="367"/>
      <c r="AF724" s="367"/>
      <c r="AG724" s="367"/>
      <c r="AH724" s="367"/>
      <c r="AI724" s="367"/>
      <c r="AJ724" s="367"/>
      <c r="AK724" s="367"/>
      <c r="AL724" s="367"/>
      <c r="AM724" s="367"/>
      <c r="AN724" s="367"/>
      <c r="AO724" s="367"/>
      <c r="AP724" s="367"/>
      <c r="AQ724" s="367"/>
      <c r="AR724" s="367"/>
      <c r="AS724" s="367"/>
      <c r="AT724" s="368"/>
      <c r="AU724" s="367"/>
    </row>
    <row r="725" spans="1:47" ht="12.75">
      <c r="A725" s="367"/>
      <c r="B725" s="367"/>
      <c r="C725" s="367"/>
      <c r="D725" s="367"/>
      <c r="E725" s="367"/>
      <c r="F725" s="367"/>
      <c r="G725" s="367"/>
      <c r="H725" s="367"/>
      <c r="I725" s="367"/>
      <c r="J725" s="367"/>
      <c r="K725" s="367"/>
      <c r="L725" s="367"/>
      <c r="M725" s="367"/>
      <c r="N725" s="367"/>
      <c r="O725" s="367"/>
      <c r="P725" s="364"/>
      <c r="Q725" s="365"/>
      <c r="R725" s="365"/>
      <c r="S725" s="365"/>
      <c r="T725" s="365"/>
      <c r="U725" s="366"/>
      <c r="V725" s="367"/>
      <c r="W725" s="367"/>
      <c r="X725" s="367"/>
      <c r="Y725" s="367"/>
      <c r="Z725" s="367"/>
      <c r="AA725" s="367"/>
      <c r="AB725" s="367"/>
      <c r="AC725" s="367"/>
      <c r="AD725" s="367"/>
      <c r="AE725" s="367"/>
      <c r="AF725" s="367"/>
      <c r="AG725" s="367"/>
      <c r="AH725" s="367"/>
      <c r="AI725" s="367"/>
      <c r="AJ725" s="367"/>
      <c r="AK725" s="367"/>
      <c r="AL725" s="367"/>
      <c r="AM725" s="367"/>
      <c r="AN725" s="367"/>
      <c r="AO725" s="367"/>
      <c r="AP725" s="367"/>
      <c r="AQ725" s="367"/>
      <c r="AR725" s="367"/>
      <c r="AS725" s="367"/>
      <c r="AT725" s="368"/>
      <c r="AU725" s="367"/>
    </row>
    <row r="726" spans="1:47" ht="12.75">
      <c r="A726" s="367"/>
      <c r="B726" s="367"/>
      <c r="C726" s="367"/>
      <c r="D726" s="367"/>
      <c r="E726" s="367"/>
      <c r="F726" s="367"/>
      <c r="G726" s="367"/>
      <c r="H726" s="367"/>
      <c r="I726" s="367"/>
      <c r="J726" s="367"/>
      <c r="K726" s="367"/>
      <c r="L726" s="367"/>
      <c r="M726" s="367"/>
      <c r="N726" s="367"/>
      <c r="O726" s="367"/>
      <c r="P726" s="364"/>
      <c r="Q726" s="365"/>
      <c r="R726" s="365"/>
      <c r="S726" s="365"/>
      <c r="T726" s="365"/>
      <c r="U726" s="366"/>
      <c r="V726" s="367"/>
      <c r="W726" s="367"/>
      <c r="X726" s="367"/>
      <c r="Y726" s="367"/>
      <c r="Z726" s="367"/>
      <c r="AA726" s="367"/>
      <c r="AB726" s="367"/>
      <c r="AC726" s="367"/>
      <c r="AD726" s="367"/>
      <c r="AE726" s="367"/>
      <c r="AF726" s="367"/>
      <c r="AG726" s="367"/>
      <c r="AH726" s="367"/>
      <c r="AI726" s="367"/>
      <c r="AJ726" s="367"/>
      <c r="AK726" s="367"/>
      <c r="AL726" s="367"/>
      <c r="AM726" s="367"/>
      <c r="AN726" s="367"/>
      <c r="AO726" s="367"/>
      <c r="AP726" s="367"/>
      <c r="AQ726" s="367"/>
      <c r="AR726" s="367"/>
      <c r="AS726" s="367"/>
      <c r="AT726" s="368"/>
      <c r="AU726" s="367"/>
    </row>
    <row r="727" spans="1:47" ht="12.75">
      <c r="A727" s="367"/>
      <c r="B727" s="367"/>
      <c r="C727" s="367"/>
      <c r="D727" s="367"/>
      <c r="E727" s="367"/>
      <c r="F727" s="367"/>
      <c r="G727" s="367"/>
      <c r="H727" s="367"/>
      <c r="I727" s="367"/>
      <c r="J727" s="367"/>
      <c r="K727" s="367"/>
      <c r="L727" s="367"/>
      <c r="M727" s="367"/>
      <c r="N727" s="367"/>
      <c r="O727" s="367"/>
      <c r="P727" s="364"/>
      <c r="Q727" s="365"/>
      <c r="R727" s="365"/>
      <c r="S727" s="365"/>
      <c r="T727" s="365"/>
      <c r="U727" s="366"/>
      <c r="V727" s="367"/>
      <c r="W727" s="367"/>
      <c r="X727" s="367"/>
      <c r="Y727" s="367"/>
      <c r="Z727" s="367"/>
      <c r="AA727" s="367"/>
      <c r="AB727" s="367"/>
      <c r="AC727" s="367"/>
      <c r="AD727" s="367"/>
      <c r="AE727" s="367"/>
      <c r="AF727" s="367"/>
      <c r="AG727" s="367"/>
      <c r="AH727" s="367"/>
      <c r="AI727" s="367"/>
      <c r="AJ727" s="367"/>
      <c r="AK727" s="367"/>
      <c r="AL727" s="367"/>
      <c r="AM727" s="367"/>
      <c r="AN727" s="367"/>
      <c r="AO727" s="367"/>
      <c r="AP727" s="367"/>
      <c r="AQ727" s="367"/>
      <c r="AR727" s="367"/>
      <c r="AS727" s="367"/>
      <c r="AT727" s="368"/>
      <c r="AU727" s="367"/>
    </row>
    <row r="728" spans="1:47" ht="12.75">
      <c r="A728" s="367"/>
      <c r="B728" s="367"/>
      <c r="C728" s="367"/>
      <c r="D728" s="367"/>
      <c r="E728" s="367"/>
      <c r="F728" s="367"/>
      <c r="G728" s="367"/>
      <c r="H728" s="367"/>
      <c r="I728" s="367"/>
      <c r="J728" s="367"/>
      <c r="K728" s="367"/>
      <c r="L728" s="367"/>
      <c r="M728" s="367"/>
      <c r="N728" s="367"/>
      <c r="O728" s="367"/>
      <c r="P728" s="364"/>
      <c r="Q728" s="365"/>
      <c r="R728" s="365"/>
      <c r="S728" s="365"/>
      <c r="T728" s="365"/>
      <c r="U728" s="366"/>
      <c r="V728" s="367"/>
      <c r="W728" s="367"/>
      <c r="X728" s="367"/>
      <c r="Y728" s="367"/>
      <c r="Z728" s="367"/>
      <c r="AA728" s="367"/>
      <c r="AB728" s="367"/>
      <c r="AC728" s="367"/>
      <c r="AD728" s="367"/>
      <c r="AE728" s="367"/>
      <c r="AF728" s="367"/>
      <c r="AG728" s="367"/>
      <c r="AH728" s="367"/>
      <c r="AI728" s="367"/>
      <c r="AJ728" s="367"/>
      <c r="AK728" s="367"/>
      <c r="AL728" s="367"/>
      <c r="AM728" s="367"/>
      <c r="AN728" s="367"/>
      <c r="AO728" s="367"/>
      <c r="AP728" s="367"/>
      <c r="AQ728" s="367"/>
      <c r="AR728" s="367"/>
      <c r="AS728" s="367"/>
      <c r="AT728" s="368"/>
      <c r="AU728" s="367"/>
    </row>
    <row r="729" spans="1:47" ht="12.75">
      <c r="A729" s="367"/>
      <c r="B729" s="367"/>
      <c r="C729" s="367"/>
      <c r="D729" s="367"/>
      <c r="E729" s="367"/>
      <c r="F729" s="367"/>
      <c r="G729" s="367"/>
      <c r="H729" s="367"/>
      <c r="I729" s="367"/>
      <c r="J729" s="367"/>
      <c r="K729" s="367"/>
      <c r="L729" s="367"/>
      <c r="M729" s="367"/>
      <c r="N729" s="367"/>
      <c r="O729" s="367"/>
      <c r="P729" s="364"/>
      <c r="Q729" s="365"/>
      <c r="R729" s="365"/>
      <c r="S729" s="365"/>
      <c r="T729" s="365"/>
      <c r="U729" s="366"/>
      <c r="V729" s="367"/>
      <c r="W729" s="367"/>
      <c r="X729" s="367"/>
      <c r="Y729" s="367"/>
      <c r="Z729" s="367"/>
      <c r="AA729" s="367"/>
      <c r="AB729" s="367"/>
      <c r="AC729" s="367"/>
      <c r="AD729" s="367"/>
      <c r="AE729" s="367"/>
      <c r="AF729" s="367"/>
      <c r="AG729" s="367"/>
      <c r="AH729" s="367"/>
      <c r="AI729" s="367"/>
      <c r="AJ729" s="367"/>
      <c r="AK729" s="367"/>
      <c r="AL729" s="367"/>
      <c r="AM729" s="367"/>
      <c r="AN729" s="367"/>
      <c r="AO729" s="367"/>
      <c r="AP729" s="367"/>
      <c r="AQ729" s="367"/>
      <c r="AR729" s="367"/>
      <c r="AS729" s="367"/>
      <c r="AT729" s="368"/>
      <c r="AU729" s="367"/>
    </row>
    <row r="730" spans="1:47" ht="12.75">
      <c r="A730" s="367"/>
      <c r="B730" s="367"/>
      <c r="C730" s="367"/>
      <c r="D730" s="367"/>
      <c r="E730" s="367"/>
      <c r="F730" s="367"/>
      <c r="G730" s="367"/>
      <c r="H730" s="367"/>
      <c r="I730" s="367"/>
      <c r="J730" s="367"/>
      <c r="K730" s="367"/>
      <c r="L730" s="367"/>
      <c r="M730" s="367"/>
      <c r="N730" s="367"/>
      <c r="O730" s="367"/>
      <c r="P730" s="364"/>
      <c r="Q730" s="365"/>
      <c r="R730" s="365"/>
      <c r="S730" s="365"/>
      <c r="T730" s="365"/>
      <c r="U730" s="366"/>
      <c r="V730" s="367"/>
      <c r="W730" s="367"/>
      <c r="X730" s="367"/>
      <c r="Y730" s="367"/>
      <c r="Z730" s="367"/>
      <c r="AA730" s="367"/>
      <c r="AB730" s="367"/>
      <c r="AC730" s="367"/>
      <c r="AD730" s="367"/>
      <c r="AE730" s="367"/>
      <c r="AF730" s="367"/>
      <c r="AG730" s="367"/>
      <c r="AH730" s="367"/>
      <c r="AI730" s="367"/>
      <c r="AJ730" s="367"/>
      <c r="AK730" s="367"/>
      <c r="AL730" s="367"/>
      <c r="AM730" s="367"/>
      <c r="AN730" s="367"/>
      <c r="AO730" s="367"/>
      <c r="AP730" s="367"/>
      <c r="AQ730" s="367"/>
      <c r="AR730" s="367"/>
      <c r="AS730" s="367"/>
      <c r="AT730" s="368"/>
      <c r="AU730" s="367"/>
    </row>
    <row r="731" spans="1:47" ht="12.75">
      <c r="A731" s="367"/>
      <c r="B731" s="367"/>
      <c r="C731" s="367"/>
      <c r="D731" s="367"/>
      <c r="E731" s="367"/>
      <c r="F731" s="367"/>
      <c r="G731" s="367"/>
      <c r="H731" s="367"/>
      <c r="I731" s="367"/>
      <c r="J731" s="367"/>
      <c r="K731" s="367"/>
      <c r="L731" s="367"/>
      <c r="M731" s="367"/>
      <c r="N731" s="367"/>
      <c r="O731" s="367"/>
      <c r="P731" s="364"/>
      <c r="Q731" s="365"/>
      <c r="R731" s="365"/>
      <c r="S731" s="365"/>
      <c r="T731" s="365"/>
      <c r="U731" s="366"/>
      <c r="V731" s="367"/>
      <c r="W731" s="367"/>
      <c r="X731" s="367"/>
      <c r="Y731" s="367"/>
      <c r="Z731" s="367"/>
      <c r="AA731" s="367"/>
      <c r="AB731" s="367"/>
      <c r="AC731" s="367"/>
      <c r="AD731" s="367"/>
      <c r="AE731" s="367"/>
      <c r="AF731" s="367"/>
      <c r="AG731" s="367"/>
      <c r="AH731" s="367"/>
      <c r="AI731" s="367"/>
      <c r="AJ731" s="367"/>
      <c r="AK731" s="367"/>
      <c r="AL731" s="367"/>
      <c r="AM731" s="367"/>
      <c r="AN731" s="367"/>
      <c r="AO731" s="367"/>
      <c r="AP731" s="367"/>
      <c r="AQ731" s="367"/>
      <c r="AR731" s="367"/>
      <c r="AS731" s="367"/>
      <c r="AT731" s="368"/>
      <c r="AU731" s="367"/>
    </row>
    <row r="732" spans="1:47" ht="12.75">
      <c r="A732" s="367"/>
      <c r="B732" s="367"/>
      <c r="C732" s="367"/>
      <c r="D732" s="367"/>
      <c r="E732" s="367"/>
      <c r="F732" s="367"/>
      <c r="G732" s="367"/>
      <c r="H732" s="367"/>
      <c r="I732" s="367"/>
      <c r="J732" s="367"/>
      <c r="K732" s="367"/>
      <c r="L732" s="367"/>
      <c r="M732" s="367"/>
      <c r="N732" s="367"/>
      <c r="O732" s="367"/>
      <c r="P732" s="364"/>
      <c r="Q732" s="365"/>
      <c r="R732" s="365"/>
      <c r="S732" s="365"/>
      <c r="T732" s="365"/>
      <c r="U732" s="366"/>
      <c r="V732" s="367"/>
      <c r="W732" s="367"/>
      <c r="X732" s="367"/>
      <c r="Y732" s="367"/>
      <c r="Z732" s="367"/>
      <c r="AA732" s="367"/>
      <c r="AB732" s="367"/>
      <c r="AC732" s="367"/>
      <c r="AD732" s="367"/>
      <c r="AE732" s="367"/>
      <c r="AF732" s="367"/>
      <c r="AG732" s="367"/>
      <c r="AH732" s="367"/>
      <c r="AI732" s="367"/>
      <c r="AJ732" s="367"/>
      <c r="AK732" s="367"/>
      <c r="AL732" s="367"/>
      <c r="AM732" s="367"/>
      <c r="AN732" s="367"/>
      <c r="AO732" s="367"/>
      <c r="AP732" s="367"/>
      <c r="AQ732" s="367"/>
      <c r="AR732" s="367"/>
      <c r="AS732" s="367"/>
      <c r="AT732" s="368"/>
      <c r="AU732" s="367"/>
    </row>
    <row r="733" spans="1:47" ht="12.75">
      <c r="A733" s="367"/>
      <c r="B733" s="367"/>
      <c r="C733" s="367"/>
      <c r="D733" s="367"/>
      <c r="E733" s="367"/>
      <c r="F733" s="367"/>
      <c r="G733" s="367"/>
      <c r="H733" s="367"/>
      <c r="I733" s="367"/>
      <c r="J733" s="367"/>
      <c r="K733" s="367"/>
      <c r="L733" s="367"/>
      <c r="M733" s="367"/>
      <c r="N733" s="367"/>
      <c r="O733" s="367"/>
      <c r="P733" s="364"/>
      <c r="Q733" s="365"/>
      <c r="R733" s="365"/>
      <c r="S733" s="365"/>
      <c r="T733" s="365"/>
      <c r="U733" s="366"/>
      <c r="V733" s="367"/>
      <c r="W733" s="367"/>
      <c r="X733" s="367"/>
      <c r="Y733" s="367"/>
      <c r="Z733" s="367"/>
      <c r="AA733" s="367"/>
      <c r="AB733" s="367"/>
      <c r="AC733" s="367"/>
      <c r="AD733" s="367"/>
      <c r="AE733" s="367"/>
      <c r="AF733" s="367"/>
      <c r="AG733" s="367"/>
      <c r="AH733" s="367"/>
      <c r="AI733" s="367"/>
      <c r="AJ733" s="367"/>
      <c r="AK733" s="367"/>
      <c r="AL733" s="367"/>
      <c r="AM733" s="367"/>
      <c r="AN733" s="367"/>
      <c r="AO733" s="367"/>
      <c r="AP733" s="367"/>
      <c r="AQ733" s="367"/>
      <c r="AR733" s="367"/>
      <c r="AS733" s="367"/>
      <c r="AT733" s="368"/>
      <c r="AU733" s="367"/>
    </row>
    <row r="734" spans="1:47" ht="12.75">
      <c r="A734" s="367"/>
      <c r="B734" s="367"/>
      <c r="C734" s="367"/>
      <c r="D734" s="367"/>
      <c r="E734" s="367"/>
      <c r="F734" s="367"/>
      <c r="G734" s="367"/>
      <c r="H734" s="367"/>
      <c r="I734" s="367"/>
      <c r="J734" s="367"/>
      <c r="K734" s="367"/>
      <c r="L734" s="367"/>
      <c r="M734" s="367"/>
      <c r="N734" s="367"/>
      <c r="O734" s="367"/>
      <c r="P734" s="364"/>
      <c r="Q734" s="365"/>
      <c r="R734" s="365"/>
      <c r="S734" s="365"/>
      <c r="T734" s="365"/>
      <c r="U734" s="366"/>
      <c r="V734" s="367"/>
      <c r="W734" s="367"/>
      <c r="X734" s="367"/>
      <c r="Y734" s="367"/>
      <c r="Z734" s="367"/>
      <c r="AA734" s="367"/>
      <c r="AB734" s="367"/>
      <c r="AC734" s="367"/>
      <c r="AD734" s="367"/>
      <c r="AE734" s="367"/>
      <c r="AF734" s="367"/>
      <c r="AG734" s="367"/>
      <c r="AH734" s="367"/>
      <c r="AI734" s="367"/>
      <c r="AJ734" s="367"/>
      <c r="AK734" s="367"/>
      <c r="AL734" s="367"/>
      <c r="AM734" s="367"/>
      <c r="AN734" s="367"/>
      <c r="AO734" s="367"/>
      <c r="AP734" s="367"/>
      <c r="AQ734" s="367"/>
      <c r="AR734" s="367"/>
      <c r="AS734" s="367"/>
      <c r="AT734" s="368"/>
      <c r="AU734" s="367"/>
    </row>
    <row r="735" spans="1:47" ht="12.75">
      <c r="A735" s="367"/>
      <c r="B735" s="367"/>
      <c r="C735" s="367"/>
      <c r="D735" s="367"/>
      <c r="E735" s="367"/>
      <c r="F735" s="367"/>
      <c r="G735" s="367"/>
      <c r="H735" s="367"/>
      <c r="I735" s="367"/>
      <c r="J735" s="367"/>
      <c r="K735" s="367"/>
      <c r="L735" s="367"/>
      <c r="M735" s="367"/>
      <c r="N735" s="367"/>
      <c r="O735" s="367"/>
      <c r="P735" s="364"/>
      <c r="Q735" s="365"/>
      <c r="R735" s="365"/>
      <c r="S735" s="365"/>
      <c r="T735" s="365"/>
      <c r="U735" s="366"/>
      <c r="V735" s="367"/>
      <c r="W735" s="367"/>
      <c r="X735" s="367"/>
      <c r="Y735" s="367"/>
      <c r="Z735" s="367"/>
      <c r="AA735" s="367"/>
      <c r="AB735" s="367"/>
      <c r="AC735" s="367"/>
      <c r="AD735" s="367"/>
      <c r="AE735" s="367"/>
      <c r="AF735" s="367"/>
      <c r="AG735" s="367"/>
      <c r="AH735" s="367"/>
      <c r="AI735" s="367"/>
      <c r="AJ735" s="367"/>
      <c r="AK735" s="367"/>
      <c r="AL735" s="367"/>
      <c r="AM735" s="367"/>
      <c r="AN735" s="367"/>
      <c r="AO735" s="367"/>
      <c r="AP735" s="367"/>
      <c r="AQ735" s="367"/>
      <c r="AR735" s="367"/>
      <c r="AS735" s="367"/>
      <c r="AT735" s="368"/>
      <c r="AU735" s="367"/>
    </row>
    <row r="736" spans="1:47" ht="12.75">
      <c r="A736" s="367"/>
      <c r="B736" s="367"/>
      <c r="C736" s="367"/>
      <c r="D736" s="367"/>
      <c r="E736" s="367"/>
      <c r="F736" s="367"/>
      <c r="G736" s="367"/>
      <c r="H736" s="367"/>
      <c r="I736" s="367"/>
      <c r="J736" s="367"/>
      <c r="K736" s="367"/>
      <c r="L736" s="367"/>
      <c r="M736" s="367"/>
      <c r="N736" s="367"/>
      <c r="O736" s="367"/>
      <c r="P736" s="364"/>
      <c r="Q736" s="365"/>
      <c r="R736" s="365"/>
      <c r="S736" s="365"/>
      <c r="T736" s="365"/>
      <c r="U736" s="366"/>
      <c r="V736" s="367"/>
      <c r="W736" s="367"/>
      <c r="X736" s="367"/>
      <c r="Y736" s="367"/>
      <c r="Z736" s="367"/>
      <c r="AA736" s="367"/>
      <c r="AB736" s="367"/>
      <c r="AC736" s="367"/>
      <c r="AD736" s="367"/>
      <c r="AE736" s="367"/>
      <c r="AF736" s="367"/>
      <c r="AG736" s="367"/>
      <c r="AH736" s="367"/>
      <c r="AI736" s="367"/>
      <c r="AJ736" s="367"/>
      <c r="AK736" s="367"/>
      <c r="AL736" s="367"/>
      <c r="AM736" s="367"/>
      <c r="AN736" s="367"/>
      <c r="AO736" s="367"/>
      <c r="AP736" s="367"/>
      <c r="AQ736" s="367"/>
      <c r="AR736" s="367"/>
      <c r="AS736" s="367"/>
      <c r="AT736" s="368"/>
      <c r="AU736" s="367"/>
    </row>
    <row r="737" spans="1:47" ht="12.75">
      <c r="A737" s="367"/>
      <c r="B737" s="367"/>
      <c r="C737" s="367"/>
      <c r="D737" s="367"/>
      <c r="E737" s="367"/>
      <c r="F737" s="367"/>
      <c r="G737" s="367"/>
      <c r="H737" s="367"/>
      <c r="I737" s="367"/>
      <c r="J737" s="367"/>
      <c r="K737" s="367"/>
      <c r="L737" s="367"/>
      <c r="M737" s="367"/>
      <c r="N737" s="367"/>
      <c r="O737" s="367"/>
      <c r="P737" s="364"/>
      <c r="Q737" s="365"/>
      <c r="R737" s="365"/>
      <c r="S737" s="365"/>
      <c r="T737" s="365"/>
      <c r="U737" s="366"/>
      <c r="V737" s="367"/>
      <c r="W737" s="367"/>
      <c r="X737" s="367"/>
      <c r="Y737" s="367"/>
      <c r="Z737" s="367"/>
      <c r="AA737" s="367"/>
      <c r="AB737" s="367"/>
      <c r="AC737" s="367"/>
      <c r="AD737" s="367"/>
      <c r="AE737" s="367"/>
      <c r="AF737" s="367"/>
      <c r="AG737" s="367"/>
      <c r="AH737" s="367"/>
      <c r="AI737" s="367"/>
      <c r="AJ737" s="367"/>
      <c r="AK737" s="367"/>
      <c r="AL737" s="367"/>
      <c r="AM737" s="367"/>
      <c r="AN737" s="367"/>
      <c r="AO737" s="367"/>
      <c r="AP737" s="367"/>
      <c r="AQ737" s="367"/>
      <c r="AR737" s="367"/>
      <c r="AS737" s="367"/>
      <c r="AT737" s="368"/>
      <c r="AU737" s="367"/>
    </row>
    <row r="738" spans="1:47" ht="12.75">
      <c r="A738" s="367"/>
      <c r="B738" s="367"/>
      <c r="C738" s="367"/>
      <c r="D738" s="367"/>
      <c r="E738" s="367"/>
      <c r="F738" s="367"/>
      <c r="G738" s="367"/>
      <c r="H738" s="367"/>
      <c r="I738" s="367"/>
      <c r="J738" s="367"/>
      <c r="K738" s="367"/>
      <c r="L738" s="367"/>
      <c r="M738" s="367"/>
      <c r="N738" s="367"/>
      <c r="O738" s="367"/>
      <c r="P738" s="364"/>
      <c r="Q738" s="365"/>
      <c r="R738" s="365"/>
      <c r="S738" s="365"/>
      <c r="T738" s="365"/>
      <c r="U738" s="366"/>
      <c r="V738" s="367"/>
      <c r="W738" s="367"/>
      <c r="X738" s="367"/>
      <c r="Y738" s="367"/>
      <c r="Z738" s="367"/>
      <c r="AA738" s="367"/>
      <c r="AB738" s="367"/>
      <c r="AC738" s="367"/>
      <c r="AD738" s="367"/>
      <c r="AE738" s="367"/>
      <c r="AF738" s="367"/>
      <c r="AG738" s="367"/>
      <c r="AH738" s="367"/>
      <c r="AI738" s="367"/>
      <c r="AJ738" s="367"/>
      <c r="AK738" s="367"/>
      <c r="AL738" s="367"/>
      <c r="AM738" s="367"/>
      <c r="AN738" s="367"/>
      <c r="AO738" s="367"/>
      <c r="AP738" s="367"/>
      <c r="AQ738" s="367"/>
      <c r="AR738" s="367"/>
      <c r="AS738" s="367"/>
      <c r="AT738" s="368"/>
      <c r="AU738" s="367"/>
    </row>
    <row r="739" spans="1:47" ht="12.75">
      <c r="A739" s="367"/>
      <c r="B739" s="367"/>
      <c r="C739" s="367"/>
      <c r="D739" s="367"/>
      <c r="E739" s="367"/>
      <c r="F739" s="367"/>
      <c r="G739" s="367"/>
      <c r="H739" s="367"/>
      <c r="I739" s="367"/>
      <c r="J739" s="367"/>
      <c r="K739" s="367"/>
      <c r="L739" s="367"/>
      <c r="M739" s="367"/>
      <c r="N739" s="367"/>
      <c r="O739" s="367"/>
      <c r="P739" s="364"/>
      <c r="Q739" s="365"/>
      <c r="R739" s="365"/>
      <c r="S739" s="365"/>
      <c r="T739" s="365"/>
      <c r="U739" s="366"/>
      <c r="V739" s="367"/>
      <c r="W739" s="367"/>
      <c r="X739" s="367"/>
      <c r="Y739" s="367"/>
      <c r="Z739" s="367"/>
      <c r="AA739" s="367"/>
      <c r="AB739" s="367"/>
      <c r="AC739" s="367"/>
      <c r="AD739" s="367"/>
      <c r="AE739" s="367"/>
      <c r="AF739" s="367"/>
      <c r="AG739" s="367"/>
      <c r="AH739" s="367"/>
      <c r="AI739" s="367"/>
      <c r="AJ739" s="367"/>
      <c r="AK739" s="367"/>
      <c r="AL739" s="367"/>
      <c r="AM739" s="367"/>
      <c r="AN739" s="367"/>
      <c r="AO739" s="367"/>
      <c r="AP739" s="367"/>
      <c r="AQ739" s="367"/>
      <c r="AR739" s="367"/>
      <c r="AS739" s="367"/>
      <c r="AT739" s="368"/>
      <c r="AU739" s="367"/>
    </row>
    <row r="740" spans="1:47" ht="12.75">
      <c r="A740" s="367"/>
      <c r="B740" s="367"/>
      <c r="C740" s="367"/>
      <c r="D740" s="367"/>
      <c r="E740" s="367"/>
      <c r="F740" s="367"/>
      <c r="G740" s="367"/>
      <c r="H740" s="367"/>
      <c r="I740" s="367"/>
      <c r="J740" s="367"/>
      <c r="K740" s="367"/>
      <c r="L740" s="367"/>
      <c r="M740" s="367"/>
      <c r="N740" s="367"/>
      <c r="O740" s="367"/>
      <c r="P740" s="364"/>
      <c r="Q740" s="365"/>
      <c r="R740" s="365"/>
      <c r="S740" s="365"/>
      <c r="T740" s="365"/>
      <c r="U740" s="366"/>
      <c r="V740" s="367"/>
      <c r="W740" s="367"/>
      <c r="X740" s="367"/>
      <c r="Y740" s="367"/>
      <c r="Z740" s="367"/>
      <c r="AA740" s="367"/>
      <c r="AB740" s="367"/>
      <c r="AC740" s="367"/>
      <c r="AD740" s="367"/>
      <c r="AE740" s="367"/>
      <c r="AF740" s="367"/>
      <c r="AG740" s="367"/>
      <c r="AH740" s="367"/>
      <c r="AI740" s="367"/>
      <c r="AJ740" s="367"/>
      <c r="AK740" s="367"/>
      <c r="AL740" s="367"/>
      <c r="AM740" s="367"/>
      <c r="AN740" s="367"/>
      <c r="AO740" s="367"/>
      <c r="AP740" s="367"/>
      <c r="AQ740" s="367"/>
      <c r="AR740" s="367"/>
      <c r="AS740" s="367"/>
      <c r="AT740" s="368"/>
      <c r="AU740" s="367"/>
    </row>
    <row r="741" spans="1:47" ht="12.75">
      <c r="A741" s="367"/>
      <c r="B741" s="367"/>
      <c r="C741" s="367"/>
      <c r="D741" s="367"/>
      <c r="E741" s="367"/>
      <c r="F741" s="367"/>
      <c r="G741" s="367"/>
      <c r="H741" s="367"/>
      <c r="I741" s="367"/>
      <c r="J741" s="367"/>
      <c r="K741" s="367"/>
      <c r="L741" s="367"/>
      <c r="M741" s="367"/>
      <c r="N741" s="367"/>
      <c r="O741" s="367"/>
      <c r="P741" s="364"/>
      <c r="Q741" s="365"/>
      <c r="R741" s="365"/>
      <c r="S741" s="365"/>
      <c r="T741" s="365"/>
      <c r="U741" s="366"/>
      <c r="V741" s="367"/>
      <c r="W741" s="367"/>
      <c r="X741" s="367"/>
      <c r="Y741" s="367"/>
      <c r="Z741" s="367"/>
      <c r="AA741" s="367"/>
      <c r="AB741" s="367"/>
      <c r="AC741" s="367"/>
      <c r="AD741" s="367"/>
      <c r="AE741" s="367"/>
      <c r="AF741" s="367"/>
      <c r="AG741" s="367"/>
      <c r="AH741" s="367"/>
      <c r="AI741" s="367"/>
      <c r="AJ741" s="367"/>
      <c r="AK741" s="367"/>
      <c r="AL741" s="367"/>
      <c r="AM741" s="367"/>
      <c r="AN741" s="367"/>
      <c r="AO741" s="367"/>
      <c r="AP741" s="367"/>
      <c r="AQ741" s="367"/>
      <c r="AR741" s="367"/>
      <c r="AS741" s="367"/>
      <c r="AT741" s="368"/>
      <c r="AU741" s="367"/>
    </row>
    <row r="742" spans="1:47" ht="12.75">
      <c r="A742" s="367"/>
      <c r="B742" s="367"/>
      <c r="C742" s="367"/>
      <c r="D742" s="367"/>
      <c r="E742" s="367"/>
      <c r="F742" s="367"/>
      <c r="G742" s="367"/>
      <c r="H742" s="367"/>
      <c r="I742" s="367"/>
      <c r="J742" s="367"/>
      <c r="K742" s="367"/>
      <c r="L742" s="367"/>
      <c r="M742" s="367"/>
      <c r="N742" s="367"/>
      <c r="O742" s="367"/>
      <c r="P742" s="364"/>
      <c r="Q742" s="365"/>
      <c r="R742" s="365"/>
      <c r="S742" s="365"/>
      <c r="T742" s="365"/>
      <c r="U742" s="366"/>
      <c r="V742" s="367"/>
      <c r="W742" s="367"/>
      <c r="X742" s="367"/>
      <c r="Y742" s="367"/>
      <c r="Z742" s="367"/>
      <c r="AA742" s="367"/>
      <c r="AB742" s="367"/>
      <c r="AC742" s="367"/>
      <c r="AD742" s="367"/>
      <c r="AE742" s="367"/>
      <c r="AF742" s="367"/>
      <c r="AG742" s="367"/>
      <c r="AH742" s="367"/>
      <c r="AI742" s="367"/>
      <c r="AJ742" s="367"/>
      <c r="AK742" s="367"/>
      <c r="AL742" s="367"/>
      <c r="AM742" s="367"/>
      <c r="AN742" s="367"/>
      <c r="AO742" s="367"/>
      <c r="AP742" s="367"/>
      <c r="AQ742" s="367"/>
      <c r="AR742" s="367"/>
      <c r="AS742" s="367"/>
      <c r="AT742" s="368"/>
      <c r="AU742" s="367"/>
    </row>
    <row r="743" spans="1:47" ht="12.75">
      <c r="A743" s="367"/>
      <c r="B743" s="367"/>
      <c r="C743" s="367"/>
      <c r="D743" s="367"/>
      <c r="E743" s="367"/>
      <c r="F743" s="367"/>
      <c r="G743" s="367"/>
      <c r="H743" s="367"/>
      <c r="I743" s="367"/>
      <c r="J743" s="367"/>
      <c r="K743" s="367"/>
      <c r="L743" s="367"/>
      <c r="M743" s="367"/>
      <c r="N743" s="367"/>
      <c r="O743" s="367"/>
      <c r="P743" s="364"/>
      <c r="Q743" s="365"/>
      <c r="R743" s="365"/>
      <c r="S743" s="365"/>
      <c r="T743" s="365"/>
      <c r="U743" s="366"/>
      <c r="V743" s="367"/>
      <c r="W743" s="367"/>
      <c r="X743" s="367"/>
      <c r="Y743" s="367"/>
      <c r="Z743" s="367"/>
      <c r="AA743" s="367"/>
      <c r="AB743" s="367"/>
      <c r="AC743" s="367"/>
      <c r="AD743" s="367"/>
      <c r="AE743" s="367"/>
      <c r="AF743" s="367"/>
      <c r="AG743" s="367"/>
      <c r="AH743" s="367"/>
      <c r="AI743" s="367"/>
      <c r="AJ743" s="367"/>
      <c r="AK743" s="367"/>
      <c r="AL743" s="367"/>
      <c r="AM743" s="367"/>
      <c r="AN743" s="367"/>
      <c r="AO743" s="367"/>
      <c r="AP743" s="367"/>
      <c r="AQ743" s="367"/>
      <c r="AR743" s="367"/>
      <c r="AS743" s="367"/>
      <c r="AT743" s="368"/>
      <c r="AU743" s="367"/>
    </row>
    <row r="744" spans="1:47" ht="12.75">
      <c r="A744" s="367"/>
      <c r="B744" s="367"/>
      <c r="C744" s="367"/>
      <c r="D744" s="367"/>
      <c r="E744" s="367"/>
      <c r="F744" s="367"/>
      <c r="G744" s="367"/>
      <c r="H744" s="367"/>
      <c r="I744" s="367"/>
      <c r="J744" s="367"/>
      <c r="K744" s="367"/>
      <c r="L744" s="367"/>
      <c r="M744" s="367"/>
      <c r="N744" s="367"/>
      <c r="O744" s="367"/>
      <c r="P744" s="364"/>
      <c r="Q744" s="365"/>
      <c r="R744" s="365"/>
      <c r="S744" s="365"/>
      <c r="T744" s="365"/>
      <c r="U744" s="366"/>
      <c r="V744" s="367"/>
      <c r="W744" s="367"/>
      <c r="X744" s="367"/>
      <c r="Y744" s="367"/>
      <c r="Z744" s="367"/>
      <c r="AA744" s="367"/>
      <c r="AB744" s="367"/>
      <c r="AC744" s="367"/>
      <c r="AD744" s="367"/>
      <c r="AE744" s="367"/>
      <c r="AF744" s="367"/>
      <c r="AG744" s="367"/>
      <c r="AH744" s="367"/>
      <c r="AI744" s="367"/>
      <c r="AJ744" s="367"/>
      <c r="AK744" s="367"/>
      <c r="AL744" s="367"/>
      <c r="AM744" s="367"/>
      <c r="AN744" s="367"/>
      <c r="AO744" s="367"/>
      <c r="AP744" s="367"/>
      <c r="AQ744" s="367"/>
      <c r="AR744" s="367"/>
      <c r="AS744" s="367"/>
      <c r="AT744" s="368"/>
      <c r="AU744" s="367"/>
    </row>
    <row r="745" spans="1:47" ht="12.75">
      <c r="A745" s="367"/>
      <c r="B745" s="367"/>
      <c r="C745" s="367"/>
      <c r="D745" s="367"/>
      <c r="E745" s="367"/>
      <c r="F745" s="367"/>
      <c r="G745" s="367"/>
      <c r="H745" s="367"/>
      <c r="I745" s="367"/>
      <c r="J745" s="367"/>
      <c r="K745" s="367"/>
      <c r="L745" s="367"/>
      <c r="M745" s="367"/>
      <c r="N745" s="367"/>
      <c r="O745" s="367"/>
      <c r="P745" s="364"/>
      <c r="Q745" s="365"/>
      <c r="R745" s="365"/>
      <c r="S745" s="365"/>
      <c r="T745" s="365"/>
      <c r="U745" s="366"/>
      <c r="V745" s="367"/>
      <c r="W745" s="367"/>
      <c r="X745" s="367"/>
      <c r="Y745" s="367"/>
      <c r="Z745" s="367"/>
      <c r="AA745" s="367"/>
      <c r="AB745" s="367"/>
      <c r="AC745" s="367"/>
      <c r="AD745" s="367"/>
      <c r="AE745" s="367"/>
      <c r="AF745" s="367"/>
      <c r="AG745" s="367"/>
      <c r="AH745" s="367"/>
      <c r="AI745" s="367"/>
      <c r="AJ745" s="367"/>
      <c r="AK745" s="367"/>
      <c r="AL745" s="367"/>
      <c r="AM745" s="367"/>
      <c r="AN745" s="367"/>
      <c r="AO745" s="367"/>
      <c r="AP745" s="367"/>
      <c r="AQ745" s="367"/>
      <c r="AR745" s="367"/>
      <c r="AS745" s="367"/>
      <c r="AT745" s="368"/>
      <c r="AU745" s="367"/>
    </row>
    <row r="746" spans="1:47" ht="12.75">
      <c r="A746" s="367"/>
      <c r="B746" s="367"/>
      <c r="C746" s="367"/>
      <c r="D746" s="367"/>
      <c r="E746" s="367"/>
      <c r="F746" s="367"/>
      <c r="G746" s="367"/>
      <c r="H746" s="367"/>
      <c r="I746" s="367"/>
      <c r="J746" s="367"/>
      <c r="K746" s="367"/>
      <c r="L746" s="367"/>
      <c r="M746" s="367"/>
      <c r="N746" s="367"/>
      <c r="O746" s="367"/>
      <c r="P746" s="364"/>
      <c r="Q746" s="365"/>
      <c r="R746" s="365"/>
      <c r="S746" s="365"/>
      <c r="T746" s="365"/>
      <c r="U746" s="366"/>
      <c r="V746" s="367"/>
      <c r="W746" s="367"/>
      <c r="X746" s="367"/>
      <c r="Y746" s="367"/>
      <c r="Z746" s="367"/>
      <c r="AA746" s="367"/>
      <c r="AB746" s="367"/>
      <c r="AC746" s="367"/>
      <c r="AD746" s="367"/>
      <c r="AE746" s="367"/>
      <c r="AF746" s="367"/>
      <c r="AG746" s="367"/>
      <c r="AH746" s="367"/>
      <c r="AI746" s="367"/>
      <c r="AJ746" s="367"/>
      <c r="AK746" s="367"/>
      <c r="AL746" s="367"/>
      <c r="AM746" s="367"/>
      <c r="AN746" s="367"/>
      <c r="AO746" s="367"/>
      <c r="AP746" s="367"/>
      <c r="AQ746" s="367"/>
      <c r="AR746" s="367"/>
      <c r="AS746" s="367"/>
      <c r="AT746" s="368"/>
      <c r="AU746" s="367"/>
    </row>
    <row r="747" spans="1:47" ht="12.75">
      <c r="A747" s="367"/>
      <c r="B747" s="367"/>
      <c r="C747" s="367"/>
      <c r="D747" s="367"/>
      <c r="E747" s="367"/>
      <c r="F747" s="367"/>
      <c r="G747" s="367"/>
      <c r="H747" s="367"/>
      <c r="I747" s="367"/>
      <c r="J747" s="367"/>
      <c r="K747" s="367"/>
      <c r="L747" s="367"/>
      <c r="M747" s="367"/>
      <c r="N747" s="367"/>
      <c r="O747" s="367"/>
      <c r="P747" s="364"/>
      <c r="Q747" s="365"/>
      <c r="R747" s="365"/>
      <c r="S747" s="365"/>
      <c r="T747" s="365"/>
      <c r="U747" s="366"/>
      <c r="V747" s="367"/>
      <c r="W747" s="367"/>
      <c r="X747" s="367"/>
      <c r="Y747" s="367"/>
      <c r="Z747" s="367"/>
      <c r="AA747" s="367"/>
      <c r="AB747" s="367"/>
      <c r="AC747" s="367"/>
      <c r="AD747" s="367"/>
      <c r="AE747" s="367"/>
      <c r="AF747" s="367"/>
      <c r="AG747" s="367"/>
      <c r="AH747" s="367"/>
      <c r="AI747" s="367"/>
      <c r="AJ747" s="367"/>
      <c r="AK747" s="367"/>
      <c r="AL747" s="367"/>
      <c r="AM747" s="367"/>
      <c r="AN747" s="367"/>
      <c r="AO747" s="367"/>
      <c r="AP747" s="367"/>
      <c r="AQ747" s="367"/>
      <c r="AR747" s="367"/>
      <c r="AS747" s="367"/>
      <c r="AT747" s="368"/>
      <c r="AU747" s="367"/>
    </row>
    <row r="748" spans="1:47" ht="12.75">
      <c r="A748" s="367"/>
      <c r="B748" s="367"/>
      <c r="C748" s="367"/>
      <c r="D748" s="367"/>
      <c r="E748" s="367"/>
      <c r="F748" s="367"/>
      <c r="G748" s="367"/>
      <c r="H748" s="367"/>
      <c r="I748" s="367"/>
      <c r="J748" s="367"/>
      <c r="K748" s="367"/>
      <c r="L748" s="367"/>
      <c r="M748" s="367"/>
      <c r="N748" s="367"/>
      <c r="O748" s="367"/>
      <c r="P748" s="364"/>
      <c r="Q748" s="365"/>
      <c r="R748" s="365"/>
      <c r="S748" s="365"/>
      <c r="T748" s="365"/>
      <c r="U748" s="366"/>
      <c r="V748" s="367"/>
      <c r="W748" s="367"/>
      <c r="X748" s="367"/>
      <c r="Y748" s="367"/>
      <c r="Z748" s="367"/>
      <c r="AA748" s="367"/>
      <c r="AB748" s="367"/>
      <c r="AC748" s="367"/>
      <c r="AD748" s="367"/>
      <c r="AE748" s="367"/>
      <c r="AF748" s="367"/>
      <c r="AG748" s="367"/>
      <c r="AH748" s="367"/>
      <c r="AI748" s="367"/>
      <c r="AJ748" s="367"/>
      <c r="AK748" s="367"/>
      <c r="AL748" s="367"/>
      <c r="AM748" s="367"/>
      <c r="AN748" s="367"/>
      <c r="AO748" s="367"/>
      <c r="AP748" s="367"/>
      <c r="AQ748" s="367"/>
      <c r="AR748" s="367"/>
      <c r="AS748" s="367"/>
      <c r="AT748" s="368"/>
      <c r="AU748" s="367"/>
    </row>
    <row r="749" spans="1:47" ht="12.75">
      <c r="A749" s="367"/>
      <c r="B749" s="367"/>
      <c r="C749" s="367"/>
      <c r="D749" s="367"/>
      <c r="E749" s="367"/>
      <c r="F749" s="367"/>
      <c r="G749" s="367"/>
      <c r="H749" s="367"/>
      <c r="I749" s="367"/>
      <c r="J749" s="367"/>
      <c r="K749" s="367"/>
      <c r="L749" s="367"/>
      <c r="M749" s="367"/>
      <c r="N749" s="367"/>
      <c r="O749" s="367"/>
      <c r="P749" s="364"/>
      <c r="Q749" s="365"/>
      <c r="R749" s="365"/>
      <c r="S749" s="365"/>
      <c r="T749" s="365"/>
      <c r="U749" s="366"/>
      <c r="V749" s="367"/>
      <c r="W749" s="367"/>
      <c r="X749" s="367"/>
      <c r="Y749" s="367"/>
      <c r="Z749" s="367"/>
      <c r="AA749" s="367"/>
      <c r="AB749" s="367"/>
      <c r="AC749" s="367"/>
      <c r="AD749" s="367"/>
      <c r="AE749" s="367"/>
      <c r="AF749" s="367"/>
      <c r="AG749" s="367"/>
      <c r="AH749" s="367"/>
      <c r="AI749" s="367"/>
      <c r="AJ749" s="367"/>
      <c r="AK749" s="367"/>
      <c r="AL749" s="367"/>
      <c r="AM749" s="367"/>
      <c r="AN749" s="367"/>
      <c r="AO749" s="367"/>
      <c r="AP749" s="367"/>
      <c r="AQ749" s="367"/>
      <c r="AR749" s="367"/>
      <c r="AS749" s="367"/>
      <c r="AT749" s="368"/>
      <c r="AU749" s="367"/>
    </row>
    <row r="750" spans="1:47" ht="12.75">
      <c r="A750" s="367"/>
      <c r="B750" s="367"/>
      <c r="C750" s="367"/>
      <c r="D750" s="367"/>
      <c r="E750" s="367"/>
      <c r="F750" s="367"/>
      <c r="G750" s="367"/>
      <c r="H750" s="367"/>
      <c r="I750" s="367"/>
      <c r="J750" s="367"/>
      <c r="K750" s="367"/>
      <c r="L750" s="367"/>
      <c r="M750" s="367"/>
      <c r="N750" s="367"/>
      <c r="O750" s="367"/>
      <c r="P750" s="364"/>
      <c r="Q750" s="365"/>
      <c r="R750" s="365"/>
      <c r="S750" s="365"/>
      <c r="T750" s="365"/>
      <c r="U750" s="366"/>
      <c r="V750" s="367"/>
      <c r="W750" s="367"/>
      <c r="X750" s="367"/>
      <c r="Y750" s="367"/>
      <c r="Z750" s="367"/>
      <c r="AA750" s="367"/>
      <c r="AB750" s="367"/>
      <c r="AC750" s="367"/>
      <c r="AD750" s="367"/>
      <c r="AE750" s="367"/>
      <c r="AF750" s="367"/>
      <c r="AG750" s="367"/>
      <c r="AH750" s="367"/>
      <c r="AI750" s="367"/>
      <c r="AJ750" s="367"/>
      <c r="AK750" s="367"/>
      <c r="AL750" s="367"/>
      <c r="AM750" s="367"/>
      <c r="AN750" s="367"/>
      <c r="AO750" s="367"/>
      <c r="AP750" s="367"/>
      <c r="AQ750" s="367"/>
      <c r="AR750" s="367"/>
      <c r="AS750" s="367"/>
      <c r="AT750" s="368"/>
      <c r="AU750" s="367"/>
    </row>
    <row r="751" spans="1:47" ht="12.75">
      <c r="A751" s="367"/>
      <c r="B751" s="367"/>
      <c r="C751" s="367"/>
      <c r="D751" s="367"/>
      <c r="E751" s="367"/>
      <c r="F751" s="367"/>
      <c r="G751" s="367"/>
      <c r="H751" s="367"/>
      <c r="I751" s="367"/>
      <c r="J751" s="367"/>
      <c r="K751" s="367"/>
      <c r="L751" s="367"/>
      <c r="M751" s="367"/>
      <c r="N751" s="367"/>
      <c r="O751" s="367"/>
      <c r="P751" s="364"/>
      <c r="Q751" s="365"/>
      <c r="R751" s="365"/>
      <c r="S751" s="365"/>
      <c r="T751" s="365"/>
      <c r="U751" s="366"/>
      <c r="V751" s="367"/>
      <c r="W751" s="367"/>
      <c r="X751" s="367"/>
      <c r="Y751" s="367"/>
      <c r="Z751" s="367"/>
      <c r="AA751" s="367"/>
      <c r="AB751" s="367"/>
      <c r="AC751" s="367"/>
      <c r="AD751" s="367"/>
      <c r="AE751" s="367"/>
      <c r="AF751" s="367"/>
      <c r="AG751" s="367"/>
      <c r="AH751" s="367"/>
      <c r="AI751" s="367"/>
      <c r="AJ751" s="367"/>
      <c r="AK751" s="367"/>
      <c r="AL751" s="367"/>
      <c r="AM751" s="367"/>
      <c r="AN751" s="367"/>
      <c r="AO751" s="367"/>
      <c r="AP751" s="367"/>
      <c r="AQ751" s="367"/>
      <c r="AR751" s="367"/>
      <c r="AS751" s="367"/>
      <c r="AT751" s="368"/>
      <c r="AU751" s="367"/>
    </row>
    <row r="752" spans="1:47" ht="12.75">
      <c r="A752" s="367"/>
      <c r="B752" s="367"/>
      <c r="C752" s="367"/>
      <c r="D752" s="367"/>
      <c r="E752" s="367"/>
      <c r="F752" s="367"/>
      <c r="G752" s="367"/>
      <c r="H752" s="367"/>
      <c r="I752" s="367"/>
      <c r="J752" s="367"/>
      <c r="K752" s="367"/>
      <c r="L752" s="367"/>
      <c r="M752" s="367"/>
      <c r="N752" s="367"/>
      <c r="O752" s="367"/>
      <c r="P752" s="364"/>
      <c r="Q752" s="365"/>
      <c r="R752" s="365"/>
      <c r="S752" s="365"/>
      <c r="T752" s="365"/>
      <c r="U752" s="366"/>
      <c r="V752" s="367"/>
      <c r="W752" s="367"/>
      <c r="X752" s="367"/>
      <c r="Y752" s="367"/>
      <c r="Z752" s="367"/>
      <c r="AA752" s="367"/>
      <c r="AB752" s="367"/>
      <c r="AC752" s="367"/>
      <c r="AD752" s="367"/>
      <c r="AE752" s="367"/>
      <c r="AF752" s="367"/>
      <c r="AG752" s="367"/>
      <c r="AH752" s="367"/>
      <c r="AI752" s="367"/>
      <c r="AJ752" s="367"/>
      <c r="AK752" s="367"/>
      <c r="AL752" s="367"/>
      <c r="AM752" s="367"/>
      <c r="AN752" s="367"/>
      <c r="AO752" s="367"/>
      <c r="AP752" s="367"/>
      <c r="AQ752" s="367"/>
      <c r="AR752" s="367"/>
      <c r="AS752" s="367"/>
      <c r="AT752" s="368"/>
      <c r="AU752" s="367"/>
    </row>
    <row r="753" spans="1:47" ht="12.75">
      <c r="A753" s="367"/>
      <c r="B753" s="367"/>
      <c r="C753" s="367"/>
      <c r="D753" s="367"/>
      <c r="E753" s="367"/>
      <c r="F753" s="367"/>
      <c r="G753" s="367"/>
      <c r="H753" s="367"/>
      <c r="I753" s="367"/>
      <c r="J753" s="367"/>
      <c r="K753" s="367"/>
      <c r="L753" s="367"/>
      <c r="M753" s="367"/>
      <c r="N753" s="367"/>
      <c r="O753" s="367"/>
      <c r="P753" s="364"/>
      <c r="Q753" s="365"/>
      <c r="R753" s="365"/>
      <c r="S753" s="365"/>
      <c r="T753" s="365"/>
      <c r="U753" s="366"/>
      <c r="V753" s="367"/>
      <c r="W753" s="367"/>
      <c r="X753" s="367"/>
      <c r="Y753" s="367"/>
      <c r="Z753" s="367"/>
      <c r="AA753" s="367"/>
      <c r="AB753" s="367"/>
      <c r="AC753" s="367"/>
      <c r="AD753" s="367"/>
      <c r="AE753" s="367"/>
      <c r="AF753" s="367"/>
      <c r="AG753" s="367"/>
      <c r="AH753" s="367"/>
      <c r="AI753" s="367"/>
      <c r="AJ753" s="367"/>
      <c r="AK753" s="367"/>
      <c r="AL753" s="367"/>
      <c r="AM753" s="367"/>
      <c r="AN753" s="367"/>
      <c r="AO753" s="367"/>
      <c r="AP753" s="367"/>
      <c r="AQ753" s="367"/>
      <c r="AR753" s="367"/>
      <c r="AS753" s="367"/>
      <c r="AT753" s="368"/>
      <c r="AU753" s="367"/>
    </row>
    <row r="754" spans="1:47" ht="12.75">
      <c r="A754" s="367"/>
      <c r="B754" s="367"/>
      <c r="C754" s="367"/>
      <c r="D754" s="367"/>
      <c r="E754" s="367"/>
      <c r="F754" s="367"/>
      <c r="G754" s="367"/>
      <c r="H754" s="367"/>
      <c r="I754" s="367"/>
      <c r="J754" s="367"/>
      <c r="K754" s="367"/>
      <c r="L754" s="367"/>
      <c r="M754" s="367"/>
      <c r="N754" s="367"/>
      <c r="O754" s="367"/>
      <c r="P754" s="364"/>
      <c r="Q754" s="365"/>
      <c r="R754" s="365"/>
      <c r="S754" s="365"/>
      <c r="T754" s="365"/>
      <c r="U754" s="366"/>
      <c r="V754" s="367"/>
      <c r="W754" s="367"/>
      <c r="X754" s="367"/>
      <c r="Y754" s="367"/>
      <c r="Z754" s="367"/>
      <c r="AA754" s="367"/>
      <c r="AB754" s="367"/>
      <c r="AC754" s="367"/>
      <c r="AD754" s="367"/>
      <c r="AE754" s="367"/>
      <c r="AF754" s="367"/>
      <c r="AG754" s="367"/>
      <c r="AH754" s="367"/>
      <c r="AI754" s="367"/>
      <c r="AJ754" s="367"/>
      <c r="AK754" s="367"/>
      <c r="AL754" s="367"/>
      <c r="AM754" s="367"/>
      <c r="AN754" s="367"/>
      <c r="AO754" s="367"/>
      <c r="AP754" s="367"/>
      <c r="AQ754" s="367"/>
      <c r="AR754" s="367"/>
      <c r="AS754" s="367"/>
      <c r="AT754" s="368"/>
      <c r="AU754" s="367"/>
    </row>
    <row r="755" spans="1:47" ht="12.75">
      <c r="A755" s="367"/>
      <c r="B755" s="367"/>
      <c r="C755" s="367"/>
      <c r="D755" s="367"/>
      <c r="E755" s="367"/>
      <c r="F755" s="367"/>
      <c r="G755" s="367"/>
      <c r="H755" s="367"/>
      <c r="I755" s="367"/>
      <c r="J755" s="367"/>
      <c r="K755" s="367"/>
      <c r="L755" s="367"/>
      <c r="M755" s="367"/>
      <c r="N755" s="367"/>
      <c r="O755" s="367"/>
      <c r="P755" s="364"/>
      <c r="Q755" s="365"/>
      <c r="R755" s="365"/>
      <c r="S755" s="365"/>
      <c r="T755" s="365"/>
      <c r="U755" s="366"/>
      <c r="V755" s="367"/>
      <c r="W755" s="367"/>
      <c r="X755" s="367"/>
      <c r="Y755" s="367"/>
      <c r="Z755" s="367"/>
      <c r="AA755" s="367"/>
      <c r="AB755" s="367"/>
      <c r="AC755" s="367"/>
      <c r="AD755" s="367"/>
      <c r="AE755" s="367"/>
      <c r="AF755" s="367"/>
      <c r="AG755" s="367"/>
      <c r="AH755" s="367"/>
      <c r="AI755" s="367"/>
      <c r="AJ755" s="367"/>
      <c r="AK755" s="367"/>
      <c r="AL755" s="367"/>
      <c r="AM755" s="367"/>
      <c r="AN755" s="367"/>
      <c r="AO755" s="367"/>
      <c r="AP755" s="367"/>
      <c r="AQ755" s="367"/>
      <c r="AR755" s="367"/>
      <c r="AS755" s="367"/>
      <c r="AT755" s="368"/>
      <c r="AU755" s="367"/>
    </row>
    <row r="756" spans="1:47" ht="12.75">
      <c r="A756" s="367"/>
      <c r="B756" s="367"/>
      <c r="C756" s="367"/>
      <c r="D756" s="367"/>
      <c r="E756" s="367"/>
      <c r="F756" s="367"/>
      <c r="G756" s="367"/>
      <c r="H756" s="367"/>
      <c r="I756" s="367"/>
      <c r="J756" s="367"/>
      <c r="K756" s="367"/>
      <c r="L756" s="367"/>
      <c r="M756" s="367"/>
      <c r="N756" s="367"/>
      <c r="O756" s="367"/>
      <c r="P756" s="364"/>
      <c r="Q756" s="365"/>
      <c r="R756" s="365"/>
      <c r="S756" s="365"/>
      <c r="T756" s="365"/>
      <c r="U756" s="366"/>
      <c r="V756" s="367"/>
      <c r="W756" s="367"/>
      <c r="X756" s="367"/>
      <c r="Y756" s="367"/>
      <c r="Z756" s="367"/>
      <c r="AA756" s="367"/>
      <c r="AB756" s="367"/>
      <c r="AC756" s="367"/>
      <c r="AD756" s="367"/>
      <c r="AE756" s="367"/>
      <c r="AF756" s="367"/>
      <c r="AG756" s="367"/>
      <c r="AH756" s="367"/>
      <c r="AI756" s="367"/>
      <c r="AJ756" s="367"/>
      <c r="AK756" s="367"/>
      <c r="AL756" s="367"/>
      <c r="AM756" s="367"/>
      <c r="AN756" s="367"/>
      <c r="AO756" s="367"/>
      <c r="AP756" s="367"/>
      <c r="AQ756" s="367"/>
      <c r="AR756" s="367"/>
      <c r="AS756" s="367"/>
      <c r="AT756" s="368"/>
      <c r="AU756" s="367"/>
    </row>
    <row r="757" spans="1:47" ht="12.75">
      <c r="A757" s="367"/>
      <c r="B757" s="367"/>
      <c r="C757" s="367"/>
      <c r="D757" s="367"/>
      <c r="E757" s="367"/>
      <c r="F757" s="367"/>
      <c r="G757" s="367"/>
      <c r="H757" s="367"/>
      <c r="I757" s="367"/>
      <c r="J757" s="367"/>
      <c r="K757" s="367"/>
      <c r="L757" s="367"/>
      <c r="M757" s="367"/>
      <c r="N757" s="367"/>
      <c r="O757" s="367"/>
      <c r="P757" s="364"/>
      <c r="Q757" s="365"/>
      <c r="R757" s="365"/>
      <c r="S757" s="365"/>
      <c r="T757" s="365"/>
      <c r="U757" s="366"/>
      <c r="V757" s="367"/>
      <c r="W757" s="367"/>
      <c r="X757" s="367"/>
      <c r="Y757" s="367"/>
      <c r="Z757" s="367"/>
      <c r="AA757" s="367"/>
      <c r="AB757" s="367"/>
      <c r="AC757" s="367"/>
      <c r="AD757" s="367"/>
      <c r="AE757" s="367"/>
      <c r="AF757" s="367"/>
      <c r="AG757" s="367"/>
      <c r="AH757" s="367"/>
      <c r="AI757" s="367"/>
      <c r="AJ757" s="367"/>
      <c r="AK757" s="367"/>
      <c r="AL757" s="367"/>
      <c r="AM757" s="367"/>
      <c r="AN757" s="367"/>
      <c r="AO757" s="367"/>
      <c r="AP757" s="367"/>
      <c r="AQ757" s="367"/>
      <c r="AR757" s="367"/>
      <c r="AS757" s="367"/>
      <c r="AT757" s="368"/>
      <c r="AU757" s="367"/>
    </row>
    <row r="758" spans="1:47" ht="12.75">
      <c r="A758" s="367"/>
      <c r="B758" s="367"/>
      <c r="C758" s="367"/>
      <c r="D758" s="367"/>
      <c r="E758" s="367"/>
      <c r="F758" s="367"/>
      <c r="G758" s="367"/>
      <c r="H758" s="367"/>
      <c r="I758" s="367"/>
      <c r="J758" s="367"/>
      <c r="K758" s="367"/>
      <c r="L758" s="367"/>
      <c r="M758" s="367"/>
      <c r="N758" s="367"/>
      <c r="O758" s="367"/>
      <c r="P758" s="364"/>
      <c r="Q758" s="365"/>
      <c r="R758" s="365"/>
      <c r="S758" s="365"/>
      <c r="T758" s="365"/>
      <c r="U758" s="366"/>
      <c r="V758" s="367"/>
      <c r="W758" s="367"/>
      <c r="X758" s="367"/>
      <c r="Y758" s="367"/>
      <c r="Z758" s="367"/>
      <c r="AA758" s="367"/>
      <c r="AB758" s="367"/>
      <c r="AC758" s="367"/>
      <c r="AD758" s="367"/>
      <c r="AE758" s="367"/>
      <c r="AF758" s="367"/>
      <c r="AG758" s="367"/>
      <c r="AH758" s="367"/>
      <c r="AI758" s="367"/>
      <c r="AJ758" s="367"/>
      <c r="AK758" s="367"/>
      <c r="AL758" s="367"/>
      <c r="AM758" s="367"/>
      <c r="AN758" s="367"/>
      <c r="AO758" s="367"/>
      <c r="AP758" s="367"/>
      <c r="AQ758" s="367"/>
      <c r="AR758" s="367"/>
      <c r="AS758" s="367"/>
      <c r="AT758" s="368"/>
      <c r="AU758" s="367"/>
    </row>
    <row r="759" spans="1:47" ht="12.75">
      <c r="A759" s="367"/>
      <c r="B759" s="367"/>
      <c r="C759" s="367"/>
      <c r="D759" s="367"/>
      <c r="E759" s="367"/>
      <c r="F759" s="367"/>
      <c r="G759" s="367"/>
      <c r="H759" s="367"/>
      <c r="I759" s="367"/>
      <c r="J759" s="367"/>
      <c r="K759" s="367"/>
      <c r="L759" s="367"/>
      <c r="M759" s="367"/>
      <c r="N759" s="367"/>
      <c r="O759" s="367"/>
      <c r="P759" s="364"/>
      <c r="Q759" s="365"/>
      <c r="R759" s="365"/>
      <c r="S759" s="365"/>
      <c r="T759" s="365"/>
      <c r="U759" s="366"/>
      <c r="V759" s="367"/>
      <c r="W759" s="367"/>
      <c r="X759" s="367"/>
      <c r="Y759" s="367"/>
      <c r="Z759" s="367"/>
      <c r="AA759" s="367"/>
      <c r="AB759" s="367"/>
      <c r="AC759" s="367"/>
      <c r="AD759" s="367"/>
      <c r="AE759" s="367"/>
      <c r="AF759" s="367"/>
      <c r="AG759" s="367"/>
      <c r="AH759" s="367"/>
      <c r="AI759" s="367"/>
      <c r="AJ759" s="367"/>
      <c r="AK759" s="367"/>
      <c r="AL759" s="367"/>
      <c r="AM759" s="367"/>
      <c r="AN759" s="367"/>
      <c r="AO759" s="367"/>
      <c r="AP759" s="367"/>
      <c r="AQ759" s="367"/>
      <c r="AR759" s="367"/>
      <c r="AS759" s="367"/>
      <c r="AT759" s="368"/>
      <c r="AU759" s="367"/>
    </row>
    <row r="760" spans="1:47" ht="12.75">
      <c r="A760" s="367"/>
      <c r="B760" s="367"/>
      <c r="C760" s="367"/>
      <c r="D760" s="367"/>
      <c r="E760" s="367"/>
      <c r="F760" s="367"/>
      <c r="G760" s="367"/>
      <c r="H760" s="367"/>
      <c r="I760" s="367"/>
      <c r="J760" s="367"/>
      <c r="K760" s="367"/>
      <c r="L760" s="367"/>
      <c r="M760" s="367"/>
      <c r="N760" s="367"/>
      <c r="O760" s="367"/>
      <c r="P760" s="364"/>
      <c r="Q760" s="365"/>
      <c r="R760" s="365"/>
      <c r="S760" s="365"/>
      <c r="T760" s="365"/>
      <c r="U760" s="366"/>
      <c r="V760" s="367"/>
      <c r="W760" s="367"/>
      <c r="X760" s="367"/>
      <c r="Y760" s="367"/>
      <c r="Z760" s="367"/>
      <c r="AA760" s="367"/>
      <c r="AB760" s="367"/>
      <c r="AC760" s="367"/>
      <c r="AD760" s="367"/>
      <c r="AE760" s="367"/>
      <c r="AF760" s="367"/>
      <c r="AG760" s="367"/>
      <c r="AH760" s="367"/>
      <c r="AI760" s="367"/>
      <c r="AJ760" s="367"/>
      <c r="AK760" s="367"/>
      <c r="AL760" s="367"/>
      <c r="AM760" s="367"/>
      <c r="AN760" s="367"/>
      <c r="AO760" s="367"/>
      <c r="AP760" s="367"/>
      <c r="AQ760" s="367"/>
      <c r="AR760" s="367"/>
      <c r="AS760" s="367"/>
      <c r="AT760" s="368"/>
      <c r="AU760" s="367"/>
    </row>
    <row r="761" spans="1:47" ht="12.75">
      <c r="A761" s="367"/>
      <c r="B761" s="367"/>
      <c r="C761" s="367"/>
      <c r="D761" s="367"/>
      <c r="E761" s="367"/>
      <c r="F761" s="367"/>
      <c r="G761" s="367"/>
      <c r="H761" s="367"/>
      <c r="I761" s="367"/>
      <c r="J761" s="367"/>
      <c r="K761" s="367"/>
      <c r="L761" s="367"/>
      <c r="M761" s="367"/>
      <c r="N761" s="367"/>
      <c r="O761" s="367"/>
      <c r="P761" s="364"/>
      <c r="Q761" s="365"/>
      <c r="R761" s="365"/>
      <c r="S761" s="365"/>
      <c r="T761" s="365"/>
      <c r="U761" s="366"/>
      <c r="V761" s="367"/>
      <c r="W761" s="367"/>
      <c r="X761" s="367"/>
      <c r="Y761" s="367"/>
      <c r="Z761" s="367"/>
      <c r="AA761" s="367"/>
      <c r="AB761" s="367"/>
      <c r="AC761" s="367"/>
      <c r="AD761" s="367"/>
      <c r="AE761" s="367"/>
      <c r="AF761" s="367"/>
      <c r="AG761" s="367"/>
      <c r="AH761" s="367"/>
      <c r="AI761" s="367"/>
      <c r="AJ761" s="367"/>
      <c r="AK761" s="367"/>
      <c r="AL761" s="367"/>
      <c r="AM761" s="367"/>
      <c r="AN761" s="367"/>
      <c r="AO761" s="367"/>
      <c r="AP761" s="367"/>
      <c r="AQ761" s="367"/>
      <c r="AR761" s="367"/>
      <c r="AS761" s="367"/>
      <c r="AT761" s="368"/>
      <c r="AU761" s="367"/>
    </row>
    <row r="762" spans="1:47" ht="12.75">
      <c r="A762" s="367"/>
      <c r="B762" s="367"/>
      <c r="C762" s="367"/>
      <c r="D762" s="367"/>
      <c r="E762" s="367"/>
      <c r="F762" s="367"/>
      <c r="G762" s="367"/>
      <c r="H762" s="367"/>
      <c r="I762" s="367"/>
      <c r="J762" s="367"/>
      <c r="K762" s="367"/>
      <c r="L762" s="367"/>
      <c r="M762" s="367"/>
      <c r="N762" s="367"/>
      <c r="O762" s="367"/>
      <c r="P762" s="364"/>
      <c r="Q762" s="365"/>
      <c r="R762" s="365"/>
      <c r="S762" s="365"/>
      <c r="T762" s="365"/>
      <c r="U762" s="366"/>
      <c r="V762" s="367"/>
      <c r="W762" s="367"/>
      <c r="X762" s="367"/>
      <c r="Y762" s="367"/>
      <c r="Z762" s="367"/>
      <c r="AA762" s="367"/>
      <c r="AB762" s="367"/>
      <c r="AC762" s="367"/>
      <c r="AD762" s="367"/>
      <c r="AE762" s="367"/>
      <c r="AF762" s="367"/>
      <c r="AG762" s="367"/>
      <c r="AH762" s="367"/>
      <c r="AI762" s="367"/>
      <c r="AJ762" s="367"/>
      <c r="AK762" s="367"/>
      <c r="AL762" s="367"/>
      <c r="AM762" s="367"/>
      <c r="AN762" s="367"/>
      <c r="AO762" s="367"/>
      <c r="AP762" s="367"/>
      <c r="AQ762" s="367"/>
      <c r="AR762" s="367"/>
      <c r="AS762" s="367"/>
      <c r="AT762" s="368"/>
      <c r="AU762" s="367"/>
    </row>
    <row r="763" spans="1:47" ht="12.75">
      <c r="A763" s="367"/>
      <c r="B763" s="367"/>
      <c r="C763" s="367"/>
      <c r="D763" s="367"/>
      <c r="E763" s="367"/>
      <c r="F763" s="367"/>
      <c r="G763" s="367"/>
      <c r="H763" s="367"/>
      <c r="I763" s="367"/>
      <c r="J763" s="367"/>
      <c r="K763" s="367"/>
      <c r="L763" s="367"/>
      <c r="M763" s="367"/>
      <c r="N763" s="367"/>
      <c r="O763" s="367"/>
      <c r="P763" s="364"/>
      <c r="Q763" s="365"/>
      <c r="R763" s="365"/>
      <c r="S763" s="365"/>
      <c r="T763" s="365"/>
      <c r="U763" s="366"/>
      <c r="V763" s="367"/>
      <c r="W763" s="367"/>
      <c r="X763" s="367"/>
      <c r="Y763" s="367"/>
      <c r="Z763" s="367"/>
      <c r="AA763" s="367"/>
      <c r="AB763" s="367"/>
      <c r="AC763" s="367"/>
      <c r="AD763" s="367"/>
      <c r="AE763" s="367"/>
      <c r="AF763" s="367"/>
      <c r="AG763" s="367"/>
      <c r="AH763" s="367"/>
      <c r="AI763" s="367"/>
      <c r="AJ763" s="367"/>
      <c r="AK763" s="367"/>
      <c r="AL763" s="367"/>
      <c r="AM763" s="367"/>
      <c r="AN763" s="367"/>
      <c r="AO763" s="367"/>
      <c r="AP763" s="367"/>
      <c r="AQ763" s="367"/>
      <c r="AR763" s="367"/>
      <c r="AS763" s="367"/>
      <c r="AT763" s="368"/>
      <c r="AU763" s="367"/>
    </row>
    <row r="764" spans="1:47" ht="12.75">
      <c r="A764" s="367"/>
      <c r="B764" s="367"/>
      <c r="C764" s="367"/>
      <c r="D764" s="367"/>
      <c r="E764" s="367"/>
      <c r="F764" s="367"/>
      <c r="G764" s="367"/>
      <c r="H764" s="367"/>
      <c r="I764" s="367"/>
      <c r="J764" s="367"/>
      <c r="K764" s="367"/>
      <c r="L764" s="367"/>
      <c r="M764" s="367"/>
      <c r="N764" s="367"/>
      <c r="O764" s="367"/>
      <c r="P764" s="364"/>
      <c r="Q764" s="365"/>
      <c r="R764" s="365"/>
      <c r="S764" s="365"/>
      <c r="T764" s="365"/>
      <c r="U764" s="366"/>
      <c r="V764" s="367"/>
      <c r="W764" s="367"/>
      <c r="X764" s="367"/>
      <c r="Y764" s="367"/>
      <c r="Z764" s="367"/>
      <c r="AA764" s="367"/>
      <c r="AB764" s="367"/>
      <c r="AC764" s="367"/>
      <c r="AD764" s="367"/>
      <c r="AE764" s="367"/>
      <c r="AF764" s="367"/>
      <c r="AG764" s="367"/>
      <c r="AH764" s="367"/>
      <c r="AI764" s="367"/>
      <c r="AJ764" s="367"/>
      <c r="AK764" s="367"/>
      <c r="AL764" s="367"/>
      <c r="AM764" s="367"/>
      <c r="AN764" s="367"/>
      <c r="AO764" s="367"/>
      <c r="AP764" s="367"/>
      <c r="AQ764" s="367"/>
      <c r="AR764" s="367"/>
      <c r="AS764" s="367"/>
      <c r="AT764" s="368"/>
      <c r="AU764" s="367"/>
    </row>
    <row r="765" spans="1:47" ht="12.75">
      <c r="A765" s="367"/>
      <c r="B765" s="367"/>
      <c r="C765" s="367"/>
      <c r="D765" s="367"/>
      <c r="E765" s="367"/>
      <c r="F765" s="367"/>
      <c r="G765" s="367"/>
      <c r="H765" s="367"/>
      <c r="I765" s="367"/>
      <c r="J765" s="367"/>
      <c r="K765" s="367"/>
      <c r="L765" s="367"/>
      <c r="M765" s="367"/>
      <c r="N765" s="367"/>
      <c r="O765" s="367"/>
      <c r="P765" s="364"/>
      <c r="Q765" s="365"/>
      <c r="R765" s="365"/>
      <c r="S765" s="365"/>
      <c r="T765" s="365"/>
      <c r="U765" s="366"/>
      <c r="V765" s="367"/>
      <c r="W765" s="367"/>
      <c r="X765" s="367"/>
      <c r="Y765" s="367"/>
      <c r="Z765" s="367"/>
      <c r="AA765" s="367"/>
      <c r="AB765" s="367"/>
      <c r="AC765" s="367"/>
      <c r="AD765" s="367"/>
      <c r="AE765" s="367"/>
      <c r="AF765" s="367"/>
      <c r="AG765" s="367"/>
      <c r="AH765" s="367"/>
      <c r="AI765" s="367"/>
      <c r="AJ765" s="367"/>
      <c r="AK765" s="367"/>
      <c r="AL765" s="367"/>
      <c r="AM765" s="367"/>
      <c r="AN765" s="367"/>
      <c r="AO765" s="367"/>
      <c r="AP765" s="367"/>
      <c r="AQ765" s="367"/>
      <c r="AR765" s="367"/>
      <c r="AS765" s="367"/>
      <c r="AT765" s="368"/>
      <c r="AU765" s="367"/>
    </row>
    <row r="766" spans="1:47" ht="12.75">
      <c r="A766" s="367"/>
      <c r="B766" s="367"/>
      <c r="C766" s="367"/>
      <c r="D766" s="367"/>
      <c r="E766" s="367"/>
      <c r="F766" s="367"/>
      <c r="G766" s="367"/>
      <c r="H766" s="367"/>
      <c r="I766" s="367"/>
      <c r="J766" s="367"/>
      <c r="K766" s="367"/>
      <c r="L766" s="367"/>
      <c r="M766" s="367"/>
      <c r="N766" s="367"/>
      <c r="O766" s="367"/>
      <c r="P766" s="364"/>
      <c r="Q766" s="365"/>
      <c r="R766" s="365"/>
      <c r="S766" s="365"/>
      <c r="T766" s="365"/>
      <c r="U766" s="366"/>
      <c r="V766" s="367"/>
      <c r="W766" s="367"/>
      <c r="X766" s="367"/>
      <c r="Y766" s="367"/>
      <c r="Z766" s="367"/>
      <c r="AA766" s="367"/>
      <c r="AB766" s="367"/>
      <c r="AC766" s="367"/>
      <c r="AD766" s="367"/>
      <c r="AE766" s="367"/>
      <c r="AF766" s="367"/>
      <c r="AG766" s="367"/>
      <c r="AH766" s="367"/>
      <c r="AI766" s="367"/>
      <c r="AJ766" s="367"/>
      <c r="AK766" s="367"/>
      <c r="AL766" s="367"/>
      <c r="AM766" s="367"/>
      <c r="AN766" s="367"/>
      <c r="AO766" s="367"/>
      <c r="AP766" s="367"/>
      <c r="AQ766" s="367"/>
      <c r="AR766" s="367"/>
      <c r="AS766" s="367"/>
      <c r="AT766" s="368"/>
      <c r="AU766" s="367"/>
    </row>
    <row r="767" spans="1:47" ht="12.75">
      <c r="A767" s="367"/>
      <c r="B767" s="367"/>
      <c r="C767" s="367"/>
      <c r="D767" s="367"/>
      <c r="E767" s="367"/>
      <c r="F767" s="367"/>
      <c r="G767" s="367"/>
      <c r="H767" s="367"/>
      <c r="I767" s="367"/>
      <c r="J767" s="367"/>
      <c r="K767" s="367"/>
      <c r="L767" s="367"/>
      <c r="M767" s="367"/>
      <c r="N767" s="367"/>
      <c r="O767" s="367"/>
      <c r="P767" s="364"/>
      <c r="Q767" s="365"/>
      <c r="R767" s="365"/>
      <c r="S767" s="365"/>
      <c r="T767" s="365"/>
      <c r="U767" s="366"/>
      <c r="V767" s="367"/>
      <c r="W767" s="367"/>
      <c r="X767" s="367"/>
      <c r="Y767" s="367"/>
      <c r="Z767" s="367"/>
      <c r="AA767" s="367"/>
      <c r="AB767" s="367"/>
      <c r="AC767" s="367"/>
      <c r="AD767" s="367"/>
      <c r="AE767" s="367"/>
      <c r="AF767" s="367"/>
      <c r="AG767" s="367"/>
      <c r="AH767" s="367"/>
      <c r="AI767" s="367"/>
      <c r="AJ767" s="367"/>
      <c r="AK767" s="367"/>
      <c r="AL767" s="367"/>
      <c r="AM767" s="367"/>
      <c r="AN767" s="367"/>
      <c r="AO767" s="367"/>
      <c r="AP767" s="367"/>
      <c r="AQ767" s="367"/>
      <c r="AR767" s="367"/>
      <c r="AS767" s="367"/>
      <c r="AT767" s="368"/>
      <c r="AU767" s="367"/>
    </row>
    <row r="768" spans="1:47" ht="12.75">
      <c r="A768" s="367"/>
      <c r="B768" s="367"/>
      <c r="C768" s="367"/>
      <c r="D768" s="367"/>
      <c r="E768" s="367"/>
      <c r="F768" s="367"/>
      <c r="G768" s="367"/>
      <c r="H768" s="367"/>
      <c r="I768" s="367"/>
      <c r="J768" s="367"/>
      <c r="K768" s="367"/>
      <c r="L768" s="367"/>
      <c r="M768" s="367"/>
      <c r="N768" s="367"/>
      <c r="O768" s="367"/>
      <c r="P768" s="364"/>
      <c r="Q768" s="365"/>
      <c r="R768" s="365"/>
      <c r="S768" s="365"/>
      <c r="T768" s="365"/>
      <c r="U768" s="366"/>
      <c r="V768" s="367"/>
      <c r="W768" s="367"/>
      <c r="X768" s="367"/>
      <c r="Y768" s="367"/>
      <c r="Z768" s="367"/>
      <c r="AA768" s="367"/>
      <c r="AB768" s="367"/>
      <c r="AC768" s="367"/>
      <c r="AD768" s="367"/>
      <c r="AE768" s="367"/>
      <c r="AF768" s="367"/>
      <c r="AG768" s="367"/>
      <c r="AH768" s="367"/>
      <c r="AI768" s="367"/>
      <c r="AJ768" s="367"/>
      <c r="AK768" s="367"/>
      <c r="AL768" s="367"/>
      <c r="AM768" s="367"/>
      <c r="AN768" s="367"/>
      <c r="AO768" s="367"/>
      <c r="AP768" s="367"/>
      <c r="AQ768" s="367"/>
      <c r="AR768" s="367"/>
      <c r="AS768" s="367"/>
      <c r="AT768" s="368"/>
      <c r="AU768" s="367"/>
    </row>
    <row r="769" spans="1:47" ht="12.75">
      <c r="A769" s="367"/>
      <c r="B769" s="367"/>
      <c r="C769" s="367"/>
      <c r="D769" s="367"/>
      <c r="E769" s="367"/>
      <c r="F769" s="367"/>
      <c r="G769" s="367"/>
      <c r="H769" s="367"/>
      <c r="I769" s="367"/>
      <c r="J769" s="367"/>
      <c r="K769" s="367"/>
      <c r="L769" s="367"/>
      <c r="M769" s="367"/>
      <c r="N769" s="367"/>
      <c r="O769" s="367"/>
      <c r="P769" s="364"/>
      <c r="Q769" s="365"/>
      <c r="R769" s="365"/>
      <c r="S769" s="365"/>
      <c r="T769" s="365"/>
      <c r="U769" s="366"/>
      <c r="V769" s="367"/>
      <c r="W769" s="367"/>
      <c r="X769" s="367"/>
      <c r="Y769" s="367"/>
      <c r="Z769" s="367"/>
      <c r="AA769" s="367"/>
      <c r="AB769" s="367"/>
      <c r="AC769" s="367"/>
      <c r="AD769" s="367"/>
      <c r="AE769" s="367"/>
      <c r="AF769" s="367"/>
      <c r="AG769" s="367"/>
      <c r="AH769" s="367"/>
      <c r="AI769" s="367"/>
      <c r="AJ769" s="367"/>
      <c r="AK769" s="367"/>
      <c r="AL769" s="367"/>
      <c r="AM769" s="367"/>
      <c r="AN769" s="367"/>
      <c r="AO769" s="367"/>
      <c r="AP769" s="367"/>
      <c r="AQ769" s="367"/>
      <c r="AR769" s="367"/>
      <c r="AS769" s="367"/>
      <c r="AT769" s="368"/>
      <c r="AU769" s="367"/>
    </row>
    <row r="770" spans="1:47" ht="12.75">
      <c r="A770" s="367"/>
      <c r="B770" s="367"/>
      <c r="C770" s="367"/>
      <c r="D770" s="367"/>
      <c r="E770" s="367"/>
      <c r="F770" s="367"/>
      <c r="G770" s="367"/>
      <c r="H770" s="367"/>
      <c r="I770" s="367"/>
      <c r="J770" s="367"/>
      <c r="K770" s="367"/>
      <c r="L770" s="367"/>
      <c r="M770" s="367"/>
      <c r="N770" s="367"/>
      <c r="O770" s="367"/>
      <c r="P770" s="364"/>
      <c r="Q770" s="365"/>
      <c r="R770" s="365"/>
      <c r="S770" s="365"/>
      <c r="T770" s="365"/>
      <c r="U770" s="366"/>
      <c r="V770" s="367"/>
      <c r="W770" s="367"/>
      <c r="X770" s="367"/>
      <c r="Y770" s="367"/>
      <c r="Z770" s="367"/>
      <c r="AA770" s="367"/>
      <c r="AB770" s="367"/>
      <c r="AC770" s="367"/>
      <c r="AD770" s="367"/>
      <c r="AE770" s="367"/>
      <c r="AF770" s="367"/>
      <c r="AG770" s="367"/>
      <c r="AH770" s="367"/>
      <c r="AI770" s="367"/>
      <c r="AJ770" s="367"/>
      <c r="AK770" s="367"/>
      <c r="AL770" s="367"/>
      <c r="AM770" s="367"/>
      <c r="AN770" s="367"/>
      <c r="AO770" s="367"/>
      <c r="AP770" s="367"/>
      <c r="AQ770" s="367"/>
      <c r="AR770" s="367"/>
      <c r="AS770" s="367"/>
      <c r="AT770" s="368"/>
      <c r="AU770" s="367"/>
    </row>
    <row r="771" spans="1:47" ht="12.75">
      <c r="A771" s="367"/>
      <c r="B771" s="367"/>
      <c r="C771" s="367"/>
      <c r="D771" s="367"/>
      <c r="E771" s="367"/>
      <c r="F771" s="367"/>
      <c r="G771" s="367"/>
      <c r="H771" s="367"/>
      <c r="I771" s="367"/>
      <c r="J771" s="367"/>
      <c r="K771" s="367"/>
      <c r="L771" s="367"/>
      <c r="M771" s="367"/>
      <c r="N771" s="367"/>
      <c r="O771" s="367"/>
      <c r="P771" s="364"/>
      <c r="Q771" s="365"/>
      <c r="R771" s="365"/>
      <c r="S771" s="365"/>
      <c r="T771" s="365"/>
      <c r="U771" s="366"/>
      <c r="V771" s="367"/>
      <c r="W771" s="367"/>
      <c r="X771" s="367"/>
      <c r="Y771" s="367"/>
      <c r="Z771" s="367"/>
      <c r="AA771" s="367"/>
      <c r="AB771" s="367"/>
      <c r="AC771" s="367"/>
      <c r="AD771" s="367"/>
      <c r="AE771" s="367"/>
      <c r="AF771" s="367"/>
      <c r="AG771" s="367"/>
      <c r="AH771" s="367"/>
      <c r="AI771" s="367"/>
      <c r="AJ771" s="367"/>
      <c r="AK771" s="367"/>
      <c r="AL771" s="367"/>
      <c r="AM771" s="367"/>
      <c r="AN771" s="367"/>
      <c r="AO771" s="367"/>
      <c r="AP771" s="367"/>
      <c r="AQ771" s="367"/>
      <c r="AR771" s="367"/>
      <c r="AS771" s="367"/>
      <c r="AT771" s="368"/>
      <c r="AU771" s="367"/>
    </row>
    <row r="772" spans="1:47" ht="12.75">
      <c r="A772" s="367"/>
      <c r="B772" s="367"/>
      <c r="C772" s="367"/>
      <c r="D772" s="367"/>
      <c r="E772" s="367"/>
      <c r="F772" s="367"/>
      <c r="G772" s="367"/>
      <c r="H772" s="367"/>
      <c r="I772" s="367"/>
      <c r="J772" s="367"/>
      <c r="K772" s="367"/>
      <c r="L772" s="367"/>
      <c r="M772" s="367"/>
      <c r="N772" s="367"/>
      <c r="O772" s="367"/>
      <c r="P772" s="364"/>
      <c r="Q772" s="365"/>
      <c r="R772" s="365"/>
      <c r="S772" s="365"/>
      <c r="T772" s="365"/>
      <c r="U772" s="366"/>
      <c r="V772" s="367"/>
      <c r="W772" s="367"/>
      <c r="X772" s="367"/>
      <c r="Y772" s="367"/>
      <c r="Z772" s="367"/>
      <c r="AA772" s="367"/>
      <c r="AB772" s="367"/>
      <c r="AC772" s="367"/>
      <c r="AD772" s="367"/>
      <c r="AE772" s="367"/>
      <c r="AF772" s="367"/>
      <c r="AG772" s="367"/>
      <c r="AH772" s="367"/>
      <c r="AI772" s="367"/>
      <c r="AJ772" s="367"/>
      <c r="AK772" s="367"/>
      <c r="AL772" s="367"/>
      <c r="AM772" s="367"/>
      <c r="AN772" s="367"/>
      <c r="AO772" s="367"/>
      <c r="AP772" s="367"/>
      <c r="AQ772" s="367"/>
      <c r="AR772" s="367"/>
      <c r="AS772" s="367"/>
      <c r="AT772" s="368"/>
      <c r="AU772" s="367"/>
    </row>
    <row r="773" spans="1:47" ht="12.75">
      <c r="A773" s="367"/>
      <c r="B773" s="367"/>
      <c r="C773" s="367"/>
      <c r="D773" s="367"/>
      <c r="E773" s="367"/>
      <c r="F773" s="367"/>
      <c r="G773" s="367"/>
      <c r="H773" s="367"/>
      <c r="I773" s="367"/>
      <c r="J773" s="367"/>
      <c r="K773" s="367"/>
      <c r="L773" s="367"/>
      <c r="M773" s="367"/>
      <c r="N773" s="367"/>
      <c r="O773" s="367"/>
      <c r="P773" s="364"/>
      <c r="Q773" s="365"/>
      <c r="R773" s="365"/>
      <c r="S773" s="365"/>
      <c r="T773" s="365"/>
      <c r="U773" s="366"/>
      <c r="V773" s="367"/>
      <c r="W773" s="367"/>
      <c r="X773" s="367"/>
      <c r="Y773" s="367"/>
      <c r="Z773" s="367"/>
      <c r="AA773" s="367"/>
      <c r="AB773" s="367"/>
      <c r="AC773" s="367"/>
      <c r="AD773" s="367"/>
      <c r="AE773" s="367"/>
      <c r="AF773" s="367"/>
      <c r="AG773" s="367"/>
      <c r="AH773" s="367"/>
      <c r="AI773" s="367"/>
      <c r="AJ773" s="367"/>
      <c r="AK773" s="367"/>
      <c r="AL773" s="367"/>
      <c r="AM773" s="367"/>
      <c r="AN773" s="367"/>
      <c r="AO773" s="367"/>
      <c r="AP773" s="367"/>
      <c r="AQ773" s="367"/>
      <c r="AR773" s="367"/>
      <c r="AS773" s="367"/>
      <c r="AT773" s="368"/>
      <c r="AU773" s="367"/>
    </row>
    <row r="774" spans="1:47" ht="12.75">
      <c r="A774" s="367"/>
      <c r="B774" s="367"/>
      <c r="C774" s="367"/>
      <c r="D774" s="367"/>
      <c r="E774" s="367"/>
      <c r="F774" s="367"/>
      <c r="G774" s="367"/>
      <c r="H774" s="367"/>
      <c r="I774" s="367"/>
      <c r="J774" s="367"/>
      <c r="K774" s="367"/>
      <c r="L774" s="367"/>
      <c r="M774" s="367"/>
      <c r="N774" s="367"/>
      <c r="O774" s="367"/>
      <c r="P774" s="364"/>
      <c r="Q774" s="365"/>
      <c r="R774" s="365"/>
      <c r="S774" s="365"/>
      <c r="T774" s="365"/>
      <c r="U774" s="366"/>
      <c r="V774" s="367"/>
      <c r="W774" s="367"/>
      <c r="X774" s="367"/>
      <c r="Y774" s="367"/>
      <c r="Z774" s="367"/>
      <c r="AA774" s="367"/>
      <c r="AB774" s="367"/>
      <c r="AC774" s="367"/>
      <c r="AD774" s="367"/>
      <c r="AE774" s="367"/>
      <c r="AF774" s="367"/>
      <c r="AG774" s="367"/>
      <c r="AH774" s="367"/>
      <c r="AI774" s="367"/>
      <c r="AJ774" s="367"/>
      <c r="AK774" s="367"/>
      <c r="AL774" s="367"/>
      <c r="AM774" s="367"/>
      <c r="AN774" s="367"/>
      <c r="AO774" s="367"/>
      <c r="AP774" s="367"/>
      <c r="AQ774" s="367"/>
      <c r="AR774" s="367"/>
      <c r="AS774" s="367"/>
      <c r="AT774" s="368"/>
      <c r="AU774" s="367"/>
    </row>
    <row r="775" spans="1:47" ht="12.75">
      <c r="A775" s="367"/>
      <c r="B775" s="367"/>
      <c r="C775" s="367"/>
      <c r="D775" s="367"/>
      <c r="E775" s="367"/>
      <c r="F775" s="367"/>
      <c r="G775" s="367"/>
      <c r="H775" s="367"/>
      <c r="I775" s="367"/>
      <c r="J775" s="367"/>
      <c r="K775" s="367"/>
      <c r="L775" s="367"/>
      <c r="M775" s="367"/>
      <c r="N775" s="367"/>
      <c r="O775" s="367"/>
      <c r="P775" s="364"/>
      <c r="Q775" s="365"/>
      <c r="R775" s="365"/>
      <c r="S775" s="365"/>
      <c r="T775" s="365"/>
      <c r="U775" s="366"/>
      <c r="V775" s="367"/>
      <c r="W775" s="367"/>
      <c r="X775" s="367"/>
      <c r="Y775" s="367"/>
      <c r="Z775" s="367"/>
      <c r="AA775" s="367"/>
      <c r="AB775" s="367"/>
      <c r="AC775" s="367"/>
      <c r="AD775" s="367"/>
      <c r="AE775" s="367"/>
      <c r="AF775" s="367"/>
      <c r="AG775" s="367"/>
      <c r="AH775" s="367"/>
      <c r="AI775" s="367"/>
      <c r="AJ775" s="367"/>
      <c r="AK775" s="367"/>
      <c r="AL775" s="367"/>
      <c r="AM775" s="367"/>
      <c r="AN775" s="367"/>
      <c r="AO775" s="367"/>
      <c r="AP775" s="367"/>
      <c r="AQ775" s="367"/>
      <c r="AR775" s="367"/>
      <c r="AS775" s="367"/>
      <c r="AT775" s="368"/>
      <c r="AU775" s="367"/>
    </row>
    <row r="776" spans="1:47" ht="12.75">
      <c r="A776" s="367"/>
      <c r="B776" s="367"/>
      <c r="C776" s="367"/>
      <c r="D776" s="367"/>
      <c r="E776" s="367"/>
      <c r="F776" s="367"/>
      <c r="G776" s="367"/>
      <c r="H776" s="367"/>
      <c r="I776" s="367"/>
      <c r="J776" s="367"/>
      <c r="K776" s="367"/>
      <c r="L776" s="367"/>
      <c r="M776" s="367"/>
      <c r="N776" s="367"/>
      <c r="O776" s="367"/>
      <c r="P776" s="364"/>
      <c r="Q776" s="365"/>
      <c r="R776" s="365"/>
      <c r="S776" s="365"/>
      <c r="T776" s="365"/>
      <c r="U776" s="366"/>
      <c r="V776" s="367"/>
      <c r="W776" s="367"/>
      <c r="X776" s="367"/>
      <c r="Y776" s="367"/>
      <c r="Z776" s="367"/>
      <c r="AA776" s="367"/>
      <c r="AB776" s="367"/>
      <c r="AC776" s="367"/>
      <c r="AD776" s="367"/>
      <c r="AE776" s="367"/>
      <c r="AF776" s="367"/>
      <c r="AG776" s="367"/>
      <c r="AH776" s="367"/>
      <c r="AI776" s="367"/>
      <c r="AJ776" s="367"/>
      <c r="AK776" s="367"/>
      <c r="AL776" s="367"/>
      <c r="AM776" s="367"/>
      <c r="AN776" s="367"/>
      <c r="AO776" s="367"/>
      <c r="AP776" s="367"/>
      <c r="AQ776" s="367"/>
      <c r="AR776" s="367"/>
      <c r="AS776" s="367"/>
      <c r="AT776" s="368"/>
      <c r="AU776" s="367"/>
    </row>
    <row r="777" spans="1:47" ht="12.75">
      <c r="A777" s="367"/>
      <c r="B777" s="367"/>
      <c r="C777" s="367"/>
      <c r="D777" s="367"/>
      <c r="E777" s="367"/>
      <c r="F777" s="367"/>
      <c r="G777" s="367"/>
      <c r="H777" s="367"/>
      <c r="I777" s="367"/>
      <c r="J777" s="367"/>
      <c r="K777" s="367"/>
      <c r="L777" s="367"/>
      <c r="M777" s="367"/>
      <c r="N777" s="367"/>
      <c r="O777" s="367"/>
      <c r="P777" s="364"/>
      <c r="Q777" s="365"/>
      <c r="R777" s="365"/>
      <c r="S777" s="365"/>
      <c r="T777" s="365"/>
      <c r="U777" s="366"/>
      <c r="V777" s="367"/>
      <c r="W777" s="367"/>
      <c r="X777" s="367"/>
      <c r="Y777" s="367"/>
      <c r="Z777" s="367"/>
      <c r="AA777" s="367"/>
      <c r="AB777" s="367"/>
      <c r="AC777" s="367"/>
      <c r="AD777" s="367"/>
      <c r="AE777" s="367"/>
      <c r="AF777" s="367"/>
      <c r="AG777" s="367"/>
      <c r="AH777" s="367"/>
      <c r="AI777" s="367"/>
      <c r="AJ777" s="367"/>
      <c r="AK777" s="367"/>
      <c r="AL777" s="367"/>
      <c r="AM777" s="367"/>
      <c r="AN777" s="367"/>
      <c r="AO777" s="367"/>
      <c r="AP777" s="367"/>
      <c r="AQ777" s="367"/>
      <c r="AR777" s="367"/>
      <c r="AS777" s="367"/>
      <c r="AT777" s="368"/>
      <c r="AU777" s="367"/>
    </row>
    <row r="778" spans="1:47" ht="12.75">
      <c r="A778" s="367"/>
      <c r="B778" s="367"/>
      <c r="C778" s="367"/>
      <c r="D778" s="367"/>
      <c r="E778" s="367"/>
      <c r="F778" s="367"/>
      <c r="G778" s="367"/>
      <c r="H778" s="367"/>
      <c r="I778" s="367"/>
      <c r="J778" s="367"/>
      <c r="K778" s="367"/>
      <c r="L778" s="367"/>
      <c r="M778" s="367"/>
      <c r="N778" s="367"/>
      <c r="O778" s="367"/>
      <c r="P778" s="364"/>
      <c r="Q778" s="365"/>
      <c r="R778" s="365"/>
      <c r="S778" s="365"/>
      <c r="T778" s="365"/>
      <c r="U778" s="366"/>
      <c r="V778" s="367"/>
      <c r="W778" s="367"/>
      <c r="X778" s="367"/>
      <c r="Y778" s="367"/>
      <c r="Z778" s="367"/>
      <c r="AA778" s="367"/>
      <c r="AB778" s="367"/>
      <c r="AC778" s="367"/>
      <c r="AD778" s="367"/>
      <c r="AE778" s="367"/>
      <c r="AF778" s="367"/>
      <c r="AG778" s="367"/>
      <c r="AH778" s="367"/>
      <c r="AI778" s="367"/>
      <c r="AJ778" s="367"/>
      <c r="AK778" s="367"/>
      <c r="AL778" s="367"/>
      <c r="AM778" s="367"/>
      <c r="AN778" s="367"/>
      <c r="AO778" s="367"/>
      <c r="AP778" s="367"/>
      <c r="AQ778" s="367"/>
      <c r="AR778" s="367"/>
      <c r="AS778" s="367"/>
      <c r="AT778" s="368"/>
      <c r="AU778" s="367"/>
    </row>
    <row r="779" spans="1:47" ht="12.75">
      <c r="A779" s="367"/>
      <c r="B779" s="367"/>
      <c r="C779" s="367"/>
      <c r="D779" s="367"/>
      <c r="E779" s="367"/>
      <c r="F779" s="367"/>
      <c r="G779" s="367"/>
      <c r="H779" s="367"/>
      <c r="I779" s="367"/>
      <c r="J779" s="367"/>
      <c r="K779" s="367"/>
      <c r="L779" s="367"/>
      <c r="M779" s="367"/>
      <c r="N779" s="367"/>
      <c r="O779" s="367"/>
      <c r="P779" s="364"/>
      <c r="Q779" s="365"/>
      <c r="R779" s="365"/>
      <c r="S779" s="365"/>
      <c r="T779" s="365"/>
      <c r="U779" s="366"/>
      <c r="V779" s="367"/>
      <c r="W779" s="367"/>
      <c r="X779" s="367"/>
      <c r="Y779" s="367"/>
      <c r="Z779" s="367"/>
      <c r="AA779" s="367"/>
      <c r="AB779" s="367"/>
      <c r="AC779" s="367"/>
      <c r="AD779" s="367"/>
      <c r="AE779" s="367"/>
      <c r="AF779" s="367"/>
      <c r="AG779" s="367"/>
      <c r="AH779" s="367"/>
      <c r="AI779" s="367"/>
      <c r="AJ779" s="367"/>
      <c r="AK779" s="367"/>
      <c r="AL779" s="367"/>
      <c r="AM779" s="367"/>
      <c r="AN779" s="367"/>
      <c r="AO779" s="367"/>
      <c r="AP779" s="367"/>
      <c r="AQ779" s="367"/>
      <c r="AR779" s="367"/>
      <c r="AS779" s="367"/>
      <c r="AT779" s="368"/>
      <c r="AU779" s="367"/>
    </row>
    <row r="780" spans="1:47" ht="12.75">
      <c r="A780" s="367"/>
      <c r="B780" s="367"/>
      <c r="C780" s="367"/>
      <c r="D780" s="367"/>
      <c r="E780" s="367"/>
      <c r="F780" s="367"/>
      <c r="G780" s="367"/>
      <c r="H780" s="367"/>
      <c r="I780" s="367"/>
      <c r="J780" s="367"/>
      <c r="K780" s="367"/>
      <c r="L780" s="367"/>
      <c r="M780" s="367"/>
      <c r="N780" s="367"/>
      <c r="O780" s="367"/>
      <c r="P780" s="364"/>
      <c r="Q780" s="365"/>
      <c r="R780" s="365"/>
      <c r="S780" s="365"/>
      <c r="T780" s="365"/>
      <c r="U780" s="366"/>
      <c r="V780" s="367"/>
      <c r="W780" s="367"/>
      <c r="X780" s="367"/>
      <c r="Y780" s="367"/>
      <c r="Z780" s="367"/>
      <c r="AA780" s="367"/>
      <c r="AB780" s="367"/>
      <c r="AC780" s="367"/>
      <c r="AD780" s="367"/>
      <c r="AE780" s="367"/>
      <c r="AF780" s="367"/>
      <c r="AG780" s="367"/>
      <c r="AH780" s="367"/>
      <c r="AI780" s="367"/>
      <c r="AJ780" s="367"/>
      <c r="AK780" s="367"/>
      <c r="AL780" s="367"/>
      <c r="AM780" s="367"/>
      <c r="AN780" s="367"/>
      <c r="AO780" s="367"/>
      <c r="AP780" s="367"/>
      <c r="AQ780" s="367"/>
      <c r="AR780" s="367"/>
      <c r="AS780" s="367"/>
      <c r="AT780" s="368"/>
      <c r="AU780" s="367"/>
    </row>
    <row r="781" spans="1:47" ht="12.75">
      <c r="A781" s="367"/>
      <c r="B781" s="367"/>
      <c r="C781" s="367"/>
      <c r="D781" s="367"/>
      <c r="E781" s="367"/>
      <c r="F781" s="367"/>
      <c r="G781" s="367"/>
      <c r="H781" s="367"/>
      <c r="I781" s="367"/>
      <c r="J781" s="367"/>
      <c r="K781" s="367"/>
      <c r="L781" s="367"/>
      <c r="M781" s="367"/>
      <c r="N781" s="367"/>
      <c r="O781" s="367"/>
      <c r="P781" s="364"/>
      <c r="Q781" s="365"/>
      <c r="R781" s="365"/>
      <c r="S781" s="365"/>
      <c r="T781" s="365"/>
      <c r="U781" s="366"/>
      <c r="V781" s="367"/>
      <c r="W781" s="367"/>
      <c r="X781" s="367"/>
      <c r="Y781" s="367"/>
      <c r="Z781" s="367"/>
      <c r="AA781" s="367"/>
      <c r="AB781" s="367"/>
      <c r="AC781" s="367"/>
      <c r="AD781" s="367"/>
      <c r="AE781" s="367"/>
      <c r="AF781" s="367"/>
      <c r="AG781" s="367"/>
      <c r="AH781" s="367"/>
      <c r="AI781" s="367"/>
      <c r="AJ781" s="367"/>
      <c r="AK781" s="367"/>
      <c r="AL781" s="367"/>
      <c r="AM781" s="367"/>
      <c r="AN781" s="367"/>
      <c r="AO781" s="367"/>
      <c r="AP781" s="367"/>
      <c r="AQ781" s="367"/>
      <c r="AR781" s="367"/>
      <c r="AS781" s="367"/>
      <c r="AT781" s="368"/>
      <c r="AU781" s="367"/>
    </row>
    <row r="782" spans="1:47" ht="12.75">
      <c r="A782" s="367"/>
      <c r="B782" s="367"/>
      <c r="C782" s="367"/>
      <c r="D782" s="367"/>
      <c r="E782" s="367"/>
      <c r="F782" s="367"/>
      <c r="G782" s="367"/>
      <c r="H782" s="367"/>
      <c r="I782" s="367"/>
      <c r="J782" s="367"/>
      <c r="K782" s="367"/>
      <c r="L782" s="367"/>
      <c r="M782" s="367"/>
      <c r="N782" s="367"/>
      <c r="O782" s="367"/>
      <c r="P782" s="364"/>
      <c r="Q782" s="365"/>
      <c r="R782" s="365"/>
      <c r="S782" s="365"/>
      <c r="T782" s="365"/>
      <c r="U782" s="366"/>
      <c r="V782" s="367"/>
      <c r="W782" s="367"/>
      <c r="X782" s="367"/>
      <c r="Y782" s="367"/>
      <c r="Z782" s="367"/>
      <c r="AA782" s="367"/>
      <c r="AB782" s="367"/>
      <c r="AC782" s="367"/>
      <c r="AD782" s="367"/>
      <c r="AE782" s="367"/>
      <c r="AF782" s="367"/>
      <c r="AG782" s="367"/>
      <c r="AH782" s="367"/>
      <c r="AI782" s="367"/>
      <c r="AJ782" s="367"/>
      <c r="AK782" s="367"/>
      <c r="AL782" s="367"/>
      <c r="AM782" s="367"/>
      <c r="AN782" s="367"/>
      <c r="AO782" s="367"/>
      <c r="AP782" s="367"/>
      <c r="AQ782" s="367"/>
      <c r="AR782" s="367"/>
      <c r="AS782" s="367"/>
      <c r="AT782" s="368"/>
      <c r="AU782" s="367"/>
    </row>
    <row r="783" spans="1:47" ht="12.75">
      <c r="A783" s="367"/>
      <c r="B783" s="367"/>
      <c r="C783" s="367"/>
      <c r="D783" s="367"/>
      <c r="E783" s="367"/>
      <c r="F783" s="367"/>
      <c r="G783" s="367"/>
      <c r="H783" s="367"/>
      <c r="I783" s="367"/>
      <c r="J783" s="367"/>
      <c r="K783" s="367"/>
      <c r="L783" s="367"/>
      <c r="M783" s="367"/>
      <c r="N783" s="367"/>
      <c r="O783" s="367"/>
      <c r="P783" s="364"/>
      <c r="Q783" s="365"/>
      <c r="R783" s="365"/>
      <c r="S783" s="365"/>
      <c r="T783" s="365"/>
      <c r="U783" s="366"/>
      <c r="V783" s="367"/>
      <c r="W783" s="367"/>
      <c r="X783" s="367"/>
      <c r="Y783" s="367"/>
      <c r="Z783" s="367"/>
      <c r="AA783" s="367"/>
      <c r="AB783" s="367"/>
      <c r="AC783" s="367"/>
      <c r="AD783" s="367"/>
      <c r="AE783" s="367"/>
      <c r="AF783" s="367"/>
      <c r="AG783" s="367"/>
      <c r="AH783" s="367"/>
      <c r="AI783" s="367"/>
      <c r="AJ783" s="367"/>
      <c r="AK783" s="367"/>
      <c r="AL783" s="367"/>
      <c r="AM783" s="367"/>
      <c r="AN783" s="367"/>
      <c r="AO783" s="367"/>
      <c r="AP783" s="367"/>
      <c r="AQ783" s="367"/>
      <c r="AR783" s="367"/>
      <c r="AS783" s="367"/>
      <c r="AT783" s="368"/>
      <c r="AU783" s="367"/>
    </row>
    <row r="784" spans="1:47" ht="12.75">
      <c r="A784" s="367"/>
      <c r="B784" s="367"/>
      <c r="C784" s="367"/>
      <c r="D784" s="367"/>
      <c r="E784" s="367"/>
      <c r="F784" s="367"/>
      <c r="G784" s="367"/>
      <c r="H784" s="367"/>
      <c r="I784" s="367"/>
      <c r="J784" s="367"/>
      <c r="K784" s="367"/>
      <c r="L784" s="367"/>
      <c r="M784" s="367"/>
      <c r="N784" s="367"/>
      <c r="O784" s="367"/>
      <c r="P784" s="364"/>
      <c r="Q784" s="365"/>
      <c r="R784" s="365"/>
      <c r="S784" s="365"/>
      <c r="T784" s="365"/>
      <c r="U784" s="366"/>
      <c r="V784" s="367"/>
      <c r="W784" s="367"/>
      <c r="X784" s="367"/>
      <c r="Y784" s="367"/>
      <c r="Z784" s="367"/>
      <c r="AA784" s="367"/>
      <c r="AB784" s="367"/>
      <c r="AC784" s="367"/>
      <c r="AD784" s="367"/>
      <c r="AE784" s="367"/>
      <c r="AF784" s="367"/>
      <c r="AG784" s="367"/>
      <c r="AH784" s="367"/>
      <c r="AI784" s="367"/>
      <c r="AJ784" s="367"/>
      <c r="AK784" s="367"/>
      <c r="AL784" s="367"/>
      <c r="AM784" s="367"/>
      <c r="AN784" s="367"/>
      <c r="AO784" s="367"/>
      <c r="AP784" s="367"/>
      <c r="AQ784" s="367"/>
      <c r="AR784" s="367"/>
      <c r="AS784" s="367"/>
      <c r="AT784" s="368"/>
      <c r="AU784" s="367"/>
    </row>
    <row r="785" spans="1:47" ht="12.75">
      <c r="A785" s="367"/>
      <c r="B785" s="367"/>
      <c r="C785" s="367"/>
      <c r="D785" s="367"/>
      <c r="E785" s="367"/>
      <c r="F785" s="367"/>
      <c r="G785" s="367"/>
      <c r="H785" s="367"/>
      <c r="I785" s="367"/>
      <c r="J785" s="367"/>
      <c r="K785" s="367"/>
      <c r="L785" s="367"/>
      <c r="M785" s="367"/>
      <c r="N785" s="367"/>
      <c r="O785" s="367"/>
      <c r="P785" s="364"/>
      <c r="Q785" s="365"/>
      <c r="R785" s="365"/>
      <c r="S785" s="365"/>
      <c r="T785" s="365"/>
      <c r="U785" s="366"/>
      <c r="V785" s="367"/>
      <c r="W785" s="367"/>
      <c r="X785" s="367"/>
      <c r="Y785" s="367"/>
      <c r="Z785" s="367"/>
      <c r="AA785" s="367"/>
      <c r="AB785" s="367"/>
      <c r="AC785" s="367"/>
      <c r="AD785" s="367"/>
      <c r="AE785" s="367"/>
      <c r="AF785" s="367"/>
      <c r="AG785" s="367"/>
      <c r="AH785" s="367"/>
      <c r="AI785" s="367"/>
      <c r="AJ785" s="367"/>
      <c r="AK785" s="367"/>
      <c r="AL785" s="367"/>
      <c r="AM785" s="367"/>
      <c r="AN785" s="367"/>
      <c r="AO785" s="367"/>
      <c r="AP785" s="367"/>
      <c r="AQ785" s="367"/>
      <c r="AR785" s="367"/>
      <c r="AS785" s="367"/>
      <c r="AT785" s="368"/>
      <c r="AU785" s="367"/>
    </row>
    <row r="786" spans="1:47" ht="12.75">
      <c r="A786" s="367"/>
      <c r="B786" s="367"/>
      <c r="C786" s="367"/>
      <c r="D786" s="367"/>
      <c r="E786" s="367"/>
      <c r="F786" s="367"/>
      <c r="G786" s="367"/>
      <c r="H786" s="367"/>
      <c r="I786" s="367"/>
      <c r="J786" s="367"/>
      <c r="K786" s="367"/>
      <c r="L786" s="367"/>
      <c r="M786" s="367"/>
      <c r="N786" s="367"/>
      <c r="O786" s="367"/>
      <c r="P786" s="364"/>
      <c r="Q786" s="365"/>
      <c r="R786" s="365"/>
      <c r="S786" s="365"/>
      <c r="T786" s="365"/>
      <c r="U786" s="366"/>
      <c r="V786" s="367"/>
      <c r="W786" s="367"/>
      <c r="X786" s="367"/>
      <c r="Y786" s="367"/>
      <c r="Z786" s="367"/>
      <c r="AA786" s="367"/>
      <c r="AB786" s="367"/>
      <c r="AC786" s="367"/>
      <c r="AD786" s="367"/>
      <c r="AE786" s="367"/>
      <c r="AF786" s="367"/>
      <c r="AG786" s="367"/>
      <c r="AH786" s="367"/>
      <c r="AI786" s="367"/>
      <c r="AJ786" s="367"/>
      <c r="AK786" s="367"/>
      <c r="AL786" s="367"/>
      <c r="AM786" s="367"/>
      <c r="AN786" s="367"/>
      <c r="AO786" s="367"/>
      <c r="AP786" s="367"/>
      <c r="AQ786" s="367"/>
      <c r="AR786" s="367"/>
      <c r="AS786" s="367"/>
      <c r="AT786" s="368"/>
      <c r="AU786" s="367"/>
    </row>
    <row r="787" spans="1:47" ht="12.75">
      <c r="A787" s="367"/>
      <c r="B787" s="367"/>
      <c r="C787" s="367"/>
      <c r="D787" s="367"/>
      <c r="E787" s="367"/>
      <c r="F787" s="367"/>
      <c r="G787" s="367"/>
      <c r="H787" s="367"/>
      <c r="I787" s="367"/>
      <c r="J787" s="367"/>
      <c r="K787" s="367"/>
      <c r="L787" s="367"/>
      <c r="M787" s="367"/>
      <c r="N787" s="367"/>
      <c r="O787" s="367"/>
      <c r="P787" s="364"/>
      <c r="Q787" s="365"/>
      <c r="R787" s="365"/>
      <c r="S787" s="365"/>
      <c r="T787" s="365"/>
      <c r="U787" s="366"/>
      <c r="V787" s="367"/>
      <c r="W787" s="367"/>
      <c r="X787" s="367"/>
      <c r="Y787" s="367"/>
      <c r="Z787" s="367"/>
      <c r="AA787" s="367"/>
      <c r="AB787" s="367"/>
      <c r="AC787" s="367"/>
      <c r="AD787" s="367"/>
      <c r="AE787" s="367"/>
      <c r="AF787" s="367"/>
      <c r="AG787" s="367"/>
      <c r="AH787" s="367"/>
      <c r="AI787" s="367"/>
      <c r="AJ787" s="367"/>
      <c r="AK787" s="367"/>
      <c r="AL787" s="367"/>
      <c r="AM787" s="367"/>
      <c r="AN787" s="367"/>
      <c r="AO787" s="367"/>
      <c r="AP787" s="367"/>
      <c r="AQ787" s="367"/>
      <c r="AR787" s="367"/>
      <c r="AS787" s="367"/>
      <c r="AT787" s="368"/>
      <c r="AU787" s="367"/>
    </row>
    <row r="788" spans="1:47" ht="12.75">
      <c r="A788" s="367"/>
      <c r="B788" s="367"/>
      <c r="C788" s="367"/>
      <c r="D788" s="367"/>
      <c r="E788" s="367"/>
      <c r="F788" s="367"/>
      <c r="G788" s="367"/>
      <c r="H788" s="367"/>
      <c r="I788" s="367"/>
      <c r="J788" s="367"/>
      <c r="K788" s="367"/>
      <c r="L788" s="367"/>
      <c r="M788" s="367"/>
      <c r="N788" s="367"/>
      <c r="O788" s="367"/>
      <c r="P788" s="364"/>
      <c r="Q788" s="365"/>
      <c r="R788" s="365"/>
      <c r="S788" s="365"/>
      <c r="T788" s="365"/>
      <c r="U788" s="366"/>
      <c r="V788" s="367"/>
      <c r="W788" s="367"/>
      <c r="X788" s="367"/>
      <c r="Y788" s="367"/>
      <c r="Z788" s="367"/>
      <c r="AA788" s="367"/>
      <c r="AB788" s="367"/>
      <c r="AC788" s="367"/>
      <c r="AD788" s="367"/>
      <c r="AE788" s="367"/>
      <c r="AF788" s="367"/>
      <c r="AG788" s="367"/>
      <c r="AH788" s="367"/>
      <c r="AI788" s="367"/>
      <c r="AJ788" s="367"/>
      <c r="AK788" s="367"/>
      <c r="AL788" s="367"/>
      <c r="AM788" s="367"/>
      <c r="AN788" s="367"/>
      <c r="AO788" s="367"/>
      <c r="AP788" s="367"/>
      <c r="AQ788" s="367"/>
      <c r="AR788" s="367"/>
      <c r="AS788" s="367"/>
      <c r="AT788" s="368"/>
      <c r="AU788" s="367"/>
    </row>
    <row r="789" spans="1:47" ht="12.75">
      <c r="A789" s="367"/>
      <c r="B789" s="367"/>
      <c r="C789" s="367"/>
      <c r="D789" s="367"/>
      <c r="E789" s="367"/>
      <c r="F789" s="367"/>
      <c r="G789" s="367"/>
      <c r="H789" s="367"/>
      <c r="I789" s="367"/>
      <c r="J789" s="367"/>
      <c r="K789" s="367"/>
      <c r="L789" s="367"/>
      <c r="M789" s="367"/>
      <c r="N789" s="367"/>
      <c r="O789" s="367"/>
      <c r="P789" s="364"/>
      <c r="Q789" s="365"/>
      <c r="R789" s="365"/>
      <c r="S789" s="365"/>
      <c r="T789" s="365"/>
      <c r="U789" s="366"/>
      <c r="V789" s="367"/>
      <c r="W789" s="367"/>
      <c r="X789" s="367"/>
      <c r="Y789" s="367"/>
      <c r="Z789" s="367"/>
      <c r="AA789" s="367"/>
      <c r="AB789" s="367"/>
      <c r="AC789" s="367"/>
      <c r="AD789" s="367"/>
      <c r="AE789" s="367"/>
      <c r="AF789" s="367"/>
      <c r="AG789" s="367"/>
      <c r="AH789" s="367"/>
      <c r="AI789" s="367"/>
      <c r="AJ789" s="367"/>
      <c r="AK789" s="367"/>
      <c r="AL789" s="367"/>
      <c r="AM789" s="367"/>
      <c r="AN789" s="367"/>
      <c r="AO789" s="367"/>
      <c r="AP789" s="367"/>
      <c r="AQ789" s="367"/>
      <c r="AR789" s="367"/>
      <c r="AS789" s="367"/>
      <c r="AT789" s="368"/>
      <c r="AU789" s="367"/>
    </row>
    <row r="790" spans="1:47" ht="12.75">
      <c r="A790" s="367"/>
      <c r="B790" s="367"/>
      <c r="C790" s="367"/>
      <c r="D790" s="367"/>
      <c r="E790" s="367"/>
      <c r="F790" s="367"/>
      <c r="G790" s="367"/>
      <c r="H790" s="367"/>
      <c r="I790" s="367"/>
      <c r="J790" s="367"/>
      <c r="K790" s="367"/>
      <c r="L790" s="367"/>
      <c r="M790" s="367"/>
      <c r="N790" s="367"/>
      <c r="O790" s="367"/>
      <c r="P790" s="364"/>
      <c r="Q790" s="365"/>
      <c r="R790" s="365"/>
      <c r="S790" s="365"/>
      <c r="T790" s="365"/>
      <c r="U790" s="366"/>
      <c r="V790" s="367"/>
      <c r="W790" s="367"/>
      <c r="X790" s="367"/>
      <c r="Y790" s="367"/>
      <c r="Z790" s="367"/>
      <c r="AA790" s="367"/>
      <c r="AB790" s="367"/>
      <c r="AC790" s="367"/>
      <c r="AD790" s="367"/>
      <c r="AE790" s="367"/>
      <c r="AF790" s="367"/>
      <c r="AG790" s="367"/>
      <c r="AH790" s="367"/>
      <c r="AI790" s="367"/>
      <c r="AJ790" s="367"/>
      <c r="AK790" s="367"/>
      <c r="AL790" s="367"/>
      <c r="AM790" s="367"/>
      <c r="AN790" s="367"/>
      <c r="AO790" s="367"/>
      <c r="AP790" s="367"/>
      <c r="AQ790" s="367"/>
      <c r="AR790" s="367"/>
      <c r="AS790" s="367"/>
      <c r="AT790" s="368"/>
      <c r="AU790" s="367"/>
    </row>
    <row r="791" spans="1:47" ht="12.75">
      <c r="A791" s="367"/>
      <c r="B791" s="367"/>
      <c r="C791" s="367"/>
      <c r="D791" s="367"/>
      <c r="E791" s="367"/>
      <c r="F791" s="367"/>
      <c r="G791" s="367"/>
      <c r="H791" s="367"/>
      <c r="I791" s="367"/>
      <c r="J791" s="367"/>
      <c r="K791" s="367"/>
      <c r="L791" s="367"/>
      <c r="M791" s="367"/>
      <c r="N791" s="367"/>
      <c r="O791" s="367"/>
      <c r="P791" s="364"/>
      <c r="Q791" s="365"/>
      <c r="R791" s="365"/>
      <c r="S791" s="365"/>
      <c r="T791" s="365"/>
      <c r="U791" s="366"/>
      <c r="V791" s="367"/>
      <c r="W791" s="367"/>
      <c r="X791" s="367"/>
      <c r="Y791" s="367"/>
      <c r="Z791" s="367"/>
      <c r="AA791" s="367"/>
      <c r="AB791" s="367"/>
      <c r="AC791" s="367"/>
      <c r="AD791" s="367"/>
      <c r="AE791" s="367"/>
      <c r="AF791" s="367"/>
      <c r="AG791" s="367"/>
      <c r="AH791" s="367"/>
      <c r="AI791" s="367"/>
      <c r="AJ791" s="367"/>
      <c r="AK791" s="367"/>
      <c r="AL791" s="367"/>
      <c r="AM791" s="367"/>
      <c r="AN791" s="367"/>
      <c r="AO791" s="367"/>
      <c r="AP791" s="367"/>
      <c r="AQ791" s="367"/>
      <c r="AR791" s="367"/>
      <c r="AS791" s="367"/>
      <c r="AT791" s="368"/>
      <c r="AU791" s="367"/>
    </row>
    <row r="792" spans="1:47" ht="12.75">
      <c r="A792" s="367"/>
      <c r="B792" s="367"/>
      <c r="C792" s="367"/>
      <c r="D792" s="367"/>
      <c r="E792" s="367"/>
      <c r="F792" s="367"/>
      <c r="G792" s="367"/>
      <c r="H792" s="367"/>
      <c r="I792" s="367"/>
      <c r="J792" s="367"/>
      <c r="K792" s="367"/>
      <c r="L792" s="367"/>
      <c r="M792" s="367"/>
      <c r="N792" s="367"/>
      <c r="O792" s="367"/>
      <c r="P792" s="364"/>
      <c r="Q792" s="365"/>
      <c r="R792" s="365"/>
      <c r="S792" s="365"/>
      <c r="T792" s="365"/>
      <c r="U792" s="366"/>
      <c r="V792" s="367"/>
      <c r="W792" s="367"/>
      <c r="X792" s="367"/>
      <c r="Y792" s="367"/>
      <c r="Z792" s="367"/>
      <c r="AA792" s="367"/>
      <c r="AB792" s="367"/>
      <c r="AC792" s="367"/>
      <c r="AD792" s="367"/>
      <c r="AE792" s="367"/>
      <c r="AF792" s="367"/>
      <c r="AG792" s="367"/>
      <c r="AH792" s="367"/>
      <c r="AI792" s="367"/>
      <c r="AJ792" s="367"/>
      <c r="AK792" s="367"/>
      <c r="AL792" s="367"/>
      <c r="AM792" s="367"/>
      <c r="AN792" s="367"/>
      <c r="AO792" s="367"/>
      <c r="AP792" s="367"/>
      <c r="AQ792" s="367"/>
      <c r="AR792" s="367"/>
      <c r="AS792" s="367"/>
      <c r="AT792" s="368"/>
      <c r="AU792" s="367"/>
    </row>
    <row r="793" spans="1:47" ht="12.75">
      <c r="A793" s="367"/>
      <c r="B793" s="367"/>
      <c r="C793" s="367"/>
      <c r="D793" s="367"/>
      <c r="E793" s="367"/>
      <c r="F793" s="367"/>
      <c r="G793" s="367"/>
      <c r="H793" s="367"/>
      <c r="I793" s="367"/>
      <c r="J793" s="367"/>
      <c r="K793" s="367"/>
      <c r="L793" s="367"/>
      <c r="M793" s="367"/>
      <c r="N793" s="367"/>
      <c r="O793" s="367"/>
      <c r="P793" s="364"/>
      <c r="Q793" s="365"/>
      <c r="R793" s="365"/>
      <c r="S793" s="365"/>
      <c r="T793" s="365"/>
      <c r="U793" s="366"/>
      <c r="V793" s="367"/>
      <c r="W793" s="367"/>
      <c r="X793" s="367"/>
      <c r="Y793" s="367"/>
      <c r="Z793" s="367"/>
      <c r="AA793" s="367"/>
      <c r="AB793" s="367"/>
      <c r="AC793" s="367"/>
      <c r="AD793" s="367"/>
      <c r="AE793" s="367"/>
      <c r="AF793" s="367"/>
      <c r="AG793" s="367"/>
      <c r="AH793" s="367"/>
      <c r="AI793" s="367"/>
      <c r="AJ793" s="367"/>
      <c r="AK793" s="367"/>
      <c r="AL793" s="367"/>
      <c r="AM793" s="367"/>
      <c r="AN793" s="367"/>
      <c r="AO793" s="367"/>
      <c r="AP793" s="367"/>
      <c r="AQ793" s="367"/>
      <c r="AR793" s="367"/>
      <c r="AS793" s="367"/>
      <c r="AT793" s="368"/>
      <c r="AU793" s="367"/>
    </row>
    <row r="794" spans="1:47" ht="12.75">
      <c r="A794" s="367"/>
      <c r="B794" s="367"/>
      <c r="C794" s="367"/>
      <c r="D794" s="367"/>
      <c r="E794" s="367"/>
      <c r="F794" s="367"/>
      <c r="G794" s="367"/>
      <c r="H794" s="367"/>
      <c r="I794" s="367"/>
      <c r="J794" s="367"/>
      <c r="K794" s="367"/>
      <c r="L794" s="367"/>
      <c r="M794" s="367"/>
      <c r="N794" s="367"/>
      <c r="O794" s="367"/>
      <c r="P794" s="364"/>
      <c r="Q794" s="365"/>
      <c r="R794" s="365"/>
      <c r="S794" s="365"/>
      <c r="T794" s="365"/>
      <c r="U794" s="366"/>
      <c r="V794" s="367"/>
      <c r="W794" s="367"/>
      <c r="X794" s="367"/>
      <c r="Y794" s="367"/>
      <c r="Z794" s="367"/>
      <c r="AA794" s="367"/>
      <c r="AB794" s="367"/>
      <c r="AC794" s="367"/>
      <c r="AD794" s="367"/>
      <c r="AE794" s="367"/>
      <c r="AF794" s="367"/>
      <c r="AG794" s="367"/>
      <c r="AH794" s="367"/>
      <c r="AI794" s="367"/>
      <c r="AJ794" s="367"/>
      <c r="AK794" s="367"/>
      <c r="AL794" s="367"/>
      <c r="AM794" s="367"/>
      <c r="AN794" s="367"/>
      <c r="AO794" s="367"/>
      <c r="AP794" s="367"/>
      <c r="AQ794" s="367"/>
      <c r="AR794" s="367"/>
      <c r="AS794" s="367"/>
      <c r="AT794" s="368"/>
      <c r="AU794" s="367"/>
    </row>
    <row r="795" spans="1:47" ht="12.75">
      <c r="A795" s="367"/>
      <c r="B795" s="367"/>
      <c r="C795" s="367"/>
      <c r="D795" s="367"/>
      <c r="E795" s="367"/>
      <c r="F795" s="367"/>
      <c r="G795" s="367"/>
      <c r="H795" s="367"/>
      <c r="I795" s="367"/>
      <c r="J795" s="367"/>
      <c r="K795" s="367"/>
      <c r="L795" s="367"/>
      <c r="M795" s="367"/>
      <c r="N795" s="367"/>
      <c r="O795" s="367"/>
      <c r="P795" s="364"/>
      <c r="Q795" s="365"/>
      <c r="R795" s="365"/>
      <c r="S795" s="365"/>
      <c r="T795" s="365"/>
      <c r="U795" s="366"/>
      <c r="V795" s="367"/>
      <c r="W795" s="367"/>
      <c r="X795" s="367"/>
      <c r="Y795" s="367"/>
      <c r="Z795" s="367"/>
      <c r="AA795" s="367"/>
      <c r="AB795" s="367"/>
      <c r="AC795" s="367"/>
      <c r="AD795" s="367"/>
      <c r="AE795" s="367"/>
      <c r="AF795" s="367"/>
      <c r="AG795" s="367"/>
      <c r="AH795" s="367"/>
      <c r="AI795" s="367"/>
      <c r="AJ795" s="367"/>
      <c r="AK795" s="367"/>
      <c r="AL795" s="367"/>
      <c r="AM795" s="367"/>
      <c r="AN795" s="367"/>
      <c r="AO795" s="367"/>
      <c r="AP795" s="367"/>
      <c r="AQ795" s="367"/>
      <c r="AR795" s="367"/>
      <c r="AS795" s="367"/>
      <c r="AT795" s="368"/>
      <c r="AU795" s="367"/>
    </row>
    <row r="796" spans="1:47" ht="12.75">
      <c r="A796" s="367"/>
      <c r="B796" s="367"/>
      <c r="C796" s="367"/>
      <c r="D796" s="367"/>
      <c r="E796" s="367"/>
      <c r="F796" s="367"/>
      <c r="G796" s="367"/>
      <c r="H796" s="367"/>
      <c r="I796" s="367"/>
      <c r="J796" s="367"/>
      <c r="K796" s="367"/>
      <c r="L796" s="367"/>
      <c r="M796" s="367"/>
      <c r="N796" s="367"/>
      <c r="O796" s="367"/>
      <c r="P796" s="364"/>
      <c r="Q796" s="365"/>
      <c r="R796" s="365"/>
      <c r="S796" s="365"/>
      <c r="T796" s="365"/>
      <c r="U796" s="366"/>
      <c r="V796" s="367"/>
      <c r="W796" s="367"/>
      <c r="X796" s="367"/>
      <c r="Y796" s="367"/>
      <c r="Z796" s="367"/>
      <c r="AA796" s="367"/>
      <c r="AB796" s="367"/>
      <c r="AC796" s="367"/>
      <c r="AD796" s="367"/>
      <c r="AE796" s="367"/>
      <c r="AF796" s="367"/>
      <c r="AG796" s="367"/>
      <c r="AH796" s="367"/>
      <c r="AI796" s="367"/>
      <c r="AJ796" s="367"/>
      <c r="AK796" s="367"/>
      <c r="AL796" s="367"/>
      <c r="AM796" s="367"/>
      <c r="AN796" s="367"/>
      <c r="AO796" s="367"/>
      <c r="AP796" s="367"/>
      <c r="AQ796" s="367"/>
      <c r="AR796" s="367"/>
      <c r="AS796" s="367"/>
      <c r="AT796" s="368"/>
      <c r="AU796" s="367"/>
    </row>
    <row r="797" spans="1:47" ht="12.75">
      <c r="A797" s="367"/>
      <c r="B797" s="367"/>
      <c r="C797" s="367"/>
      <c r="D797" s="367"/>
      <c r="E797" s="367"/>
      <c r="F797" s="367"/>
      <c r="G797" s="367"/>
      <c r="H797" s="367"/>
      <c r="I797" s="367"/>
      <c r="J797" s="367"/>
      <c r="K797" s="367"/>
      <c r="L797" s="367"/>
      <c r="M797" s="367"/>
      <c r="N797" s="367"/>
      <c r="O797" s="367"/>
      <c r="P797" s="364"/>
      <c r="Q797" s="365"/>
      <c r="R797" s="365"/>
      <c r="S797" s="365"/>
      <c r="T797" s="365"/>
      <c r="U797" s="366"/>
      <c r="V797" s="367"/>
      <c r="W797" s="367"/>
      <c r="X797" s="367"/>
      <c r="Y797" s="367"/>
      <c r="Z797" s="367"/>
      <c r="AA797" s="367"/>
      <c r="AB797" s="367"/>
      <c r="AC797" s="367"/>
      <c r="AD797" s="367"/>
      <c r="AE797" s="367"/>
      <c r="AF797" s="367"/>
      <c r="AG797" s="367"/>
      <c r="AH797" s="367"/>
      <c r="AI797" s="367"/>
      <c r="AJ797" s="367"/>
      <c r="AK797" s="367"/>
      <c r="AL797" s="367"/>
      <c r="AM797" s="367"/>
      <c r="AN797" s="367"/>
      <c r="AO797" s="367"/>
      <c r="AP797" s="367"/>
      <c r="AQ797" s="367"/>
      <c r="AR797" s="367"/>
      <c r="AS797" s="367"/>
      <c r="AT797" s="368"/>
      <c r="AU797" s="367"/>
    </row>
    <row r="798" spans="1:47" ht="12.75">
      <c r="A798" s="367"/>
      <c r="B798" s="367"/>
      <c r="C798" s="367"/>
      <c r="D798" s="367"/>
      <c r="E798" s="367"/>
      <c r="F798" s="367"/>
      <c r="G798" s="367"/>
      <c r="H798" s="367"/>
      <c r="I798" s="367"/>
      <c r="J798" s="367"/>
      <c r="K798" s="367"/>
      <c r="L798" s="367"/>
      <c r="M798" s="367"/>
      <c r="N798" s="367"/>
      <c r="O798" s="367"/>
      <c r="P798" s="364"/>
      <c r="Q798" s="365"/>
      <c r="R798" s="365"/>
      <c r="S798" s="365"/>
      <c r="T798" s="365"/>
      <c r="U798" s="366"/>
      <c r="V798" s="367"/>
      <c r="W798" s="367"/>
      <c r="X798" s="367"/>
      <c r="Y798" s="367"/>
      <c r="Z798" s="367"/>
      <c r="AA798" s="367"/>
      <c r="AB798" s="367"/>
      <c r="AC798" s="367"/>
      <c r="AD798" s="367"/>
      <c r="AE798" s="367"/>
      <c r="AF798" s="367"/>
      <c r="AG798" s="367"/>
      <c r="AH798" s="367"/>
      <c r="AI798" s="367"/>
      <c r="AJ798" s="367"/>
      <c r="AK798" s="367"/>
      <c r="AL798" s="367"/>
      <c r="AM798" s="367"/>
      <c r="AN798" s="367"/>
      <c r="AO798" s="367"/>
      <c r="AP798" s="367"/>
      <c r="AQ798" s="367"/>
      <c r="AR798" s="367"/>
      <c r="AS798" s="367"/>
      <c r="AT798" s="368"/>
      <c r="AU798" s="367"/>
    </row>
    <row r="799" spans="1:47" ht="12.75">
      <c r="A799" s="367"/>
      <c r="B799" s="367"/>
      <c r="C799" s="367"/>
      <c r="D799" s="367"/>
      <c r="E799" s="367"/>
      <c r="F799" s="367"/>
      <c r="G799" s="367"/>
      <c r="H799" s="367"/>
      <c r="I799" s="367"/>
      <c r="J799" s="367"/>
      <c r="K799" s="367"/>
      <c r="L799" s="367"/>
      <c r="M799" s="367"/>
      <c r="N799" s="367"/>
      <c r="O799" s="367"/>
      <c r="P799" s="364"/>
      <c r="Q799" s="365"/>
      <c r="R799" s="365"/>
      <c r="S799" s="365"/>
      <c r="T799" s="365"/>
      <c r="U799" s="366"/>
      <c r="V799" s="367"/>
      <c r="W799" s="367"/>
      <c r="X799" s="367"/>
      <c r="Y799" s="367"/>
      <c r="Z799" s="367"/>
      <c r="AA799" s="367"/>
      <c r="AB799" s="367"/>
      <c r="AC799" s="367"/>
      <c r="AD799" s="367"/>
      <c r="AE799" s="367"/>
      <c r="AF799" s="367"/>
      <c r="AG799" s="367"/>
      <c r="AH799" s="367"/>
      <c r="AI799" s="367"/>
      <c r="AJ799" s="367"/>
      <c r="AK799" s="367"/>
      <c r="AL799" s="367"/>
      <c r="AM799" s="367"/>
      <c r="AN799" s="367"/>
      <c r="AO799" s="367"/>
      <c r="AP799" s="367"/>
      <c r="AQ799" s="367"/>
      <c r="AR799" s="367"/>
      <c r="AS799" s="367"/>
      <c r="AT799" s="368"/>
      <c r="AU799" s="367"/>
    </row>
    <row r="800" spans="1:47" ht="12.75">
      <c r="A800" s="367"/>
      <c r="B800" s="367"/>
      <c r="C800" s="367"/>
      <c r="D800" s="367"/>
      <c r="E800" s="367"/>
      <c r="F800" s="367"/>
      <c r="G800" s="367"/>
      <c r="H800" s="367"/>
      <c r="I800" s="367"/>
      <c r="J800" s="367"/>
      <c r="K800" s="367"/>
      <c r="L800" s="367"/>
      <c r="M800" s="367"/>
      <c r="N800" s="367"/>
      <c r="O800" s="367"/>
      <c r="P800" s="364"/>
      <c r="Q800" s="365"/>
      <c r="R800" s="365"/>
      <c r="S800" s="365"/>
      <c r="T800" s="365"/>
      <c r="U800" s="366"/>
      <c r="V800" s="367"/>
      <c r="W800" s="367"/>
      <c r="X800" s="367"/>
      <c r="Y800" s="367"/>
      <c r="Z800" s="367"/>
      <c r="AA800" s="367"/>
      <c r="AB800" s="367"/>
      <c r="AC800" s="367"/>
      <c r="AD800" s="367"/>
      <c r="AE800" s="367"/>
      <c r="AF800" s="367"/>
      <c r="AG800" s="367"/>
      <c r="AH800" s="367"/>
      <c r="AI800" s="367"/>
      <c r="AJ800" s="367"/>
      <c r="AK800" s="367"/>
      <c r="AL800" s="367"/>
      <c r="AM800" s="367"/>
      <c r="AN800" s="367"/>
      <c r="AO800" s="367"/>
      <c r="AP800" s="367"/>
      <c r="AQ800" s="367"/>
      <c r="AR800" s="367"/>
      <c r="AS800" s="367"/>
      <c r="AT800" s="368"/>
      <c r="AU800" s="367"/>
    </row>
    <row r="801" spans="1:47" ht="12.75">
      <c r="A801" s="367"/>
      <c r="B801" s="367"/>
      <c r="C801" s="367"/>
      <c r="D801" s="367"/>
      <c r="E801" s="367"/>
      <c r="F801" s="367"/>
      <c r="G801" s="367"/>
      <c r="H801" s="367"/>
      <c r="I801" s="367"/>
      <c r="J801" s="367"/>
      <c r="K801" s="367"/>
      <c r="L801" s="367"/>
      <c r="M801" s="367"/>
      <c r="N801" s="367"/>
      <c r="O801" s="367"/>
      <c r="P801" s="364"/>
      <c r="Q801" s="365"/>
      <c r="R801" s="365"/>
      <c r="S801" s="365"/>
      <c r="T801" s="365"/>
      <c r="U801" s="366"/>
      <c r="V801" s="367"/>
      <c r="W801" s="367"/>
      <c r="X801" s="367"/>
      <c r="Y801" s="367"/>
      <c r="Z801" s="367"/>
      <c r="AA801" s="367"/>
      <c r="AB801" s="367"/>
      <c r="AC801" s="367"/>
      <c r="AD801" s="367"/>
      <c r="AE801" s="367"/>
      <c r="AF801" s="367"/>
      <c r="AG801" s="367"/>
      <c r="AH801" s="367"/>
      <c r="AI801" s="367"/>
      <c r="AJ801" s="367"/>
      <c r="AK801" s="367"/>
      <c r="AL801" s="367"/>
      <c r="AM801" s="367"/>
      <c r="AN801" s="367"/>
      <c r="AO801" s="367"/>
      <c r="AP801" s="367"/>
      <c r="AQ801" s="367"/>
      <c r="AR801" s="367"/>
      <c r="AS801" s="367"/>
      <c r="AT801" s="368"/>
      <c r="AU801" s="367"/>
    </row>
    <row r="802" spans="1:47" ht="12.75">
      <c r="A802" s="367"/>
      <c r="B802" s="367"/>
      <c r="C802" s="367"/>
      <c r="D802" s="367"/>
      <c r="E802" s="367"/>
      <c r="F802" s="367"/>
      <c r="G802" s="367"/>
      <c r="H802" s="367"/>
      <c r="I802" s="367"/>
      <c r="J802" s="367"/>
      <c r="K802" s="367"/>
      <c r="L802" s="367"/>
      <c r="M802" s="367"/>
      <c r="N802" s="367"/>
      <c r="O802" s="367"/>
      <c r="P802" s="364"/>
      <c r="Q802" s="365"/>
      <c r="R802" s="365"/>
      <c r="S802" s="365"/>
      <c r="T802" s="365"/>
      <c r="U802" s="366"/>
      <c r="V802" s="367"/>
      <c r="W802" s="367"/>
      <c r="X802" s="367"/>
      <c r="Y802" s="367"/>
      <c r="Z802" s="367"/>
      <c r="AA802" s="367"/>
      <c r="AB802" s="367"/>
      <c r="AC802" s="367"/>
      <c r="AD802" s="367"/>
      <c r="AE802" s="367"/>
      <c r="AF802" s="367"/>
      <c r="AG802" s="367"/>
      <c r="AH802" s="367"/>
      <c r="AI802" s="367"/>
      <c r="AJ802" s="367"/>
      <c r="AK802" s="367"/>
      <c r="AL802" s="367"/>
      <c r="AM802" s="367"/>
      <c r="AN802" s="367"/>
      <c r="AO802" s="367"/>
      <c r="AP802" s="367"/>
      <c r="AQ802" s="367"/>
      <c r="AR802" s="367"/>
      <c r="AS802" s="367"/>
      <c r="AT802" s="368"/>
      <c r="AU802" s="367"/>
    </row>
    <row r="803" spans="1:47" ht="12.75">
      <c r="A803" s="367"/>
      <c r="B803" s="367"/>
      <c r="C803" s="367"/>
      <c r="D803" s="367"/>
      <c r="E803" s="367"/>
      <c r="F803" s="367"/>
      <c r="G803" s="367"/>
      <c r="H803" s="367"/>
      <c r="I803" s="367"/>
      <c r="J803" s="367"/>
      <c r="K803" s="367"/>
      <c r="L803" s="367"/>
      <c r="M803" s="367"/>
      <c r="N803" s="367"/>
      <c r="O803" s="367"/>
      <c r="P803" s="364"/>
      <c r="Q803" s="365"/>
      <c r="R803" s="365"/>
      <c r="S803" s="365"/>
      <c r="T803" s="365"/>
      <c r="U803" s="366"/>
      <c r="V803" s="367"/>
      <c r="W803" s="367"/>
      <c r="X803" s="367"/>
      <c r="Y803" s="367"/>
      <c r="Z803" s="367"/>
      <c r="AA803" s="367"/>
      <c r="AB803" s="367"/>
      <c r="AC803" s="367"/>
      <c r="AD803" s="367"/>
      <c r="AE803" s="367"/>
      <c r="AF803" s="367"/>
      <c r="AG803" s="367"/>
      <c r="AH803" s="367"/>
      <c r="AI803" s="367"/>
      <c r="AJ803" s="367"/>
      <c r="AK803" s="367"/>
      <c r="AL803" s="367"/>
      <c r="AM803" s="367"/>
      <c r="AN803" s="367"/>
      <c r="AO803" s="367"/>
      <c r="AP803" s="367"/>
      <c r="AQ803" s="367"/>
      <c r="AR803" s="367"/>
      <c r="AS803" s="367"/>
      <c r="AT803" s="368"/>
      <c r="AU803" s="367"/>
    </row>
    <row r="804" spans="1:47" ht="12.75">
      <c r="A804" s="367"/>
      <c r="B804" s="367"/>
      <c r="C804" s="367"/>
      <c r="D804" s="367"/>
      <c r="E804" s="367"/>
      <c r="F804" s="367"/>
      <c r="G804" s="367"/>
      <c r="H804" s="367"/>
      <c r="I804" s="367"/>
      <c r="J804" s="367"/>
      <c r="K804" s="367"/>
      <c r="L804" s="367"/>
      <c r="M804" s="367"/>
      <c r="N804" s="367"/>
      <c r="O804" s="367"/>
      <c r="P804" s="364"/>
      <c r="Q804" s="365"/>
      <c r="R804" s="365"/>
      <c r="S804" s="365"/>
      <c r="T804" s="365"/>
      <c r="U804" s="366"/>
      <c r="V804" s="367"/>
      <c r="W804" s="367"/>
      <c r="X804" s="367"/>
      <c r="Y804" s="367"/>
      <c r="Z804" s="367"/>
      <c r="AA804" s="367"/>
      <c r="AB804" s="367"/>
      <c r="AC804" s="367"/>
      <c r="AD804" s="367"/>
      <c r="AE804" s="367"/>
      <c r="AF804" s="367"/>
      <c r="AG804" s="367"/>
      <c r="AH804" s="367"/>
      <c r="AI804" s="367"/>
      <c r="AJ804" s="367"/>
      <c r="AK804" s="367"/>
      <c r="AL804" s="367"/>
      <c r="AM804" s="367"/>
      <c r="AN804" s="367"/>
      <c r="AO804" s="367"/>
      <c r="AP804" s="367"/>
      <c r="AQ804" s="367"/>
      <c r="AR804" s="367"/>
      <c r="AS804" s="367"/>
      <c r="AT804" s="368"/>
      <c r="AU804" s="367"/>
    </row>
    <row r="805" spans="1:47" ht="12.75">
      <c r="A805" s="367"/>
      <c r="B805" s="367"/>
      <c r="C805" s="367"/>
      <c r="D805" s="367"/>
      <c r="E805" s="367"/>
      <c r="F805" s="367"/>
      <c r="G805" s="367"/>
      <c r="H805" s="367"/>
      <c r="I805" s="367"/>
      <c r="J805" s="367"/>
      <c r="K805" s="367"/>
      <c r="L805" s="367"/>
      <c r="M805" s="367"/>
      <c r="N805" s="367"/>
      <c r="O805" s="367"/>
      <c r="P805" s="364"/>
      <c r="Q805" s="365"/>
      <c r="R805" s="365"/>
      <c r="S805" s="365"/>
      <c r="T805" s="365"/>
      <c r="U805" s="366"/>
      <c r="V805" s="367"/>
      <c r="W805" s="367"/>
      <c r="X805" s="367"/>
      <c r="Y805" s="367"/>
      <c r="Z805" s="367"/>
      <c r="AA805" s="367"/>
      <c r="AB805" s="367"/>
      <c r="AC805" s="367"/>
      <c r="AD805" s="367"/>
      <c r="AE805" s="367"/>
      <c r="AF805" s="367"/>
      <c r="AG805" s="367"/>
      <c r="AH805" s="367"/>
      <c r="AI805" s="367"/>
      <c r="AJ805" s="367"/>
      <c r="AK805" s="367"/>
      <c r="AL805" s="367"/>
      <c r="AM805" s="367"/>
      <c r="AN805" s="367"/>
      <c r="AO805" s="367"/>
      <c r="AP805" s="367"/>
      <c r="AQ805" s="367"/>
      <c r="AR805" s="367"/>
      <c r="AS805" s="367"/>
      <c r="AT805" s="368"/>
      <c r="AU805" s="367"/>
    </row>
    <row r="806" spans="1:47" ht="12.75">
      <c r="A806" s="367"/>
      <c r="B806" s="367"/>
      <c r="C806" s="367"/>
      <c r="D806" s="367"/>
      <c r="E806" s="367"/>
      <c r="F806" s="367"/>
      <c r="G806" s="367"/>
      <c r="H806" s="367"/>
      <c r="I806" s="367"/>
      <c r="J806" s="367"/>
      <c r="K806" s="367"/>
      <c r="L806" s="367"/>
      <c r="M806" s="367"/>
      <c r="N806" s="367"/>
      <c r="O806" s="367"/>
      <c r="P806" s="364"/>
      <c r="Q806" s="365"/>
      <c r="R806" s="365"/>
      <c r="S806" s="365"/>
      <c r="T806" s="365"/>
      <c r="U806" s="366"/>
      <c r="V806" s="367"/>
      <c r="W806" s="367"/>
      <c r="X806" s="367"/>
      <c r="Y806" s="367"/>
      <c r="Z806" s="367"/>
      <c r="AA806" s="367"/>
      <c r="AB806" s="367"/>
      <c r="AC806" s="367"/>
      <c r="AD806" s="367"/>
      <c r="AE806" s="367"/>
      <c r="AF806" s="367"/>
      <c r="AG806" s="367"/>
      <c r="AH806" s="367"/>
      <c r="AI806" s="367"/>
      <c r="AJ806" s="367"/>
      <c r="AK806" s="367"/>
      <c r="AL806" s="367"/>
      <c r="AM806" s="367"/>
      <c r="AN806" s="367"/>
      <c r="AO806" s="367"/>
      <c r="AP806" s="367"/>
      <c r="AQ806" s="367"/>
      <c r="AR806" s="367"/>
      <c r="AS806" s="367"/>
      <c r="AT806" s="368"/>
      <c r="AU806" s="367"/>
    </row>
    <row r="807" spans="1:47" ht="12.75">
      <c r="A807" s="367"/>
      <c r="B807" s="367"/>
      <c r="C807" s="367"/>
      <c r="D807" s="367"/>
      <c r="E807" s="367"/>
      <c r="F807" s="367"/>
      <c r="G807" s="367"/>
      <c r="H807" s="367"/>
      <c r="I807" s="367"/>
      <c r="J807" s="367"/>
      <c r="K807" s="367"/>
      <c r="L807" s="367"/>
      <c r="M807" s="367"/>
      <c r="N807" s="367"/>
      <c r="O807" s="367"/>
      <c r="P807" s="364"/>
      <c r="Q807" s="365"/>
      <c r="R807" s="365"/>
      <c r="S807" s="365"/>
      <c r="T807" s="365"/>
      <c r="U807" s="366"/>
      <c r="V807" s="367"/>
      <c r="W807" s="367"/>
      <c r="X807" s="367"/>
      <c r="Y807" s="367"/>
      <c r="Z807" s="367"/>
      <c r="AA807" s="367"/>
      <c r="AB807" s="367"/>
      <c r="AC807" s="367"/>
      <c r="AD807" s="367"/>
      <c r="AE807" s="367"/>
      <c r="AF807" s="367"/>
      <c r="AG807" s="367"/>
      <c r="AH807" s="367"/>
      <c r="AI807" s="367"/>
      <c r="AJ807" s="367"/>
      <c r="AK807" s="367"/>
      <c r="AL807" s="367"/>
      <c r="AM807" s="367"/>
      <c r="AN807" s="367"/>
      <c r="AO807" s="367"/>
      <c r="AP807" s="367"/>
      <c r="AQ807" s="367"/>
      <c r="AR807" s="367"/>
      <c r="AS807" s="367"/>
      <c r="AT807" s="368"/>
      <c r="AU807" s="367"/>
    </row>
    <row r="808" spans="1:47" ht="12.75">
      <c r="A808" s="367"/>
      <c r="B808" s="367"/>
      <c r="C808" s="367"/>
      <c r="D808" s="367"/>
      <c r="E808" s="367"/>
      <c r="F808" s="367"/>
      <c r="G808" s="367"/>
      <c r="H808" s="367"/>
      <c r="I808" s="367"/>
      <c r="J808" s="367"/>
      <c r="K808" s="367"/>
      <c r="L808" s="367"/>
      <c r="M808" s="367"/>
      <c r="N808" s="367"/>
      <c r="O808" s="367"/>
      <c r="P808" s="364"/>
      <c r="Q808" s="365"/>
      <c r="R808" s="365"/>
      <c r="S808" s="365"/>
      <c r="T808" s="365"/>
      <c r="U808" s="366"/>
      <c r="V808" s="367"/>
      <c r="W808" s="367"/>
      <c r="X808" s="367"/>
      <c r="Y808" s="367"/>
      <c r="Z808" s="367"/>
      <c r="AA808" s="367"/>
      <c r="AB808" s="367"/>
      <c r="AC808" s="367"/>
      <c r="AD808" s="367"/>
      <c r="AE808" s="367"/>
      <c r="AF808" s="367"/>
      <c r="AG808" s="367"/>
      <c r="AH808" s="367"/>
      <c r="AI808" s="367"/>
      <c r="AJ808" s="367"/>
      <c r="AK808" s="367"/>
      <c r="AL808" s="367"/>
      <c r="AM808" s="367"/>
      <c r="AN808" s="367"/>
      <c r="AO808" s="367"/>
      <c r="AP808" s="367"/>
      <c r="AQ808" s="367"/>
      <c r="AR808" s="367"/>
      <c r="AS808" s="367"/>
      <c r="AT808" s="368"/>
      <c r="AU808" s="367"/>
    </row>
    <row r="809" spans="1:47" ht="12.75">
      <c r="A809" s="367"/>
      <c r="B809" s="367"/>
      <c r="C809" s="367"/>
      <c r="D809" s="367"/>
      <c r="E809" s="367"/>
      <c r="F809" s="367"/>
      <c r="G809" s="367"/>
      <c r="H809" s="367"/>
      <c r="I809" s="367"/>
      <c r="J809" s="367"/>
      <c r="K809" s="367"/>
      <c r="L809" s="367"/>
      <c r="M809" s="367"/>
      <c r="N809" s="367"/>
      <c r="O809" s="367"/>
      <c r="P809" s="364"/>
      <c r="Q809" s="365"/>
      <c r="R809" s="365"/>
      <c r="S809" s="365"/>
      <c r="T809" s="365"/>
      <c r="U809" s="366"/>
      <c r="V809" s="367"/>
      <c r="W809" s="367"/>
      <c r="X809" s="367"/>
      <c r="Y809" s="367"/>
      <c r="Z809" s="367"/>
      <c r="AA809" s="367"/>
      <c r="AB809" s="367"/>
      <c r="AC809" s="367"/>
      <c r="AD809" s="367"/>
      <c r="AE809" s="367"/>
      <c r="AF809" s="367"/>
      <c r="AG809" s="367"/>
      <c r="AH809" s="367"/>
      <c r="AI809" s="367"/>
      <c r="AJ809" s="367"/>
      <c r="AK809" s="367"/>
      <c r="AL809" s="367"/>
      <c r="AM809" s="367"/>
      <c r="AN809" s="367"/>
      <c r="AO809" s="367"/>
      <c r="AP809" s="367"/>
      <c r="AQ809" s="367"/>
      <c r="AR809" s="367"/>
      <c r="AS809" s="367"/>
      <c r="AT809" s="368"/>
      <c r="AU809" s="367"/>
    </row>
    <row r="810" spans="1:47" ht="12.75">
      <c r="A810" s="367"/>
      <c r="B810" s="367"/>
      <c r="C810" s="367"/>
      <c r="D810" s="367"/>
      <c r="E810" s="367"/>
      <c r="F810" s="367"/>
      <c r="G810" s="367"/>
      <c r="H810" s="367"/>
      <c r="I810" s="367"/>
      <c r="J810" s="367"/>
      <c r="K810" s="367"/>
      <c r="L810" s="367"/>
      <c r="M810" s="367"/>
      <c r="N810" s="367"/>
      <c r="O810" s="367"/>
      <c r="P810" s="364"/>
      <c r="Q810" s="365"/>
      <c r="R810" s="365"/>
      <c r="S810" s="365"/>
      <c r="T810" s="365"/>
      <c r="U810" s="366"/>
      <c r="V810" s="367"/>
      <c r="W810" s="367"/>
      <c r="X810" s="367"/>
      <c r="Y810" s="367"/>
      <c r="Z810" s="367"/>
      <c r="AA810" s="367"/>
      <c r="AB810" s="367"/>
      <c r="AC810" s="367"/>
      <c r="AD810" s="367"/>
      <c r="AE810" s="367"/>
      <c r="AF810" s="367"/>
      <c r="AG810" s="367"/>
      <c r="AH810" s="367"/>
      <c r="AI810" s="367"/>
      <c r="AJ810" s="367"/>
      <c r="AK810" s="367"/>
      <c r="AL810" s="367"/>
      <c r="AM810" s="367"/>
      <c r="AN810" s="367"/>
      <c r="AO810" s="367"/>
      <c r="AP810" s="367"/>
      <c r="AQ810" s="367"/>
      <c r="AR810" s="367"/>
      <c r="AS810" s="367"/>
      <c r="AT810" s="368"/>
      <c r="AU810" s="367"/>
    </row>
    <row r="811" spans="1:47" ht="12.75">
      <c r="A811" s="367"/>
      <c r="B811" s="367"/>
      <c r="C811" s="367"/>
      <c r="D811" s="367"/>
      <c r="E811" s="367"/>
      <c r="F811" s="367"/>
      <c r="G811" s="367"/>
      <c r="H811" s="367"/>
      <c r="I811" s="367"/>
      <c r="J811" s="367"/>
      <c r="K811" s="367"/>
      <c r="L811" s="367"/>
      <c r="M811" s="367"/>
      <c r="N811" s="367"/>
      <c r="O811" s="367"/>
      <c r="P811" s="364"/>
      <c r="Q811" s="365"/>
      <c r="R811" s="365"/>
      <c r="S811" s="365"/>
      <c r="T811" s="365"/>
      <c r="U811" s="366"/>
      <c r="V811" s="367"/>
      <c r="W811" s="367"/>
      <c r="X811" s="367"/>
      <c r="Y811" s="367"/>
      <c r="Z811" s="367"/>
      <c r="AA811" s="367"/>
      <c r="AB811" s="367"/>
      <c r="AC811" s="367"/>
      <c r="AD811" s="367"/>
      <c r="AE811" s="367"/>
      <c r="AF811" s="367"/>
      <c r="AG811" s="367"/>
      <c r="AH811" s="367"/>
      <c r="AI811" s="367"/>
      <c r="AJ811" s="367"/>
      <c r="AK811" s="367"/>
      <c r="AL811" s="367"/>
      <c r="AM811" s="367"/>
      <c r="AN811" s="367"/>
      <c r="AO811" s="367"/>
      <c r="AP811" s="367"/>
      <c r="AQ811" s="367"/>
      <c r="AR811" s="367"/>
      <c r="AS811" s="367"/>
      <c r="AT811" s="368"/>
      <c r="AU811" s="367"/>
    </row>
    <row r="812" spans="1:47" ht="12.75">
      <c r="A812" s="367"/>
      <c r="B812" s="367"/>
      <c r="C812" s="367"/>
      <c r="D812" s="367"/>
      <c r="E812" s="367"/>
      <c r="F812" s="367"/>
      <c r="G812" s="367"/>
      <c r="H812" s="367"/>
      <c r="I812" s="367"/>
      <c r="J812" s="367"/>
      <c r="K812" s="367"/>
      <c r="L812" s="367"/>
      <c r="M812" s="367"/>
      <c r="N812" s="367"/>
      <c r="O812" s="367"/>
      <c r="P812" s="364"/>
      <c r="Q812" s="365"/>
      <c r="R812" s="365"/>
      <c r="S812" s="365"/>
      <c r="T812" s="365"/>
      <c r="U812" s="366"/>
      <c r="V812" s="367"/>
      <c r="W812" s="367"/>
      <c r="X812" s="367"/>
      <c r="Y812" s="367"/>
      <c r="Z812" s="367"/>
      <c r="AA812" s="367"/>
      <c r="AB812" s="367"/>
      <c r="AC812" s="367"/>
      <c r="AD812" s="367"/>
      <c r="AE812" s="367"/>
      <c r="AF812" s="367"/>
      <c r="AG812" s="367"/>
      <c r="AH812" s="367"/>
      <c r="AI812" s="367"/>
      <c r="AJ812" s="367"/>
      <c r="AK812" s="367"/>
      <c r="AL812" s="367"/>
      <c r="AM812" s="367"/>
      <c r="AN812" s="367"/>
      <c r="AO812" s="367"/>
      <c r="AP812" s="367"/>
      <c r="AQ812" s="367"/>
      <c r="AR812" s="367"/>
      <c r="AS812" s="367"/>
      <c r="AT812" s="368"/>
      <c r="AU812" s="367"/>
    </row>
    <row r="813" spans="1:47" ht="12.75">
      <c r="A813" s="367"/>
      <c r="B813" s="367"/>
      <c r="C813" s="367"/>
      <c r="D813" s="367"/>
      <c r="E813" s="367"/>
      <c r="F813" s="367"/>
      <c r="G813" s="367"/>
      <c r="H813" s="367"/>
      <c r="I813" s="367"/>
      <c r="J813" s="367"/>
      <c r="K813" s="367"/>
      <c r="L813" s="367"/>
      <c r="M813" s="367"/>
      <c r="N813" s="367"/>
      <c r="O813" s="367"/>
      <c r="P813" s="364"/>
      <c r="Q813" s="365"/>
      <c r="R813" s="365"/>
      <c r="S813" s="365"/>
      <c r="T813" s="365"/>
      <c r="U813" s="366"/>
      <c r="V813" s="367"/>
      <c r="W813" s="367"/>
      <c r="X813" s="367"/>
      <c r="Y813" s="367"/>
      <c r="Z813" s="367"/>
      <c r="AA813" s="367"/>
      <c r="AB813" s="367"/>
      <c r="AC813" s="367"/>
      <c r="AD813" s="367"/>
      <c r="AE813" s="367"/>
      <c r="AF813" s="367"/>
      <c r="AG813" s="367"/>
      <c r="AH813" s="367"/>
      <c r="AI813" s="367"/>
      <c r="AJ813" s="367"/>
      <c r="AK813" s="367"/>
      <c r="AL813" s="367"/>
      <c r="AM813" s="367"/>
      <c r="AN813" s="367"/>
      <c r="AO813" s="367"/>
      <c r="AP813" s="367"/>
      <c r="AQ813" s="367"/>
      <c r="AR813" s="367"/>
      <c r="AS813" s="367"/>
      <c r="AT813" s="368"/>
      <c r="AU813" s="367"/>
    </row>
    <row r="814" spans="1:47" ht="12.75">
      <c r="A814" s="367"/>
      <c r="B814" s="367"/>
      <c r="C814" s="367"/>
      <c r="D814" s="367"/>
      <c r="E814" s="367"/>
      <c r="F814" s="367"/>
      <c r="G814" s="367"/>
      <c r="H814" s="367"/>
      <c r="I814" s="367"/>
      <c r="J814" s="367"/>
      <c r="K814" s="367"/>
      <c r="L814" s="367"/>
      <c r="M814" s="367"/>
      <c r="N814" s="367"/>
      <c r="O814" s="367"/>
      <c r="P814" s="364"/>
      <c r="Q814" s="365"/>
      <c r="R814" s="365"/>
      <c r="S814" s="365"/>
      <c r="T814" s="365"/>
      <c r="U814" s="366"/>
      <c r="V814" s="367"/>
      <c r="W814" s="367"/>
      <c r="X814" s="367"/>
      <c r="Y814" s="367"/>
      <c r="Z814" s="367"/>
      <c r="AA814" s="367"/>
      <c r="AB814" s="367"/>
      <c r="AC814" s="367"/>
      <c r="AD814" s="367"/>
      <c r="AE814" s="367"/>
      <c r="AF814" s="367"/>
      <c r="AG814" s="367"/>
      <c r="AH814" s="367"/>
      <c r="AI814" s="367"/>
      <c r="AJ814" s="367"/>
      <c r="AK814" s="367"/>
      <c r="AL814" s="367"/>
      <c r="AM814" s="367"/>
      <c r="AN814" s="367"/>
      <c r="AO814" s="367"/>
      <c r="AP814" s="367"/>
      <c r="AQ814" s="367"/>
      <c r="AR814" s="367"/>
      <c r="AS814" s="367"/>
      <c r="AT814" s="368"/>
      <c r="AU814" s="367"/>
    </row>
    <row r="815" spans="1:47" ht="12.75">
      <c r="A815" s="367"/>
      <c r="B815" s="367"/>
      <c r="C815" s="367"/>
      <c r="D815" s="367"/>
      <c r="E815" s="367"/>
      <c r="F815" s="367"/>
      <c r="G815" s="367"/>
      <c r="H815" s="367"/>
      <c r="I815" s="367"/>
      <c r="J815" s="367"/>
      <c r="K815" s="367"/>
      <c r="L815" s="367"/>
      <c r="M815" s="367"/>
      <c r="N815" s="367"/>
      <c r="O815" s="367"/>
      <c r="P815" s="364"/>
      <c r="Q815" s="365"/>
      <c r="R815" s="365"/>
      <c r="S815" s="365"/>
      <c r="T815" s="365"/>
      <c r="U815" s="366"/>
      <c r="V815" s="367"/>
      <c r="W815" s="367"/>
      <c r="X815" s="367"/>
      <c r="Y815" s="367"/>
      <c r="Z815" s="367"/>
      <c r="AA815" s="367"/>
      <c r="AB815" s="367"/>
      <c r="AC815" s="367"/>
      <c r="AD815" s="367"/>
      <c r="AE815" s="367"/>
      <c r="AF815" s="367"/>
      <c r="AG815" s="367"/>
      <c r="AH815" s="367"/>
      <c r="AI815" s="367"/>
      <c r="AJ815" s="367"/>
      <c r="AK815" s="367"/>
      <c r="AL815" s="367"/>
      <c r="AM815" s="367"/>
      <c r="AN815" s="367"/>
      <c r="AO815" s="367"/>
      <c r="AP815" s="367"/>
      <c r="AQ815" s="367"/>
      <c r="AR815" s="367"/>
      <c r="AS815" s="367"/>
      <c r="AT815" s="368"/>
      <c r="AU815" s="367"/>
    </row>
    <row r="816" spans="1:47" ht="12.75">
      <c r="A816" s="367"/>
      <c r="B816" s="367"/>
      <c r="C816" s="367"/>
      <c r="D816" s="367"/>
      <c r="E816" s="367"/>
      <c r="F816" s="367"/>
      <c r="G816" s="367"/>
      <c r="H816" s="367"/>
      <c r="I816" s="367"/>
      <c r="J816" s="367"/>
      <c r="K816" s="367"/>
      <c r="L816" s="367"/>
      <c r="M816" s="367"/>
      <c r="N816" s="367"/>
      <c r="O816" s="367"/>
      <c r="P816" s="364"/>
      <c r="Q816" s="365"/>
      <c r="R816" s="365"/>
      <c r="S816" s="365"/>
      <c r="T816" s="365"/>
      <c r="U816" s="366"/>
      <c r="V816" s="367"/>
      <c r="W816" s="367"/>
      <c r="X816" s="367"/>
      <c r="Y816" s="367"/>
      <c r="Z816" s="367"/>
      <c r="AA816" s="367"/>
      <c r="AB816" s="367"/>
      <c r="AC816" s="367"/>
      <c r="AD816" s="367"/>
      <c r="AE816" s="367"/>
      <c r="AF816" s="367"/>
      <c r="AG816" s="367"/>
      <c r="AH816" s="367"/>
      <c r="AI816" s="367"/>
      <c r="AJ816" s="367"/>
      <c r="AK816" s="367"/>
      <c r="AL816" s="367"/>
      <c r="AM816" s="367"/>
      <c r="AN816" s="367"/>
      <c r="AO816" s="367"/>
      <c r="AP816" s="367"/>
      <c r="AQ816" s="367"/>
      <c r="AR816" s="367"/>
      <c r="AS816" s="367"/>
      <c r="AT816" s="368"/>
      <c r="AU816" s="367"/>
    </row>
    <row r="817" spans="1:47" ht="12.75">
      <c r="A817" s="367"/>
      <c r="B817" s="367"/>
      <c r="C817" s="367"/>
      <c r="D817" s="367"/>
      <c r="E817" s="367"/>
      <c r="F817" s="367"/>
      <c r="G817" s="367"/>
      <c r="H817" s="367"/>
      <c r="I817" s="367"/>
      <c r="J817" s="367"/>
      <c r="K817" s="367"/>
      <c r="L817" s="367"/>
      <c r="M817" s="367"/>
      <c r="N817" s="367"/>
      <c r="O817" s="367"/>
      <c r="P817" s="364"/>
      <c r="Q817" s="365"/>
      <c r="R817" s="365"/>
      <c r="S817" s="365"/>
      <c r="T817" s="365"/>
      <c r="U817" s="366"/>
      <c r="V817" s="367"/>
      <c r="W817" s="367"/>
      <c r="X817" s="367"/>
      <c r="Y817" s="367"/>
      <c r="Z817" s="367"/>
      <c r="AA817" s="367"/>
      <c r="AB817" s="367"/>
      <c r="AC817" s="367"/>
      <c r="AD817" s="367"/>
      <c r="AE817" s="367"/>
      <c r="AF817" s="367"/>
      <c r="AG817" s="367"/>
      <c r="AH817" s="367"/>
      <c r="AI817" s="367"/>
      <c r="AJ817" s="367"/>
      <c r="AK817" s="367"/>
      <c r="AL817" s="367"/>
      <c r="AM817" s="367"/>
      <c r="AN817" s="367"/>
      <c r="AO817" s="367"/>
      <c r="AP817" s="367"/>
      <c r="AQ817" s="367"/>
      <c r="AR817" s="367"/>
      <c r="AS817" s="367"/>
      <c r="AT817" s="368"/>
      <c r="AU817" s="367"/>
    </row>
    <row r="818" spans="1:47" ht="12.75">
      <c r="A818" s="367"/>
      <c r="B818" s="367"/>
      <c r="C818" s="367"/>
      <c r="D818" s="367"/>
      <c r="E818" s="367"/>
      <c r="F818" s="367"/>
      <c r="G818" s="367"/>
      <c r="H818" s="367"/>
      <c r="I818" s="367"/>
      <c r="J818" s="367"/>
      <c r="K818" s="367"/>
      <c r="L818" s="367"/>
      <c r="M818" s="367"/>
      <c r="N818" s="367"/>
      <c r="O818" s="367"/>
      <c r="P818" s="364"/>
      <c r="Q818" s="365"/>
      <c r="R818" s="365"/>
      <c r="S818" s="365"/>
      <c r="T818" s="365"/>
      <c r="U818" s="366"/>
      <c r="V818" s="367"/>
      <c r="W818" s="367"/>
      <c r="X818" s="367"/>
      <c r="Y818" s="367"/>
      <c r="Z818" s="367"/>
      <c r="AA818" s="367"/>
      <c r="AB818" s="367"/>
      <c r="AC818" s="367"/>
      <c r="AD818" s="367"/>
      <c r="AE818" s="367"/>
      <c r="AF818" s="367"/>
      <c r="AG818" s="367"/>
      <c r="AH818" s="367"/>
      <c r="AI818" s="367"/>
      <c r="AJ818" s="367"/>
      <c r="AK818" s="367"/>
      <c r="AL818" s="367"/>
      <c r="AM818" s="367"/>
      <c r="AN818" s="367"/>
      <c r="AO818" s="367"/>
      <c r="AP818" s="367"/>
      <c r="AQ818" s="367"/>
      <c r="AR818" s="367"/>
      <c r="AS818" s="367"/>
      <c r="AT818" s="368"/>
      <c r="AU818" s="367"/>
    </row>
    <row r="819" spans="1:47" ht="12.75">
      <c r="A819" s="367"/>
      <c r="B819" s="367"/>
      <c r="C819" s="367"/>
      <c r="D819" s="367"/>
      <c r="E819" s="367"/>
      <c r="F819" s="367"/>
      <c r="G819" s="367"/>
      <c r="H819" s="367"/>
      <c r="I819" s="367"/>
      <c r="J819" s="367"/>
      <c r="K819" s="367"/>
      <c r="L819" s="367"/>
      <c r="M819" s="367"/>
      <c r="N819" s="367"/>
      <c r="O819" s="367"/>
      <c r="P819" s="364"/>
      <c r="Q819" s="365"/>
      <c r="R819" s="365"/>
      <c r="S819" s="365"/>
      <c r="T819" s="365"/>
      <c r="U819" s="366"/>
      <c r="V819" s="367"/>
      <c r="W819" s="367"/>
      <c r="X819" s="367"/>
      <c r="Y819" s="367"/>
      <c r="Z819" s="367"/>
      <c r="AA819" s="367"/>
      <c r="AB819" s="367"/>
      <c r="AC819" s="367"/>
      <c r="AD819" s="367"/>
      <c r="AE819" s="367"/>
      <c r="AF819" s="367"/>
      <c r="AG819" s="367"/>
      <c r="AH819" s="367"/>
      <c r="AI819" s="367"/>
      <c r="AJ819" s="367"/>
      <c r="AK819" s="367"/>
      <c r="AL819" s="367"/>
      <c r="AM819" s="367"/>
      <c r="AN819" s="367"/>
      <c r="AO819" s="367"/>
      <c r="AP819" s="367"/>
      <c r="AQ819" s="367"/>
      <c r="AR819" s="367"/>
      <c r="AS819" s="367"/>
      <c r="AT819" s="368"/>
      <c r="AU819" s="367"/>
    </row>
    <row r="820" spans="1:47" ht="12.75">
      <c r="A820" s="367"/>
      <c r="B820" s="367"/>
      <c r="C820" s="367"/>
      <c r="D820" s="367"/>
      <c r="E820" s="367"/>
      <c r="F820" s="367"/>
      <c r="G820" s="367"/>
      <c r="H820" s="367"/>
      <c r="I820" s="367"/>
      <c r="J820" s="367"/>
      <c r="K820" s="367"/>
      <c r="L820" s="367"/>
      <c r="M820" s="367"/>
      <c r="N820" s="367"/>
      <c r="O820" s="367"/>
      <c r="P820" s="364"/>
      <c r="Q820" s="365"/>
      <c r="R820" s="365"/>
      <c r="S820" s="365"/>
      <c r="T820" s="365"/>
      <c r="U820" s="366"/>
      <c r="V820" s="367"/>
      <c r="W820" s="367"/>
      <c r="X820" s="367"/>
      <c r="Y820" s="367"/>
      <c r="Z820" s="367"/>
      <c r="AA820" s="367"/>
      <c r="AB820" s="367"/>
      <c r="AC820" s="367"/>
      <c r="AD820" s="367"/>
      <c r="AE820" s="367"/>
      <c r="AF820" s="367"/>
      <c r="AG820" s="367"/>
      <c r="AH820" s="367"/>
      <c r="AI820" s="367"/>
      <c r="AJ820" s="367"/>
      <c r="AK820" s="367"/>
      <c r="AL820" s="367"/>
      <c r="AM820" s="367"/>
      <c r="AN820" s="367"/>
      <c r="AO820" s="367"/>
      <c r="AP820" s="367"/>
      <c r="AQ820" s="367"/>
      <c r="AR820" s="367"/>
      <c r="AS820" s="367"/>
      <c r="AT820" s="368"/>
      <c r="AU820" s="367"/>
    </row>
    <row r="821" spans="1:47" ht="12.75">
      <c r="A821" s="367"/>
      <c r="B821" s="367"/>
      <c r="C821" s="367"/>
      <c r="D821" s="367"/>
      <c r="E821" s="367"/>
      <c r="F821" s="367"/>
      <c r="G821" s="367"/>
      <c r="H821" s="367"/>
      <c r="I821" s="367"/>
      <c r="J821" s="367"/>
      <c r="K821" s="367"/>
      <c r="L821" s="367"/>
      <c r="M821" s="367"/>
      <c r="N821" s="367"/>
      <c r="O821" s="367"/>
      <c r="P821" s="364"/>
      <c r="Q821" s="365"/>
      <c r="R821" s="365"/>
      <c r="S821" s="365"/>
      <c r="T821" s="365"/>
      <c r="U821" s="366"/>
      <c r="V821" s="367"/>
      <c r="W821" s="367"/>
      <c r="X821" s="367"/>
      <c r="Y821" s="367"/>
      <c r="Z821" s="367"/>
      <c r="AA821" s="367"/>
      <c r="AB821" s="367"/>
      <c r="AC821" s="367"/>
      <c r="AD821" s="367"/>
      <c r="AE821" s="367"/>
      <c r="AF821" s="367"/>
      <c r="AG821" s="367"/>
      <c r="AH821" s="367"/>
      <c r="AI821" s="367"/>
      <c r="AJ821" s="367"/>
      <c r="AK821" s="367"/>
      <c r="AL821" s="367"/>
      <c r="AM821" s="367"/>
      <c r="AN821" s="367"/>
      <c r="AO821" s="367"/>
      <c r="AP821" s="367"/>
      <c r="AQ821" s="367"/>
      <c r="AR821" s="367"/>
      <c r="AS821" s="367"/>
      <c r="AT821" s="368"/>
      <c r="AU821" s="367"/>
    </row>
    <row r="822" spans="1:47" ht="12.75">
      <c r="A822" s="367"/>
      <c r="B822" s="367"/>
      <c r="C822" s="367"/>
      <c r="D822" s="367"/>
      <c r="E822" s="367"/>
      <c r="F822" s="367"/>
      <c r="G822" s="367"/>
      <c r="H822" s="367"/>
      <c r="I822" s="367"/>
      <c r="J822" s="367"/>
      <c r="K822" s="367"/>
      <c r="L822" s="367"/>
      <c r="M822" s="367"/>
      <c r="N822" s="367"/>
      <c r="O822" s="367"/>
      <c r="P822" s="364"/>
      <c r="Q822" s="365"/>
      <c r="R822" s="365"/>
      <c r="S822" s="365"/>
      <c r="T822" s="365"/>
      <c r="U822" s="366"/>
      <c r="V822" s="367"/>
      <c r="W822" s="367"/>
      <c r="X822" s="367"/>
      <c r="Y822" s="367"/>
      <c r="Z822" s="367"/>
      <c r="AA822" s="367"/>
      <c r="AB822" s="367"/>
      <c r="AC822" s="367"/>
      <c r="AD822" s="367"/>
      <c r="AE822" s="367"/>
      <c r="AF822" s="367"/>
      <c r="AG822" s="367"/>
      <c r="AH822" s="367"/>
      <c r="AI822" s="367"/>
      <c r="AJ822" s="367"/>
      <c r="AK822" s="367"/>
      <c r="AL822" s="367"/>
      <c r="AM822" s="367"/>
      <c r="AN822" s="367"/>
      <c r="AO822" s="367"/>
      <c r="AP822" s="367"/>
      <c r="AQ822" s="367"/>
      <c r="AR822" s="367"/>
      <c r="AS822" s="367"/>
      <c r="AT822" s="368"/>
      <c r="AU822" s="367"/>
    </row>
    <row r="823" spans="1:47" ht="12.75">
      <c r="A823" s="367"/>
      <c r="B823" s="367"/>
      <c r="C823" s="367"/>
      <c r="D823" s="367"/>
      <c r="E823" s="367"/>
      <c r="F823" s="367"/>
      <c r="G823" s="367"/>
      <c r="H823" s="367"/>
      <c r="I823" s="367"/>
      <c r="J823" s="367"/>
      <c r="K823" s="367"/>
      <c r="L823" s="367"/>
      <c r="M823" s="367"/>
      <c r="N823" s="367"/>
      <c r="O823" s="367"/>
      <c r="P823" s="364"/>
      <c r="Q823" s="365"/>
      <c r="R823" s="365"/>
      <c r="S823" s="365"/>
      <c r="T823" s="365"/>
      <c r="U823" s="366"/>
      <c r="V823" s="367"/>
      <c r="W823" s="367"/>
      <c r="X823" s="367"/>
      <c r="Y823" s="367"/>
      <c r="Z823" s="367"/>
      <c r="AA823" s="367"/>
      <c r="AB823" s="367"/>
      <c r="AC823" s="367"/>
      <c r="AD823" s="367"/>
      <c r="AE823" s="367"/>
      <c r="AF823" s="367"/>
      <c r="AG823" s="367"/>
      <c r="AH823" s="367"/>
      <c r="AI823" s="367"/>
      <c r="AJ823" s="367"/>
      <c r="AK823" s="367"/>
      <c r="AL823" s="367"/>
      <c r="AM823" s="367"/>
      <c r="AN823" s="367"/>
      <c r="AO823" s="367"/>
      <c r="AP823" s="367"/>
      <c r="AQ823" s="367"/>
      <c r="AR823" s="367"/>
      <c r="AS823" s="367"/>
      <c r="AT823" s="368"/>
      <c r="AU823" s="367"/>
    </row>
    <row r="824" spans="1:47" ht="12.75">
      <c r="A824" s="367"/>
      <c r="B824" s="367"/>
      <c r="C824" s="367"/>
      <c r="D824" s="367"/>
      <c r="E824" s="367"/>
      <c r="F824" s="367"/>
      <c r="G824" s="367"/>
      <c r="H824" s="367"/>
      <c r="I824" s="367"/>
      <c r="J824" s="367"/>
      <c r="K824" s="367"/>
      <c r="L824" s="367"/>
      <c r="M824" s="367"/>
      <c r="N824" s="367"/>
      <c r="O824" s="367"/>
      <c r="P824" s="364"/>
      <c r="Q824" s="365"/>
      <c r="R824" s="365"/>
      <c r="S824" s="365"/>
      <c r="T824" s="365"/>
      <c r="U824" s="366"/>
      <c r="V824" s="367"/>
      <c r="W824" s="367"/>
      <c r="X824" s="367"/>
      <c r="Y824" s="367"/>
      <c r="Z824" s="367"/>
      <c r="AA824" s="367"/>
      <c r="AB824" s="367"/>
      <c r="AC824" s="367"/>
      <c r="AD824" s="367"/>
      <c r="AE824" s="367"/>
      <c r="AF824" s="367"/>
      <c r="AG824" s="367"/>
      <c r="AH824" s="367"/>
      <c r="AI824" s="367"/>
      <c r="AJ824" s="367"/>
      <c r="AK824" s="367"/>
      <c r="AL824" s="367"/>
      <c r="AM824" s="367"/>
      <c r="AN824" s="367"/>
      <c r="AO824" s="367"/>
      <c r="AP824" s="367"/>
      <c r="AQ824" s="367"/>
      <c r="AR824" s="367"/>
      <c r="AS824" s="367"/>
      <c r="AT824" s="368"/>
      <c r="AU824" s="367"/>
    </row>
    <row r="825" spans="1:47" ht="12.75">
      <c r="A825" s="367"/>
      <c r="B825" s="367"/>
      <c r="C825" s="367"/>
      <c r="D825" s="367"/>
      <c r="E825" s="367"/>
      <c r="F825" s="367"/>
      <c r="G825" s="367"/>
      <c r="H825" s="367"/>
      <c r="I825" s="367"/>
      <c r="J825" s="367"/>
      <c r="K825" s="367"/>
      <c r="L825" s="367"/>
      <c r="M825" s="367"/>
      <c r="N825" s="367"/>
      <c r="O825" s="367"/>
      <c r="P825" s="364"/>
      <c r="Q825" s="365"/>
      <c r="R825" s="365"/>
      <c r="S825" s="365"/>
      <c r="T825" s="365"/>
      <c r="U825" s="366"/>
      <c r="V825" s="367"/>
      <c r="W825" s="367"/>
      <c r="X825" s="367"/>
      <c r="Y825" s="367"/>
      <c r="Z825" s="367"/>
      <c r="AA825" s="367"/>
      <c r="AB825" s="367"/>
      <c r="AC825" s="367"/>
      <c r="AD825" s="367"/>
      <c r="AE825" s="367"/>
      <c r="AF825" s="367"/>
      <c r="AG825" s="367"/>
      <c r="AH825" s="367"/>
      <c r="AI825" s="367"/>
      <c r="AJ825" s="367"/>
      <c r="AK825" s="367"/>
      <c r="AL825" s="367"/>
      <c r="AM825" s="367"/>
      <c r="AN825" s="367"/>
      <c r="AO825" s="367"/>
      <c r="AP825" s="367"/>
      <c r="AQ825" s="367"/>
      <c r="AR825" s="367"/>
      <c r="AS825" s="367"/>
      <c r="AT825" s="368"/>
      <c r="AU825" s="367"/>
    </row>
    <row r="826" spans="1:47" ht="12.75">
      <c r="A826" s="367"/>
      <c r="B826" s="367"/>
      <c r="C826" s="367"/>
      <c r="D826" s="367"/>
      <c r="E826" s="367"/>
      <c r="F826" s="367"/>
      <c r="G826" s="367"/>
      <c r="H826" s="367"/>
      <c r="I826" s="367"/>
      <c r="J826" s="367"/>
      <c r="K826" s="367"/>
      <c r="L826" s="367"/>
      <c r="M826" s="367"/>
      <c r="N826" s="367"/>
      <c r="O826" s="367"/>
      <c r="P826" s="364"/>
      <c r="Q826" s="365"/>
      <c r="R826" s="365"/>
      <c r="S826" s="365"/>
      <c r="T826" s="365"/>
      <c r="U826" s="366"/>
      <c r="V826" s="367"/>
      <c r="W826" s="367"/>
      <c r="X826" s="367"/>
      <c r="Y826" s="367"/>
      <c r="Z826" s="367"/>
      <c r="AA826" s="367"/>
      <c r="AB826" s="367"/>
      <c r="AC826" s="367"/>
      <c r="AD826" s="367"/>
      <c r="AE826" s="367"/>
      <c r="AF826" s="367"/>
      <c r="AG826" s="367"/>
      <c r="AH826" s="367"/>
      <c r="AI826" s="367"/>
      <c r="AJ826" s="367"/>
      <c r="AK826" s="367"/>
      <c r="AL826" s="367"/>
      <c r="AM826" s="367"/>
      <c r="AN826" s="367"/>
      <c r="AO826" s="367"/>
      <c r="AP826" s="367"/>
      <c r="AQ826" s="367"/>
      <c r="AR826" s="367"/>
      <c r="AS826" s="367"/>
      <c r="AT826" s="368"/>
      <c r="AU826" s="367"/>
    </row>
    <row r="827" spans="1:47" ht="12.75">
      <c r="A827" s="367"/>
      <c r="B827" s="367"/>
      <c r="C827" s="367"/>
      <c r="D827" s="367"/>
      <c r="E827" s="367"/>
      <c r="F827" s="367"/>
      <c r="G827" s="367"/>
      <c r="H827" s="367"/>
      <c r="I827" s="367"/>
      <c r="J827" s="367"/>
      <c r="K827" s="367"/>
      <c r="L827" s="367"/>
      <c r="M827" s="367"/>
      <c r="N827" s="367"/>
      <c r="O827" s="367"/>
      <c r="P827" s="364"/>
      <c r="Q827" s="365"/>
      <c r="R827" s="365"/>
      <c r="S827" s="365"/>
      <c r="T827" s="365"/>
      <c r="U827" s="366"/>
      <c r="V827" s="367"/>
      <c r="W827" s="367"/>
      <c r="X827" s="367"/>
      <c r="Y827" s="367"/>
      <c r="Z827" s="367"/>
      <c r="AA827" s="367"/>
      <c r="AB827" s="367"/>
      <c r="AC827" s="367"/>
      <c r="AD827" s="367"/>
      <c r="AE827" s="367"/>
      <c r="AF827" s="367"/>
      <c r="AG827" s="367"/>
      <c r="AH827" s="367"/>
      <c r="AI827" s="367"/>
      <c r="AJ827" s="367"/>
      <c r="AK827" s="367"/>
      <c r="AL827" s="367"/>
      <c r="AM827" s="367"/>
      <c r="AN827" s="367"/>
      <c r="AO827" s="367"/>
      <c r="AP827" s="367"/>
      <c r="AQ827" s="367"/>
      <c r="AR827" s="367"/>
      <c r="AS827" s="367"/>
      <c r="AT827" s="368"/>
      <c r="AU827" s="367"/>
    </row>
    <row r="828" spans="1:47" ht="12.75">
      <c r="A828" s="367"/>
      <c r="B828" s="367"/>
      <c r="C828" s="367"/>
      <c r="D828" s="367"/>
      <c r="E828" s="367"/>
      <c r="F828" s="367"/>
      <c r="G828" s="367"/>
      <c r="H828" s="367"/>
      <c r="I828" s="367"/>
      <c r="J828" s="367"/>
      <c r="K828" s="367"/>
      <c r="L828" s="367"/>
      <c r="M828" s="367"/>
      <c r="N828" s="367"/>
      <c r="O828" s="367"/>
      <c r="P828" s="364"/>
      <c r="Q828" s="365"/>
      <c r="R828" s="365"/>
      <c r="S828" s="365"/>
      <c r="T828" s="365"/>
      <c r="U828" s="366"/>
      <c r="V828" s="367"/>
      <c r="W828" s="367"/>
      <c r="X828" s="367"/>
      <c r="Y828" s="367"/>
      <c r="Z828" s="367"/>
      <c r="AA828" s="367"/>
      <c r="AB828" s="367"/>
      <c r="AC828" s="367"/>
      <c r="AD828" s="367"/>
      <c r="AE828" s="367"/>
      <c r="AF828" s="367"/>
      <c r="AG828" s="367"/>
      <c r="AH828" s="367"/>
      <c r="AI828" s="367"/>
      <c r="AJ828" s="367"/>
      <c r="AK828" s="367"/>
      <c r="AL828" s="367"/>
      <c r="AM828" s="367"/>
      <c r="AN828" s="367"/>
      <c r="AO828" s="367"/>
      <c r="AP828" s="367"/>
      <c r="AQ828" s="367"/>
      <c r="AR828" s="367"/>
      <c r="AS828" s="367"/>
      <c r="AT828" s="368"/>
      <c r="AU828" s="367"/>
    </row>
    <row r="829" spans="1:47" ht="12.75">
      <c r="A829" s="367"/>
      <c r="B829" s="367"/>
      <c r="C829" s="367"/>
      <c r="D829" s="367"/>
      <c r="E829" s="367"/>
      <c r="F829" s="367"/>
      <c r="G829" s="367"/>
      <c r="H829" s="367"/>
      <c r="I829" s="367"/>
      <c r="J829" s="367"/>
      <c r="K829" s="367"/>
      <c r="L829" s="367"/>
      <c r="M829" s="367"/>
      <c r="N829" s="367"/>
      <c r="O829" s="367"/>
      <c r="P829" s="364"/>
      <c r="Q829" s="365"/>
      <c r="R829" s="365"/>
      <c r="S829" s="365"/>
      <c r="T829" s="365"/>
      <c r="U829" s="366"/>
      <c r="V829" s="367"/>
      <c r="W829" s="367"/>
      <c r="X829" s="367"/>
      <c r="Y829" s="367"/>
      <c r="Z829" s="367"/>
      <c r="AA829" s="367"/>
      <c r="AB829" s="367"/>
      <c r="AC829" s="367"/>
      <c r="AD829" s="367"/>
      <c r="AE829" s="367"/>
      <c r="AF829" s="367"/>
      <c r="AG829" s="367"/>
      <c r="AH829" s="367"/>
      <c r="AI829" s="367"/>
      <c r="AJ829" s="367"/>
      <c r="AK829" s="367"/>
      <c r="AL829" s="367"/>
      <c r="AM829" s="367"/>
      <c r="AN829" s="367"/>
      <c r="AO829" s="367"/>
      <c r="AP829" s="367"/>
      <c r="AQ829" s="367"/>
      <c r="AR829" s="367"/>
      <c r="AS829" s="367"/>
      <c r="AT829" s="368"/>
      <c r="AU829" s="367"/>
    </row>
    <row r="830" spans="1:47" ht="12.75">
      <c r="A830" s="367"/>
      <c r="B830" s="367"/>
      <c r="C830" s="367"/>
      <c r="D830" s="367"/>
      <c r="E830" s="367"/>
      <c r="F830" s="367"/>
      <c r="G830" s="367"/>
      <c r="H830" s="367"/>
      <c r="I830" s="367"/>
      <c r="J830" s="367"/>
      <c r="K830" s="367"/>
      <c r="L830" s="367"/>
      <c r="M830" s="367"/>
      <c r="N830" s="367"/>
      <c r="O830" s="367"/>
      <c r="P830" s="364"/>
      <c r="Q830" s="365"/>
      <c r="R830" s="365"/>
      <c r="S830" s="365"/>
      <c r="T830" s="365"/>
      <c r="U830" s="366"/>
      <c r="V830" s="367"/>
      <c r="W830" s="367"/>
      <c r="X830" s="367"/>
      <c r="Y830" s="367"/>
      <c r="Z830" s="367"/>
      <c r="AA830" s="367"/>
      <c r="AB830" s="367"/>
      <c r="AC830" s="367"/>
      <c r="AD830" s="367"/>
      <c r="AE830" s="367"/>
      <c r="AF830" s="367"/>
      <c r="AG830" s="367"/>
      <c r="AH830" s="367"/>
      <c r="AI830" s="367"/>
      <c r="AJ830" s="367"/>
      <c r="AK830" s="367"/>
      <c r="AL830" s="367"/>
      <c r="AM830" s="367"/>
      <c r="AN830" s="367"/>
      <c r="AO830" s="367"/>
      <c r="AP830" s="367"/>
      <c r="AQ830" s="367"/>
      <c r="AR830" s="367"/>
      <c r="AS830" s="367"/>
      <c r="AT830" s="368"/>
      <c r="AU830" s="367"/>
    </row>
    <row r="831" spans="1:47" ht="12.75">
      <c r="A831" s="367"/>
      <c r="B831" s="367"/>
      <c r="C831" s="367"/>
      <c r="D831" s="367"/>
      <c r="E831" s="367"/>
      <c r="F831" s="367"/>
      <c r="G831" s="367"/>
      <c r="H831" s="367"/>
      <c r="I831" s="367"/>
      <c r="J831" s="367"/>
      <c r="K831" s="367"/>
      <c r="L831" s="367"/>
      <c r="M831" s="367"/>
      <c r="N831" s="367"/>
      <c r="O831" s="367"/>
      <c r="P831" s="364"/>
      <c r="Q831" s="365"/>
      <c r="R831" s="365"/>
      <c r="S831" s="365"/>
      <c r="T831" s="365"/>
      <c r="U831" s="366"/>
      <c r="V831" s="367"/>
      <c r="W831" s="367"/>
      <c r="X831" s="367"/>
      <c r="Y831" s="367"/>
      <c r="Z831" s="367"/>
      <c r="AA831" s="367"/>
      <c r="AB831" s="367"/>
      <c r="AC831" s="367"/>
      <c r="AD831" s="367"/>
      <c r="AE831" s="367"/>
      <c r="AF831" s="367"/>
      <c r="AG831" s="367"/>
      <c r="AH831" s="367"/>
      <c r="AI831" s="367"/>
      <c r="AJ831" s="367"/>
      <c r="AK831" s="367"/>
      <c r="AL831" s="367"/>
      <c r="AM831" s="367"/>
      <c r="AN831" s="367"/>
      <c r="AO831" s="367"/>
      <c r="AP831" s="367"/>
      <c r="AQ831" s="367"/>
      <c r="AR831" s="367"/>
      <c r="AS831" s="367"/>
      <c r="AT831" s="368"/>
      <c r="AU831" s="367"/>
    </row>
    <row r="832" spans="1:47" ht="12.75">
      <c r="A832" s="367"/>
      <c r="B832" s="367"/>
      <c r="C832" s="367"/>
      <c r="D832" s="367"/>
      <c r="E832" s="367"/>
      <c r="F832" s="367"/>
      <c r="G832" s="367"/>
      <c r="H832" s="367"/>
      <c r="I832" s="367"/>
      <c r="J832" s="367"/>
      <c r="K832" s="367"/>
      <c r="L832" s="367"/>
      <c r="M832" s="367"/>
      <c r="N832" s="367"/>
      <c r="O832" s="367"/>
      <c r="P832" s="364"/>
      <c r="Q832" s="365"/>
      <c r="R832" s="365"/>
      <c r="S832" s="365"/>
      <c r="T832" s="365"/>
      <c r="U832" s="366"/>
      <c r="V832" s="367"/>
      <c r="W832" s="367"/>
      <c r="X832" s="367"/>
      <c r="Y832" s="367"/>
      <c r="Z832" s="367"/>
      <c r="AA832" s="367"/>
      <c r="AB832" s="367"/>
      <c r="AC832" s="367"/>
      <c r="AD832" s="367"/>
      <c r="AE832" s="367"/>
      <c r="AF832" s="367"/>
      <c r="AG832" s="367"/>
      <c r="AH832" s="367"/>
      <c r="AI832" s="367"/>
      <c r="AJ832" s="367"/>
      <c r="AK832" s="367"/>
      <c r="AL832" s="367"/>
      <c r="AM832" s="367"/>
      <c r="AN832" s="367"/>
      <c r="AO832" s="367"/>
      <c r="AP832" s="367"/>
      <c r="AQ832" s="367"/>
      <c r="AR832" s="367"/>
      <c r="AS832" s="367"/>
      <c r="AT832" s="368"/>
      <c r="AU832" s="367"/>
    </row>
    <row r="833" spans="1:47" ht="12.75">
      <c r="A833" s="367"/>
      <c r="B833" s="367"/>
      <c r="C833" s="367"/>
      <c r="D833" s="367"/>
      <c r="E833" s="367"/>
      <c r="F833" s="367"/>
      <c r="G833" s="367"/>
      <c r="H833" s="367"/>
      <c r="I833" s="367"/>
      <c r="J833" s="367"/>
      <c r="K833" s="367"/>
      <c r="L833" s="367"/>
      <c r="M833" s="367"/>
      <c r="N833" s="367"/>
      <c r="O833" s="367"/>
      <c r="P833" s="364"/>
      <c r="Q833" s="365"/>
      <c r="R833" s="365"/>
      <c r="S833" s="365"/>
      <c r="T833" s="365"/>
      <c r="U833" s="366"/>
      <c r="V833" s="367"/>
      <c r="W833" s="367"/>
      <c r="X833" s="367"/>
      <c r="Y833" s="367"/>
      <c r="Z833" s="367"/>
      <c r="AA833" s="367"/>
      <c r="AB833" s="367"/>
      <c r="AC833" s="367"/>
      <c r="AD833" s="367"/>
      <c r="AE833" s="367"/>
      <c r="AF833" s="367"/>
      <c r="AG833" s="367"/>
      <c r="AH833" s="367"/>
      <c r="AI833" s="367"/>
      <c r="AJ833" s="367"/>
      <c r="AK833" s="367"/>
      <c r="AL833" s="367"/>
      <c r="AM833" s="367"/>
      <c r="AN833" s="367"/>
      <c r="AO833" s="367"/>
      <c r="AP833" s="367"/>
      <c r="AQ833" s="367"/>
      <c r="AR833" s="367"/>
      <c r="AS833" s="367"/>
      <c r="AT833" s="368"/>
      <c r="AU833" s="367"/>
    </row>
    <row r="834" spans="1:47" ht="12.75">
      <c r="A834" s="367"/>
      <c r="B834" s="367"/>
      <c r="C834" s="367"/>
      <c r="D834" s="367"/>
      <c r="E834" s="367"/>
      <c r="F834" s="367"/>
      <c r="G834" s="367"/>
      <c r="H834" s="367"/>
      <c r="I834" s="367"/>
      <c r="J834" s="367"/>
      <c r="K834" s="367"/>
      <c r="L834" s="367"/>
      <c r="M834" s="367"/>
      <c r="N834" s="367"/>
      <c r="O834" s="367"/>
      <c r="P834" s="364"/>
      <c r="Q834" s="365"/>
      <c r="R834" s="365"/>
      <c r="S834" s="365"/>
      <c r="T834" s="365"/>
      <c r="U834" s="366"/>
      <c r="V834" s="367"/>
      <c r="W834" s="367"/>
      <c r="X834" s="367"/>
      <c r="Y834" s="367"/>
      <c r="Z834" s="367"/>
      <c r="AA834" s="367"/>
      <c r="AB834" s="367"/>
      <c r="AC834" s="367"/>
      <c r="AD834" s="367"/>
      <c r="AE834" s="367"/>
      <c r="AF834" s="367"/>
      <c r="AG834" s="367"/>
      <c r="AH834" s="367"/>
      <c r="AI834" s="367"/>
      <c r="AJ834" s="367"/>
      <c r="AK834" s="367"/>
      <c r="AL834" s="367"/>
      <c r="AM834" s="367"/>
      <c r="AN834" s="367"/>
      <c r="AO834" s="367"/>
      <c r="AP834" s="367"/>
      <c r="AQ834" s="367"/>
      <c r="AR834" s="367"/>
      <c r="AS834" s="367"/>
      <c r="AT834" s="368"/>
      <c r="AU834" s="367"/>
    </row>
    <row r="835" spans="1:47" ht="12.75">
      <c r="A835" s="367"/>
      <c r="B835" s="367"/>
      <c r="C835" s="367"/>
      <c r="D835" s="367"/>
      <c r="E835" s="367"/>
      <c r="F835" s="367"/>
      <c r="G835" s="367"/>
      <c r="H835" s="367"/>
      <c r="I835" s="367"/>
      <c r="J835" s="367"/>
      <c r="K835" s="367"/>
      <c r="L835" s="367"/>
      <c r="M835" s="367"/>
      <c r="N835" s="367"/>
      <c r="O835" s="367"/>
      <c r="P835" s="364"/>
      <c r="Q835" s="365"/>
      <c r="R835" s="365"/>
      <c r="S835" s="365"/>
      <c r="T835" s="365"/>
      <c r="U835" s="366"/>
      <c r="V835" s="367"/>
      <c r="W835" s="367"/>
      <c r="X835" s="367"/>
      <c r="Y835" s="367"/>
      <c r="Z835" s="367"/>
      <c r="AA835" s="367"/>
      <c r="AB835" s="367"/>
      <c r="AC835" s="367"/>
      <c r="AD835" s="367"/>
      <c r="AE835" s="367"/>
      <c r="AF835" s="367"/>
      <c r="AG835" s="367"/>
      <c r="AH835" s="367"/>
      <c r="AI835" s="367"/>
      <c r="AJ835" s="367"/>
      <c r="AK835" s="367"/>
      <c r="AL835" s="367"/>
      <c r="AM835" s="367"/>
      <c r="AN835" s="367"/>
      <c r="AO835" s="367"/>
      <c r="AP835" s="367"/>
      <c r="AQ835" s="367"/>
      <c r="AR835" s="367"/>
      <c r="AS835" s="367"/>
      <c r="AT835" s="368"/>
      <c r="AU835" s="367"/>
    </row>
    <row r="836" spans="1:47" ht="12.75">
      <c r="A836" s="367"/>
      <c r="B836" s="367"/>
      <c r="C836" s="367"/>
      <c r="D836" s="367"/>
      <c r="E836" s="367"/>
      <c r="F836" s="367"/>
      <c r="G836" s="367"/>
      <c r="H836" s="367"/>
      <c r="I836" s="367"/>
      <c r="J836" s="367"/>
      <c r="K836" s="367"/>
      <c r="L836" s="367"/>
      <c r="M836" s="367"/>
      <c r="N836" s="367"/>
      <c r="O836" s="367"/>
      <c r="P836" s="364"/>
      <c r="Q836" s="365"/>
      <c r="R836" s="365"/>
      <c r="S836" s="365"/>
      <c r="T836" s="365"/>
      <c r="U836" s="366"/>
      <c r="V836" s="367"/>
      <c r="W836" s="367"/>
      <c r="X836" s="367"/>
      <c r="Y836" s="367"/>
      <c r="Z836" s="367"/>
      <c r="AA836" s="367"/>
      <c r="AB836" s="367"/>
      <c r="AC836" s="367"/>
      <c r="AD836" s="367"/>
      <c r="AE836" s="367"/>
      <c r="AF836" s="367"/>
      <c r="AG836" s="367"/>
      <c r="AH836" s="367"/>
      <c r="AI836" s="367"/>
      <c r="AJ836" s="367"/>
      <c r="AK836" s="367"/>
      <c r="AL836" s="367"/>
      <c r="AM836" s="367"/>
      <c r="AN836" s="367"/>
      <c r="AO836" s="367"/>
      <c r="AP836" s="367"/>
      <c r="AQ836" s="367"/>
      <c r="AR836" s="367"/>
      <c r="AS836" s="367"/>
      <c r="AT836" s="368"/>
      <c r="AU836" s="367"/>
    </row>
    <row r="837" spans="1:47" ht="12.75">
      <c r="A837" s="367"/>
      <c r="B837" s="367"/>
      <c r="C837" s="367"/>
      <c r="D837" s="367"/>
      <c r="E837" s="367"/>
      <c r="F837" s="367"/>
      <c r="G837" s="367"/>
      <c r="H837" s="367"/>
      <c r="I837" s="367"/>
      <c r="J837" s="367"/>
      <c r="K837" s="367"/>
      <c r="L837" s="367"/>
      <c r="M837" s="367"/>
      <c r="N837" s="367"/>
      <c r="O837" s="367"/>
      <c r="P837" s="364"/>
      <c r="Q837" s="365"/>
      <c r="R837" s="365"/>
      <c r="S837" s="365"/>
      <c r="T837" s="365"/>
      <c r="U837" s="366"/>
      <c r="V837" s="367"/>
      <c r="W837" s="367"/>
      <c r="X837" s="367"/>
      <c r="Y837" s="367"/>
      <c r="Z837" s="367"/>
      <c r="AA837" s="367"/>
      <c r="AB837" s="367"/>
      <c r="AC837" s="367"/>
      <c r="AD837" s="367"/>
      <c r="AE837" s="367"/>
      <c r="AF837" s="367"/>
      <c r="AG837" s="367"/>
      <c r="AH837" s="367"/>
      <c r="AI837" s="367"/>
      <c r="AJ837" s="367"/>
      <c r="AK837" s="367"/>
      <c r="AL837" s="367"/>
      <c r="AM837" s="367"/>
      <c r="AN837" s="367"/>
      <c r="AO837" s="367"/>
      <c r="AP837" s="367"/>
      <c r="AQ837" s="367"/>
      <c r="AR837" s="367"/>
      <c r="AS837" s="367"/>
      <c r="AT837" s="368"/>
      <c r="AU837" s="367"/>
    </row>
    <row r="838" spans="1:47" ht="12.75">
      <c r="A838" s="367"/>
      <c r="B838" s="367"/>
      <c r="C838" s="367"/>
      <c r="D838" s="367"/>
      <c r="E838" s="367"/>
      <c r="F838" s="367"/>
      <c r="G838" s="367"/>
      <c r="H838" s="367"/>
      <c r="I838" s="367"/>
      <c r="J838" s="367"/>
      <c r="K838" s="367"/>
      <c r="L838" s="367"/>
      <c r="M838" s="367"/>
      <c r="N838" s="367"/>
      <c r="O838" s="367"/>
      <c r="P838" s="364"/>
      <c r="Q838" s="365"/>
      <c r="R838" s="365"/>
      <c r="S838" s="365"/>
      <c r="T838" s="365"/>
      <c r="U838" s="366"/>
      <c r="V838" s="367"/>
      <c r="W838" s="367"/>
      <c r="X838" s="367"/>
      <c r="Y838" s="367"/>
      <c r="Z838" s="367"/>
      <c r="AA838" s="367"/>
      <c r="AB838" s="367"/>
      <c r="AC838" s="367"/>
      <c r="AD838" s="367"/>
      <c r="AE838" s="367"/>
      <c r="AF838" s="367"/>
      <c r="AG838" s="367"/>
      <c r="AH838" s="367"/>
      <c r="AI838" s="367"/>
      <c r="AJ838" s="367"/>
      <c r="AK838" s="367"/>
      <c r="AL838" s="367"/>
      <c r="AM838" s="367"/>
      <c r="AN838" s="367"/>
      <c r="AO838" s="367"/>
      <c r="AP838" s="367"/>
      <c r="AQ838" s="367"/>
      <c r="AR838" s="367"/>
      <c r="AS838" s="367"/>
      <c r="AT838" s="368"/>
      <c r="AU838" s="367"/>
    </row>
    <row r="839" spans="1:47" ht="12.75">
      <c r="A839" s="367"/>
      <c r="B839" s="367"/>
      <c r="C839" s="367"/>
      <c r="D839" s="367"/>
      <c r="E839" s="367"/>
      <c r="F839" s="367"/>
      <c r="G839" s="367"/>
      <c r="H839" s="367"/>
      <c r="I839" s="367"/>
      <c r="J839" s="367"/>
      <c r="K839" s="367"/>
      <c r="L839" s="367"/>
      <c r="M839" s="367"/>
      <c r="N839" s="367"/>
      <c r="O839" s="367"/>
      <c r="P839" s="364"/>
      <c r="Q839" s="365"/>
      <c r="R839" s="365"/>
      <c r="S839" s="365"/>
      <c r="T839" s="365"/>
      <c r="U839" s="366"/>
      <c r="V839" s="367"/>
      <c r="W839" s="367"/>
      <c r="X839" s="367"/>
      <c r="Y839" s="367"/>
      <c r="Z839" s="367"/>
      <c r="AA839" s="367"/>
      <c r="AB839" s="367"/>
      <c r="AC839" s="367"/>
      <c r="AD839" s="367"/>
      <c r="AE839" s="367"/>
      <c r="AF839" s="367"/>
      <c r="AG839" s="367"/>
      <c r="AH839" s="367"/>
      <c r="AI839" s="367"/>
      <c r="AJ839" s="367"/>
      <c r="AK839" s="367"/>
      <c r="AL839" s="367"/>
      <c r="AM839" s="367"/>
      <c r="AN839" s="367"/>
      <c r="AO839" s="367"/>
      <c r="AP839" s="367"/>
      <c r="AQ839" s="367"/>
      <c r="AR839" s="367"/>
      <c r="AS839" s="367"/>
      <c r="AT839" s="368"/>
      <c r="AU839" s="367"/>
    </row>
    <row r="840" spans="1:47" ht="12.75">
      <c r="A840" s="367"/>
      <c r="B840" s="367"/>
      <c r="C840" s="367"/>
      <c r="D840" s="367"/>
      <c r="E840" s="367"/>
      <c r="F840" s="367"/>
      <c r="G840" s="367"/>
      <c r="H840" s="367"/>
      <c r="I840" s="367"/>
      <c r="J840" s="367"/>
      <c r="K840" s="367"/>
      <c r="L840" s="367"/>
      <c r="M840" s="367"/>
      <c r="N840" s="367"/>
      <c r="O840" s="367"/>
      <c r="P840" s="364"/>
      <c r="Q840" s="365"/>
      <c r="R840" s="365"/>
      <c r="S840" s="365"/>
      <c r="T840" s="365"/>
      <c r="U840" s="366"/>
      <c r="V840" s="367"/>
      <c r="W840" s="367"/>
      <c r="X840" s="367"/>
      <c r="Y840" s="367"/>
      <c r="Z840" s="367"/>
      <c r="AA840" s="367"/>
      <c r="AB840" s="367"/>
      <c r="AC840" s="367"/>
      <c r="AD840" s="367"/>
      <c r="AE840" s="367"/>
      <c r="AF840" s="367"/>
      <c r="AG840" s="367"/>
      <c r="AH840" s="367"/>
      <c r="AI840" s="367"/>
      <c r="AJ840" s="367"/>
      <c r="AK840" s="367"/>
      <c r="AL840" s="367"/>
      <c r="AM840" s="367"/>
      <c r="AN840" s="367"/>
      <c r="AO840" s="367"/>
      <c r="AP840" s="367"/>
      <c r="AQ840" s="367"/>
      <c r="AR840" s="367"/>
      <c r="AS840" s="367"/>
      <c r="AT840" s="368"/>
      <c r="AU840" s="367"/>
    </row>
    <row r="841" spans="1:47" ht="12.75">
      <c r="A841" s="367"/>
      <c r="B841" s="367"/>
      <c r="C841" s="367"/>
      <c r="D841" s="367"/>
      <c r="E841" s="367"/>
      <c r="F841" s="367"/>
      <c r="G841" s="367"/>
      <c r="H841" s="367"/>
      <c r="I841" s="367"/>
      <c r="J841" s="367"/>
      <c r="K841" s="367"/>
      <c r="L841" s="367"/>
      <c r="M841" s="367"/>
      <c r="N841" s="367"/>
      <c r="O841" s="367"/>
      <c r="P841" s="364"/>
      <c r="Q841" s="365"/>
      <c r="R841" s="365"/>
      <c r="S841" s="365"/>
      <c r="T841" s="365"/>
      <c r="U841" s="366"/>
      <c r="V841" s="367"/>
      <c r="W841" s="367"/>
      <c r="X841" s="367"/>
      <c r="Y841" s="367"/>
      <c r="Z841" s="367"/>
      <c r="AA841" s="367"/>
      <c r="AB841" s="367"/>
      <c r="AC841" s="367"/>
      <c r="AD841" s="367"/>
      <c r="AE841" s="367"/>
      <c r="AF841" s="367"/>
      <c r="AG841" s="367"/>
      <c r="AH841" s="367"/>
      <c r="AI841" s="367"/>
      <c r="AJ841" s="367"/>
      <c r="AK841" s="367"/>
      <c r="AL841" s="367"/>
      <c r="AM841" s="367"/>
      <c r="AN841" s="367"/>
      <c r="AO841" s="367"/>
      <c r="AP841" s="367"/>
      <c r="AQ841" s="367"/>
      <c r="AR841" s="367"/>
      <c r="AS841" s="367"/>
      <c r="AT841" s="368"/>
      <c r="AU841" s="367"/>
    </row>
    <row r="842" spans="1:47" ht="12.75">
      <c r="A842" s="367"/>
      <c r="B842" s="367"/>
      <c r="C842" s="367"/>
      <c r="D842" s="367"/>
      <c r="E842" s="367"/>
      <c r="F842" s="367"/>
      <c r="G842" s="367"/>
      <c r="H842" s="367"/>
      <c r="I842" s="367"/>
      <c r="J842" s="367"/>
      <c r="K842" s="367"/>
      <c r="L842" s="367"/>
      <c r="M842" s="367"/>
      <c r="N842" s="367"/>
      <c r="O842" s="367"/>
      <c r="P842" s="364"/>
      <c r="Q842" s="365"/>
      <c r="R842" s="365"/>
      <c r="S842" s="365"/>
      <c r="T842" s="365"/>
      <c r="U842" s="366"/>
      <c r="V842" s="367"/>
      <c r="W842" s="367"/>
      <c r="X842" s="367"/>
      <c r="Y842" s="367"/>
      <c r="Z842" s="367"/>
      <c r="AA842" s="367"/>
      <c r="AB842" s="367"/>
      <c r="AC842" s="367"/>
      <c r="AD842" s="367"/>
      <c r="AE842" s="367"/>
      <c r="AF842" s="367"/>
      <c r="AG842" s="367"/>
      <c r="AH842" s="367"/>
      <c r="AI842" s="367"/>
      <c r="AJ842" s="367"/>
      <c r="AK842" s="367"/>
      <c r="AL842" s="367"/>
      <c r="AM842" s="367"/>
      <c r="AN842" s="367"/>
      <c r="AO842" s="367"/>
      <c r="AP842" s="367"/>
      <c r="AQ842" s="367"/>
      <c r="AR842" s="367"/>
      <c r="AS842" s="367"/>
      <c r="AT842" s="368"/>
      <c r="AU842" s="367"/>
    </row>
    <row r="843" spans="1:47" ht="12.75">
      <c r="A843" s="367"/>
      <c r="B843" s="367"/>
      <c r="C843" s="367"/>
      <c r="D843" s="367"/>
      <c r="E843" s="367"/>
      <c r="F843" s="367"/>
      <c r="G843" s="367"/>
      <c r="H843" s="367"/>
      <c r="I843" s="367"/>
      <c r="J843" s="367"/>
      <c r="K843" s="367"/>
      <c r="L843" s="367"/>
      <c r="M843" s="367"/>
      <c r="N843" s="367"/>
      <c r="O843" s="367"/>
      <c r="P843" s="364"/>
      <c r="Q843" s="365"/>
      <c r="R843" s="365"/>
      <c r="S843" s="365"/>
      <c r="T843" s="365"/>
      <c r="U843" s="366"/>
      <c r="V843" s="367"/>
      <c r="W843" s="367"/>
      <c r="X843" s="367"/>
      <c r="Y843" s="367"/>
      <c r="Z843" s="367"/>
      <c r="AA843" s="367"/>
      <c r="AB843" s="367"/>
      <c r="AC843" s="367"/>
      <c r="AD843" s="367"/>
      <c r="AE843" s="367"/>
      <c r="AF843" s="367"/>
      <c r="AG843" s="367"/>
      <c r="AH843" s="367"/>
      <c r="AI843" s="367"/>
      <c r="AJ843" s="367"/>
      <c r="AK843" s="367"/>
      <c r="AL843" s="367"/>
      <c r="AM843" s="367"/>
      <c r="AN843" s="367"/>
      <c r="AO843" s="367"/>
      <c r="AP843" s="367"/>
      <c r="AQ843" s="367"/>
      <c r="AR843" s="367"/>
      <c r="AS843" s="367"/>
      <c r="AT843" s="368"/>
      <c r="AU843" s="367"/>
    </row>
    <row r="844" spans="1:47" ht="12.75">
      <c r="A844" s="367"/>
      <c r="B844" s="367"/>
      <c r="C844" s="367"/>
      <c r="D844" s="367"/>
      <c r="E844" s="367"/>
      <c r="F844" s="367"/>
      <c r="G844" s="367"/>
      <c r="H844" s="367"/>
      <c r="I844" s="367"/>
      <c r="J844" s="367"/>
      <c r="K844" s="367"/>
      <c r="L844" s="367"/>
      <c r="M844" s="367"/>
      <c r="N844" s="367"/>
      <c r="O844" s="367"/>
      <c r="P844" s="364"/>
      <c r="Q844" s="365"/>
      <c r="R844" s="365"/>
      <c r="S844" s="365"/>
      <c r="T844" s="365"/>
      <c r="U844" s="366"/>
      <c r="V844" s="367"/>
      <c r="W844" s="367"/>
      <c r="X844" s="367"/>
      <c r="Y844" s="367"/>
      <c r="Z844" s="367"/>
      <c r="AA844" s="367"/>
      <c r="AB844" s="367"/>
      <c r="AC844" s="367"/>
      <c r="AD844" s="367"/>
      <c r="AE844" s="367"/>
      <c r="AF844" s="367"/>
      <c r="AG844" s="367"/>
      <c r="AH844" s="367"/>
      <c r="AI844" s="367"/>
      <c r="AJ844" s="367"/>
      <c r="AK844" s="367"/>
      <c r="AL844" s="367"/>
      <c r="AM844" s="367"/>
      <c r="AN844" s="367"/>
      <c r="AO844" s="367"/>
      <c r="AP844" s="367"/>
      <c r="AQ844" s="367"/>
      <c r="AR844" s="367"/>
      <c r="AS844" s="367"/>
      <c r="AT844" s="368"/>
      <c r="AU844" s="367"/>
    </row>
    <row r="845" spans="1:47" ht="12.75">
      <c r="A845" s="367"/>
      <c r="B845" s="367"/>
      <c r="C845" s="367"/>
      <c r="D845" s="367"/>
      <c r="E845" s="367"/>
      <c r="F845" s="367"/>
      <c r="G845" s="367"/>
      <c r="H845" s="367"/>
      <c r="I845" s="367"/>
      <c r="J845" s="367"/>
      <c r="K845" s="367"/>
      <c r="L845" s="367"/>
      <c r="M845" s="367"/>
      <c r="N845" s="367"/>
      <c r="O845" s="367"/>
      <c r="P845" s="364"/>
      <c r="Q845" s="365"/>
      <c r="R845" s="365"/>
      <c r="S845" s="365"/>
      <c r="T845" s="365"/>
      <c r="U845" s="366"/>
      <c r="V845" s="367"/>
      <c r="W845" s="367"/>
      <c r="X845" s="367"/>
      <c r="Y845" s="367"/>
      <c r="Z845" s="367"/>
      <c r="AA845" s="367"/>
      <c r="AB845" s="367"/>
      <c r="AC845" s="367"/>
      <c r="AD845" s="367"/>
      <c r="AE845" s="367"/>
      <c r="AF845" s="367"/>
      <c r="AG845" s="367"/>
      <c r="AH845" s="367"/>
      <c r="AI845" s="367"/>
      <c r="AJ845" s="367"/>
      <c r="AK845" s="367"/>
      <c r="AL845" s="367"/>
      <c r="AM845" s="367"/>
      <c r="AN845" s="367"/>
      <c r="AO845" s="367"/>
      <c r="AP845" s="367"/>
      <c r="AQ845" s="367"/>
      <c r="AR845" s="367"/>
      <c r="AS845" s="367"/>
      <c r="AT845" s="368"/>
      <c r="AU845" s="367"/>
    </row>
    <row r="846" spans="1:47" ht="12.75">
      <c r="A846" s="367"/>
      <c r="B846" s="367"/>
      <c r="C846" s="367"/>
      <c r="D846" s="367"/>
      <c r="E846" s="367"/>
      <c r="F846" s="367"/>
      <c r="G846" s="367"/>
      <c r="H846" s="367"/>
      <c r="I846" s="367"/>
      <c r="J846" s="367"/>
      <c r="K846" s="367"/>
      <c r="L846" s="367"/>
      <c r="M846" s="367"/>
      <c r="N846" s="367"/>
      <c r="O846" s="367"/>
      <c r="P846" s="364"/>
      <c r="Q846" s="365"/>
      <c r="R846" s="365"/>
      <c r="S846" s="365"/>
      <c r="T846" s="365"/>
      <c r="U846" s="366"/>
      <c r="V846" s="367"/>
      <c r="W846" s="367"/>
      <c r="X846" s="367"/>
      <c r="Y846" s="367"/>
      <c r="Z846" s="367"/>
      <c r="AA846" s="367"/>
      <c r="AB846" s="367"/>
      <c r="AC846" s="367"/>
      <c r="AD846" s="367"/>
      <c r="AE846" s="367"/>
      <c r="AF846" s="367"/>
      <c r="AG846" s="367"/>
      <c r="AH846" s="367"/>
      <c r="AI846" s="367"/>
      <c r="AJ846" s="367"/>
      <c r="AK846" s="367"/>
      <c r="AL846" s="367"/>
      <c r="AM846" s="367"/>
      <c r="AN846" s="367"/>
      <c r="AO846" s="367"/>
      <c r="AP846" s="367"/>
      <c r="AQ846" s="367"/>
      <c r="AR846" s="367"/>
      <c r="AS846" s="367"/>
      <c r="AT846" s="368"/>
      <c r="AU846" s="367"/>
    </row>
    <row r="847" spans="1:47" ht="12.75">
      <c r="A847" s="367"/>
      <c r="B847" s="367"/>
      <c r="C847" s="367"/>
      <c r="D847" s="367"/>
      <c r="E847" s="367"/>
      <c r="F847" s="367"/>
      <c r="G847" s="367"/>
      <c r="H847" s="367"/>
      <c r="I847" s="367"/>
      <c r="J847" s="367"/>
      <c r="K847" s="367"/>
      <c r="L847" s="367"/>
      <c r="M847" s="367"/>
      <c r="N847" s="367"/>
      <c r="O847" s="367"/>
      <c r="P847" s="364"/>
      <c r="Q847" s="365"/>
      <c r="R847" s="365"/>
      <c r="S847" s="365"/>
      <c r="T847" s="365"/>
      <c r="U847" s="366"/>
      <c r="V847" s="367"/>
      <c r="W847" s="367"/>
      <c r="X847" s="367"/>
      <c r="Y847" s="367"/>
      <c r="Z847" s="367"/>
      <c r="AA847" s="367"/>
      <c r="AB847" s="367"/>
      <c r="AC847" s="367"/>
      <c r="AD847" s="367"/>
      <c r="AE847" s="367"/>
      <c r="AF847" s="367"/>
      <c r="AG847" s="367"/>
      <c r="AH847" s="367"/>
      <c r="AI847" s="367"/>
      <c r="AJ847" s="367"/>
      <c r="AK847" s="367"/>
      <c r="AL847" s="367"/>
      <c r="AM847" s="367"/>
      <c r="AN847" s="367"/>
      <c r="AO847" s="367"/>
      <c r="AP847" s="367"/>
      <c r="AQ847" s="367"/>
      <c r="AR847" s="367"/>
      <c r="AS847" s="367"/>
      <c r="AT847" s="368"/>
      <c r="AU847" s="367"/>
    </row>
    <row r="848" spans="1:47" ht="12.75">
      <c r="A848" s="367"/>
      <c r="B848" s="367"/>
      <c r="C848" s="367"/>
      <c r="D848" s="367"/>
      <c r="E848" s="367"/>
      <c r="F848" s="367"/>
      <c r="G848" s="367"/>
      <c r="H848" s="367"/>
      <c r="I848" s="367"/>
      <c r="J848" s="367"/>
      <c r="K848" s="367"/>
      <c r="L848" s="367"/>
      <c r="M848" s="367"/>
      <c r="N848" s="367"/>
      <c r="O848" s="367"/>
      <c r="P848" s="364"/>
      <c r="Q848" s="365"/>
      <c r="R848" s="365"/>
      <c r="S848" s="365"/>
      <c r="T848" s="365"/>
      <c r="U848" s="366"/>
      <c r="V848" s="367"/>
      <c r="W848" s="367"/>
      <c r="X848" s="367"/>
      <c r="Y848" s="367"/>
      <c r="Z848" s="367"/>
      <c r="AA848" s="367"/>
      <c r="AB848" s="367"/>
      <c r="AC848" s="367"/>
      <c r="AD848" s="367"/>
      <c r="AE848" s="367"/>
      <c r="AF848" s="367"/>
      <c r="AG848" s="367"/>
      <c r="AH848" s="367"/>
      <c r="AI848" s="367"/>
      <c r="AJ848" s="367"/>
      <c r="AK848" s="367"/>
      <c r="AL848" s="367"/>
      <c r="AM848" s="367"/>
      <c r="AN848" s="367"/>
      <c r="AO848" s="367"/>
      <c r="AP848" s="367"/>
      <c r="AQ848" s="367"/>
      <c r="AR848" s="367"/>
      <c r="AS848" s="367"/>
      <c r="AT848" s="368"/>
      <c r="AU848" s="367"/>
    </row>
    <row r="849" spans="1:47" ht="12.75">
      <c r="A849" s="367"/>
      <c r="B849" s="367"/>
      <c r="C849" s="367"/>
      <c r="D849" s="367"/>
      <c r="E849" s="367"/>
      <c r="F849" s="367"/>
      <c r="G849" s="367"/>
      <c r="H849" s="367"/>
      <c r="I849" s="367"/>
      <c r="J849" s="367"/>
      <c r="K849" s="367"/>
      <c r="L849" s="367"/>
      <c r="M849" s="367"/>
      <c r="N849" s="367"/>
      <c r="O849" s="367"/>
      <c r="P849" s="364"/>
      <c r="Q849" s="365"/>
      <c r="R849" s="365"/>
      <c r="S849" s="365"/>
      <c r="T849" s="365"/>
      <c r="U849" s="366"/>
      <c r="V849" s="367"/>
      <c r="W849" s="367"/>
      <c r="X849" s="367"/>
      <c r="Y849" s="367"/>
      <c r="Z849" s="367"/>
      <c r="AA849" s="367"/>
      <c r="AB849" s="367"/>
      <c r="AC849" s="367"/>
      <c r="AD849" s="367"/>
      <c r="AE849" s="367"/>
      <c r="AF849" s="367"/>
      <c r="AG849" s="367"/>
      <c r="AH849" s="367"/>
      <c r="AI849" s="367"/>
      <c r="AJ849" s="367"/>
      <c r="AK849" s="367"/>
      <c r="AL849" s="367"/>
      <c r="AM849" s="367"/>
      <c r="AN849" s="367"/>
      <c r="AO849" s="367"/>
      <c r="AP849" s="367"/>
      <c r="AQ849" s="367"/>
      <c r="AR849" s="367"/>
      <c r="AS849" s="367"/>
      <c r="AT849" s="368"/>
      <c r="AU849" s="367"/>
    </row>
    <row r="850" spans="1:47" ht="12.75">
      <c r="A850" s="367"/>
      <c r="B850" s="367"/>
      <c r="C850" s="367"/>
      <c r="D850" s="367"/>
      <c r="E850" s="367"/>
      <c r="F850" s="367"/>
      <c r="G850" s="367"/>
      <c r="H850" s="367"/>
      <c r="I850" s="367"/>
      <c r="J850" s="367"/>
      <c r="K850" s="367"/>
      <c r="L850" s="367"/>
      <c r="M850" s="367"/>
      <c r="N850" s="367"/>
      <c r="O850" s="367"/>
      <c r="P850" s="364"/>
      <c r="Q850" s="365"/>
      <c r="R850" s="365"/>
      <c r="S850" s="365"/>
      <c r="T850" s="365"/>
      <c r="U850" s="366"/>
      <c r="V850" s="367"/>
      <c r="W850" s="367"/>
      <c r="X850" s="367"/>
      <c r="Y850" s="367"/>
      <c r="Z850" s="367"/>
      <c r="AA850" s="367"/>
      <c r="AB850" s="367"/>
      <c r="AC850" s="367"/>
      <c r="AD850" s="367"/>
      <c r="AE850" s="367"/>
      <c r="AF850" s="367"/>
      <c r="AG850" s="367"/>
      <c r="AH850" s="367"/>
      <c r="AI850" s="367"/>
      <c r="AJ850" s="367"/>
      <c r="AK850" s="367"/>
      <c r="AL850" s="367"/>
      <c r="AM850" s="367"/>
      <c r="AN850" s="367"/>
      <c r="AO850" s="367"/>
      <c r="AP850" s="367"/>
      <c r="AQ850" s="367"/>
      <c r="AR850" s="367"/>
      <c r="AS850" s="367"/>
      <c r="AT850" s="368"/>
      <c r="AU850" s="367"/>
    </row>
    <row r="851" spans="1:47" ht="12.75">
      <c r="A851" s="367"/>
      <c r="B851" s="367"/>
      <c r="C851" s="367"/>
      <c r="D851" s="367"/>
      <c r="E851" s="367"/>
      <c r="F851" s="367"/>
      <c r="G851" s="367"/>
      <c r="H851" s="367"/>
      <c r="I851" s="367"/>
      <c r="J851" s="367"/>
      <c r="K851" s="367"/>
      <c r="L851" s="367"/>
      <c r="M851" s="367"/>
      <c r="N851" s="367"/>
      <c r="O851" s="367"/>
      <c r="P851" s="364"/>
      <c r="Q851" s="365"/>
      <c r="R851" s="365"/>
      <c r="S851" s="365"/>
      <c r="T851" s="365"/>
      <c r="U851" s="366"/>
      <c r="V851" s="367"/>
      <c r="W851" s="367"/>
      <c r="X851" s="367"/>
      <c r="Y851" s="367"/>
      <c r="Z851" s="367"/>
      <c r="AA851" s="367"/>
      <c r="AB851" s="367"/>
      <c r="AC851" s="367"/>
      <c r="AD851" s="367"/>
      <c r="AE851" s="367"/>
      <c r="AF851" s="367"/>
      <c r="AG851" s="367"/>
      <c r="AH851" s="367"/>
      <c r="AI851" s="367"/>
      <c r="AJ851" s="367"/>
      <c r="AK851" s="367"/>
      <c r="AL851" s="367"/>
      <c r="AM851" s="367"/>
      <c r="AN851" s="367"/>
      <c r="AO851" s="367"/>
      <c r="AP851" s="367"/>
      <c r="AQ851" s="367"/>
      <c r="AR851" s="367"/>
      <c r="AS851" s="367"/>
      <c r="AT851" s="368"/>
      <c r="AU851" s="367"/>
    </row>
    <row r="852" spans="1:47" ht="12.75">
      <c r="A852" s="367"/>
      <c r="B852" s="367"/>
      <c r="C852" s="367"/>
      <c r="D852" s="367"/>
      <c r="E852" s="367"/>
      <c r="F852" s="367"/>
      <c r="G852" s="367"/>
      <c r="H852" s="367"/>
      <c r="I852" s="367"/>
      <c r="J852" s="367"/>
      <c r="K852" s="367"/>
      <c r="L852" s="367"/>
      <c r="M852" s="367"/>
      <c r="N852" s="367"/>
      <c r="O852" s="367"/>
      <c r="P852" s="364"/>
      <c r="Q852" s="365"/>
      <c r="R852" s="365"/>
      <c r="S852" s="365"/>
      <c r="T852" s="365"/>
      <c r="U852" s="366"/>
      <c r="V852" s="367"/>
      <c r="W852" s="367"/>
      <c r="X852" s="367"/>
      <c r="Y852" s="367"/>
      <c r="Z852" s="367"/>
      <c r="AA852" s="367"/>
      <c r="AB852" s="367"/>
      <c r="AC852" s="367"/>
      <c r="AD852" s="367"/>
      <c r="AE852" s="367"/>
      <c r="AF852" s="367"/>
      <c r="AG852" s="367"/>
      <c r="AH852" s="367"/>
      <c r="AI852" s="367"/>
      <c r="AJ852" s="367"/>
      <c r="AK852" s="367"/>
      <c r="AL852" s="367"/>
      <c r="AM852" s="367"/>
      <c r="AN852" s="367"/>
      <c r="AO852" s="367"/>
      <c r="AP852" s="367"/>
      <c r="AQ852" s="367"/>
      <c r="AR852" s="367"/>
      <c r="AS852" s="367"/>
      <c r="AT852" s="368"/>
      <c r="AU852" s="367"/>
    </row>
    <row r="853" spans="1:47" ht="12.75">
      <c r="A853" s="367"/>
      <c r="B853" s="367"/>
      <c r="C853" s="367"/>
      <c r="D853" s="367"/>
      <c r="E853" s="367"/>
      <c r="F853" s="367"/>
      <c r="G853" s="367"/>
      <c r="H853" s="367"/>
      <c r="I853" s="367"/>
      <c r="J853" s="367"/>
      <c r="K853" s="367"/>
      <c r="L853" s="367"/>
      <c r="M853" s="367"/>
      <c r="N853" s="367"/>
      <c r="O853" s="367"/>
      <c r="P853" s="364"/>
      <c r="Q853" s="365"/>
      <c r="R853" s="365"/>
      <c r="S853" s="365"/>
      <c r="T853" s="365"/>
      <c r="U853" s="366"/>
      <c r="V853" s="367"/>
      <c r="W853" s="367"/>
      <c r="X853" s="367"/>
      <c r="Y853" s="367"/>
      <c r="Z853" s="367"/>
      <c r="AA853" s="367"/>
      <c r="AB853" s="367"/>
      <c r="AC853" s="367"/>
      <c r="AD853" s="367"/>
      <c r="AE853" s="367"/>
      <c r="AF853" s="367"/>
      <c r="AG853" s="367"/>
      <c r="AH853" s="367"/>
      <c r="AI853" s="367"/>
      <c r="AJ853" s="367"/>
      <c r="AK853" s="367"/>
      <c r="AL853" s="367"/>
      <c r="AM853" s="367"/>
      <c r="AN853" s="367"/>
      <c r="AO853" s="367"/>
      <c r="AP853" s="367"/>
      <c r="AQ853" s="367"/>
      <c r="AR853" s="367"/>
      <c r="AS853" s="367"/>
      <c r="AT853" s="368"/>
      <c r="AU853" s="367"/>
    </row>
    <row r="854" spans="1:47" ht="12.75">
      <c r="A854" s="367"/>
      <c r="B854" s="367"/>
      <c r="C854" s="367"/>
      <c r="D854" s="367"/>
      <c r="E854" s="367"/>
      <c r="F854" s="367"/>
      <c r="G854" s="367"/>
      <c r="H854" s="367"/>
      <c r="I854" s="367"/>
      <c r="J854" s="367"/>
      <c r="K854" s="367"/>
      <c r="L854" s="367"/>
      <c r="M854" s="367"/>
      <c r="N854" s="367"/>
      <c r="O854" s="367"/>
      <c r="P854" s="364"/>
      <c r="Q854" s="365"/>
      <c r="R854" s="365"/>
      <c r="S854" s="365"/>
      <c r="T854" s="365"/>
      <c r="U854" s="366"/>
      <c r="V854" s="367"/>
      <c r="W854" s="367"/>
      <c r="X854" s="367"/>
      <c r="Y854" s="367"/>
      <c r="Z854" s="367"/>
      <c r="AA854" s="367"/>
      <c r="AB854" s="367"/>
      <c r="AC854" s="367"/>
      <c r="AD854" s="367"/>
      <c r="AE854" s="367"/>
      <c r="AF854" s="367"/>
      <c r="AG854" s="367"/>
      <c r="AH854" s="367"/>
      <c r="AI854" s="367"/>
      <c r="AJ854" s="367"/>
      <c r="AK854" s="367"/>
      <c r="AL854" s="367"/>
      <c r="AM854" s="367"/>
      <c r="AN854" s="367"/>
      <c r="AO854" s="367"/>
      <c r="AP854" s="367"/>
      <c r="AQ854" s="367"/>
      <c r="AR854" s="367"/>
      <c r="AS854" s="367"/>
      <c r="AT854" s="368"/>
      <c r="AU854" s="367"/>
    </row>
    <row r="855" spans="1:47" ht="12.75">
      <c r="A855" s="367"/>
      <c r="B855" s="367"/>
      <c r="C855" s="367"/>
      <c r="D855" s="367"/>
      <c r="E855" s="367"/>
      <c r="F855" s="367"/>
      <c r="G855" s="367"/>
      <c r="H855" s="367"/>
      <c r="I855" s="367"/>
      <c r="J855" s="367"/>
      <c r="K855" s="367"/>
      <c r="L855" s="367"/>
      <c r="M855" s="367"/>
      <c r="N855" s="367"/>
      <c r="O855" s="367"/>
      <c r="P855" s="364"/>
      <c r="Q855" s="365"/>
      <c r="R855" s="365"/>
      <c r="S855" s="365"/>
      <c r="T855" s="365"/>
      <c r="U855" s="366"/>
      <c r="V855" s="367"/>
      <c r="W855" s="367"/>
      <c r="X855" s="367"/>
      <c r="Y855" s="367"/>
      <c r="Z855" s="367"/>
      <c r="AA855" s="367"/>
      <c r="AB855" s="367"/>
      <c r="AC855" s="367"/>
      <c r="AD855" s="367"/>
      <c r="AE855" s="367"/>
      <c r="AF855" s="367"/>
      <c r="AG855" s="367"/>
      <c r="AH855" s="367"/>
      <c r="AI855" s="367"/>
      <c r="AJ855" s="367"/>
      <c r="AK855" s="367"/>
      <c r="AL855" s="367"/>
      <c r="AM855" s="367"/>
      <c r="AN855" s="367"/>
      <c r="AO855" s="367"/>
      <c r="AP855" s="367"/>
      <c r="AQ855" s="367"/>
      <c r="AR855" s="367"/>
      <c r="AS855" s="367"/>
      <c r="AT855" s="368"/>
      <c r="AU855" s="367"/>
    </row>
    <row r="856" spans="1:47" ht="12.75">
      <c r="A856" s="367"/>
      <c r="B856" s="367"/>
      <c r="C856" s="367"/>
      <c r="D856" s="367"/>
      <c r="E856" s="367"/>
      <c r="F856" s="367"/>
      <c r="G856" s="367"/>
      <c r="H856" s="367"/>
      <c r="I856" s="367"/>
      <c r="J856" s="367"/>
      <c r="K856" s="367"/>
      <c r="L856" s="367"/>
      <c r="M856" s="367"/>
      <c r="N856" s="367"/>
      <c r="O856" s="367"/>
      <c r="P856" s="364"/>
      <c r="Q856" s="365"/>
      <c r="R856" s="365"/>
      <c r="S856" s="365"/>
      <c r="T856" s="365"/>
      <c r="U856" s="366"/>
      <c r="V856" s="367"/>
      <c r="W856" s="367"/>
      <c r="X856" s="367"/>
      <c r="Y856" s="367"/>
      <c r="Z856" s="367"/>
      <c r="AA856" s="367"/>
      <c r="AB856" s="367"/>
      <c r="AC856" s="367"/>
      <c r="AD856" s="367"/>
      <c r="AE856" s="367"/>
      <c r="AF856" s="367"/>
      <c r="AG856" s="367"/>
      <c r="AH856" s="367"/>
      <c r="AI856" s="367"/>
      <c r="AJ856" s="367"/>
      <c r="AK856" s="367"/>
      <c r="AL856" s="367"/>
      <c r="AM856" s="367"/>
      <c r="AN856" s="367"/>
      <c r="AO856" s="367"/>
      <c r="AP856" s="367"/>
      <c r="AQ856" s="367"/>
      <c r="AR856" s="367"/>
      <c r="AS856" s="367"/>
      <c r="AT856" s="368"/>
      <c r="AU856" s="367"/>
    </row>
    <row r="857" spans="1:47" ht="12.75">
      <c r="A857" s="367"/>
      <c r="B857" s="367"/>
      <c r="C857" s="367"/>
      <c r="D857" s="367"/>
      <c r="E857" s="367"/>
      <c r="F857" s="367"/>
      <c r="G857" s="367"/>
      <c r="H857" s="367"/>
      <c r="I857" s="367"/>
      <c r="J857" s="367"/>
      <c r="K857" s="367"/>
      <c r="L857" s="367"/>
      <c r="M857" s="367"/>
      <c r="N857" s="367"/>
      <c r="O857" s="367"/>
      <c r="P857" s="364"/>
      <c r="Q857" s="365"/>
      <c r="R857" s="365"/>
      <c r="S857" s="365"/>
      <c r="T857" s="365"/>
      <c r="U857" s="366"/>
      <c r="V857" s="367"/>
      <c r="W857" s="367"/>
      <c r="X857" s="367"/>
      <c r="Y857" s="367"/>
      <c r="Z857" s="367"/>
      <c r="AA857" s="367"/>
      <c r="AB857" s="367"/>
      <c r="AC857" s="367"/>
      <c r="AD857" s="367"/>
      <c r="AE857" s="367"/>
      <c r="AF857" s="367"/>
      <c r="AG857" s="367"/>
      <c r="AH857" s="367"/>
      <c r="AI857" s="367"/>
      <c r="AJ857" s="367"/>
      <c r="AK857" s="367"/>
      <c r="AL857" s="367"/>
      <c r="AM857" s="367"/>
      <c r="AN857" s="367"/>
      <c r="AO857" s="367"/>
      <c r="AP857" s="367"/>
      <c r="AQ857" s="367"/>
      <c r="AR857" s="367"/>
      <c r="AS857" s="367"/>
      <c r="AT857" s="368"/>
      <c r="AU857" s="367"/>
    </row>
    <row r="858" spans="1:47" ht="12.75">
      <c r="A858" s="367"/>
      <c r="B858" s="367"/>
      <c r="C858" s="367"/>
      <c r="D858" s="367"/>
      <c r="E858" s="367"/>
      <c r="F858" s="367"/>
      <c r="G858" s="367"/>
      <c r="H858" s="367"/>
      <c r="I858" s="367"/>
      <c r="J858" s="367"/>
      <c r="K858" s="367"/>
      <c r="L858" s="367"/>
      <c r="M858" s="367"/>
      <c r="N858" s="367"/>
      <c r="O858" s="367"/>
      <c r="P858" s="364"/>
      <c r="Q858" s="365"/>
      <c r="R858" s="365"/>
      <c r="S858" s="365"/>
      <c r="T858" s="365"/>
      <c r="U858" s="366"/>
      <c r="V858" s="367"/>
      <c r="W858" s="367"/>
      <c r="X858" s="367"/>
      <c r="Y858" s="367"/>
      <c r="Z858" s="367"/>
      <c r="AA858" s="367"/>
      <c r="AB858" s="367"/>
      <c r="AC858" s="367"/>
      <c r="AD858" s="367"/>
      <c r="AE858" s="367"/>
      <c r="AF858" s="367"/>
      <c r="AG858" s="367"/>
      <c r="AH858" s="367"/>
      <c r="AI858" s="367"/>
      <c r="AJ858" s="367"/>
      <c r="AK858" s="367"/>
      <c r="AL858" s="367"/>
      <c r="AM858" s="367"/>
      <c r="AN858" s="367"/>
      <c r="AO858" s="367"/>
      <c r="AP858" s="367"/>
      <c r="AQ858" s="367"/>
      <c r="AR858" s="367"/>
      <c r="AS858" s="367"/>
      <c r="AT858" s="368"/>
      <c r="AU858" s="367"/>
    </row>
    <row r="859" spans="1:47" ht="12.75">
      <c r="A859" s="367"/>
      <c r="B859" s="367"/>
      <c r="C859" s="367"/>
      <c r="D859" s="367"/>
      <c r="E859" s="367"/>
      <c r="F859" s="367"/>
      <c r="G859" s="367"/>
      <c r="H859" s="367"/>
      <c r="I859" s="367"/>
      <c r="J859" s="367"/>
      <c r="K859" s="367"/>
      <c r="L859" s="367"/>
      <c r="M859" s="367"/>
      <c r="N859" s="367"/>
      <c r="O859" s="367"/>
      <c r="P859" s="364"/>
      <c r="Q859" s="365"/>
      <c r="R859" s="365"/>
      <c r="S859" s="365"/>
      <c r="T859" s="365"/>
      <c r="U859" s="366"/>
      <c r="V859" s="367"/>
      <c r="W859" s="367"/>
      <c r="X859" s="367"/>
      <c r="Y859" s="367"/>
      <c r="Z859" s="367"/>
      <c r="AA859" s="367"/>
      <c r="AB859" s="367"/>
      <c r="AC859" s="367"/>
      <c r="AD859" s="367"/>
      <c r="AE859" s="367"/>
      <c r="AF859" s="367"/>
      <c r="AG859" s="367"/>
      <c r="AH859" s="367"/>
      <c r="AI859" s="367"/>
      <c r="AJ859" s="367"/>
      <c r="AK859" s="367"/>
      <c r="AL859" s="367"/>
      <c r="AM859" s="367"/>
      <c r="AN859" s="367"/>
      <c r="AO859" s="367"/>
      <c r="AP859" s="367"/>
      <c r="AQ859" s="367"/>
      <c r="AR859" s="367"/>
      <c r="AS859" s="367"/>
      <c r="AT859" s="368"/>
      <c r="AU859" s="367"/>
    </row>
    <row r="860" spans="1:47" ht="12.75">
      <c r="A860" s="367"/>
      <c r="B860" s="367"/>
      <c r="C860" s="367"/>
      <c r="D860" s="367"/>
      <c r="E860" s="367"/>
      <c r="F860" s="367"/>
      <c r="G860" s="367"/>
      <c r="H860" s="367"/>
      <c r="I860" s="367"/>
      <c r="J860" s="367"/>
      <c r="K860" s="367"/>
      <c r="L860" s="367"/>
      <c r="M860" s="367"/>
      <c r="N860" s="367"/>
      <c r="O860" s="367"/>
      <c r="P860" s="364"/>
      <c r="Q860" s="365"/>
      <c r="R860" s="365"/>
      <c r="S860" s="365"/>
      <c r="T860" s="365"/>
      <c r="U860" s="366"/>
      <c r="V860" s="367"/>
      <c r="W860" s="367"/>
      <c r="X860" s="367"/>
      <c r="Y860" s="367"/>
      <c r="Z860" s="367"/>
      <c r="AA860" s="367"/>
      <c r="AB860" s="367"/>
      <c r="AC860" s="367"/>
      <c r="AD860" s="367"/>
      <c r="AE860" s="367"/>
      <c r="AF860" s="367"/>
      <c r="AG860" s="367"/>
      <c r="AH860" s="367"/>
      <c r="AI860" s="367"/>
      <c r="AJ860" s="367"/>
      <c r="AK860" s="367"/>
      <c r="AL860" s="367"/>
      <c r="AM860" s="367"/>
      <c r="AN860" s="367"/>
      <c r="AO860" s="367"/>
      <c r="AP860" s="367"/>
      <c r="AQ860" s="367"/>
      <c r="AR860" s="367"/>
      <c r="AS860" s="367"/>
      <c r="AT860" s="368"/>
      <c r="AU860" s="367"/>
    </row>
    <row r="861" spans="1:47" ht="12.75">
      <c r="A861" s="367"/>
      <c r="B861" s="367"/>
      <c r="C861" s="367"/>
      <c r="D861" s="367"/>
      <c r="E861" s="367"/>
      <c r="F861" s="367"/>
      <c r="G861" s="367"/>
      <c r="H861" s="367"/>
      <c r="I861" s="367"/>
      <c r="J861" s="367"/>
      <c r="K861" s="367"/>
      <c r="L861" s="367"/>
      <c r="M861" s="367"/>
      <c r="N861" s="367"/>
      <c r="O861" s="367"/>
      <c r="P861" s="364"/>
      <c r="Q861" s="365"/>
      <c r="R861" s="365"/>
      <c r="S861" s="365"/>
      <c r="T861" s="365"/>
      <c r="U861" s="366"/>
      <c r="V861" s="367"/>
      <c r="W861" s="367"/>
      <c r="X861" s="367"/>
      <c r="Y861" s="367"/>
      <c r="Z861" s="367"/>
      <c r="AA861" s="367"/>
      <c r="AB861" s="367"/>
      <c r="AC861" s="367"/>
      <c r="AD861" s="367"/>
      <c r="AE861" s="367"/>
      <c r="AF861" s="367"/>
      <c r="AG861" s="367"/>
      <c r="AH861" s="367"/>
      <c r="AI861" s="367"/>
      <c r="AJ861" s="367"/>
      <c r="AK861" s="367"/>
      <c r="AL861" s="367"/>
      <c r="AM861" s="367"/>
      <c r="AN861" s="367"/>
      <c r="AO861" s="367"/>
      <c r="AP861" s="367"/>
      <c r="AQ861" s="367"/>
      <c r="AR861" s="367"/>
      <c r="AS861" s="367"/>
      <c r="AT861" s="368"/>
      <c r="AU861" s="367"/>
    </row>
    <row r="862" spans="1:47" ht="12.75">
      <c r="A862" s="367"/>
      <c r="B862" s="367"/>
      <c r="C862" s="367"/>
      <c r="D862" s="367"/>
      <c r="E862" s="367"/>
      <c r="F862" s="367"/>
      <c r="G862" s="367"/>
      <c r="H862" s="367"/>
      <c r="I862" s="367"/>
      <c r="J862" s="367"/>
      <c r="K862" s="367"/>
      <c r="L862" s="367"/>
      <c r="M862" s="367"/>
      <c r="N862" s="367"/>
      <c r="O862" s="367"/>
      <c r="P862" s="364"/>
      <c r="Q862" s="365"/>
      <c r="R862" s="365"/>
      <c r="S862" s="365"/>
      <c r="T862" s="365"/>
      <c r="U862" s="366"/>
      <c r="V862" s="367"/>
      <c r="W862" s="367"/>
      <c r="X862" s="367"/>
      <c r="Y862" s="367"/>
      <c r="Z862" s="367"/>
      <c r="AA862" s="367"/>
      <c r="AB862" s="367"/>
      <c r="AC862" s="367"/>
      <c r="AD862" s="367"/>
      <c r="AE862" s="367"/>
      <c r="AF862" s="367"/>
      <c r="AG862" s="367"/>
      <c r="AH862" s="367"/>
      <c r="AI862" s="367"/>
      <c r="AJ862" s="367"/>
      <c r="AK862" s="367"/>
      <c r="AL862" s="367"/>
      <c r="AM862" s="367"/>
      <c r="AN862" s="367"/>
      <c r="AO862" s="367"/>
      <c r="AP862" s="367"/>
      <c r="AQ862" s="367"/>
      <c r="AR862" s="367"/>
      <c r="AS862" s="367"/>
      <c r="AT862" s="368"/>
      <c r="AU862" s="367"/>
    </row>
    <row r="863" spans="1:47" ht="12.75">
      <c r="A863" s="367"/>
      <c r="B863" s="367"/>
      <c r="C863" s="367"/>
      <c r="D863" s="367"/>
      <c r="E863" s="367"/>
      <c r="F863" s="367"/>
      <c r="G863" s="367"/>
      <c r="H863" s="367"/>
      <c r="I863" s="367"/>
      <c r="J863" s="367"/>
      <c r="K863" s="367"/>
      <c r="L863" s="367"/>
      <c r="M863" s="367"/>
      <c r="N863" s="367"/>
      <c r="O863" s="367"/>
      <c r="P863" s="364"/>
      <c r="Q863" s="365"/>
      <c r="R863" s="365"/>
      <c r="S863" s="365"/>
      <c r="T863" s="365"/>
      <c r="U863" s="366"/>
      <c r="V863" s="367"/>
      <c r="W863" s="367"/>
      <c r="X863" s="367"/>
      <c r="Y863" s="367"/>
      <c r="Z863" s="367"/>
      <c r="AA863" s="367"/>
      <c r="AB863" s="367"/>
      <c r="AC863" s="367"/>
      <c r="AD863" s="367"/>
      <c r="AE863" s="367"/>
      <c r="AF863" s="367"/>
      <c r="AG863" s="367"/>
      <c r="AH863" s="367"/>
      <c r="AI863" s="367"/>
      <c r="AJ863" s="367"/>
      <c r="AK863" s="367"/>
      <c r="AL863" s="367"/>
      <c r="AM863" s="367"/>
      <c r="AN863" s="367"/>
      <c r="AO863" s="367"/>
      <c r="AP863" s="367"/>
      <c r="AQ863" s="367"/>
      <c r="AR863" s="367"/>
      <c r="AS863" s="367"/>
      <c r="AT863" s="368"/>
      <c r="AU863" s="367"/>
    </row>
    <row r="864" spans="1:47" ht="12.75">
      <c r="A864" s="367"/>
      <c r="B864" s="367"/>
      <c r="C864" s="367"/>
      <c r="D864" s="367"/>
      <c r="E864" s="367"/>
      <c r="F864" s="367"/>
      <c r="G864" s="367"/>
      <c r="H864" s="367"/>
      <c r="I864" s="367"/>
      <c r="J864" s="367"/>
      <c r="K864" s="367"/>
      <c r="L864" s="367"/>
      <c r="M864" s="367"/>
      <c r="N864" s="367"/>
      <c r="O864" s="367"/>
      <c r="P864" s="364"/>
      <c r="Q864" s="365"/>
      <c r="R864" s="365"/>
      <c r="S864" s="365"/>
      <c r="T864" s="365"/>
      <c r="U864" s="366"/>
      <c r="V864" s="367"/>
      <c r="W864" s="367"/>
      <c r="X864" s="367"/>
      <c r="Y864" s="367"/>
      <c r="Z864" s="367"/>
      <c r="AA864" s="367"/>
      <c r="AB864" s="367"/>
      <c r="AC864" s="367"/>
      <c r="AD864" s="367"/>
      <c r="AE864" s="367"/>
      <c r="AF864" s="367"/>
      <c r="AG864" s="367"/>
      <c r="AH864" s="367"/>
      <c r="AI864" s="367"/>
      <c r="AJ864" s="367"/>
      <c r="AK864" s="367"/>
      <c r="AL864" s="367"/>
      <c r="AM864" s="367"/>
      <c r="AN864" s="367"/>
      <c r="AO864" s="367"/>
      <c r="AP864" s="367"/>
      <c r="AQ864" s="367"/>
      <c r="AR864" s="367"/>
      <c r="AS864" s="367"/>
      <c r="AT864" s="368"/>
      <c r="AU864" s="367"/>
    </row>
    <row r="865" spans="1:47" ht="12.75">
      <c r="A865" s="367"/>
      <c r="B865" s="367"/>
      <c r="C865" s="367"/>
      <c r="D865" s="367"/>
      <c r="E865" s="367"/>
      <c r="F865" s="367"/>
      <c r="G865" s="367"/>
      <c r="H865" s="367"/>
      <c r="I865" s="367"/>
      <c r="J865" s="367"/>
      <c r="K865" s="367"/>
      <c r="L865" s="367"/>
      <c r="M865" s="367"/>
      <c r="N865" s="367"/>
      <c r="O865" s="367"/>
      <c r="P865" s="364"/>
      <c r="Q865" s="365"/>
      <c r="R865" s="365"/>
      <c r="S865" s="365"/>
      <c r="T865" s="365"/>
      <c r="U865" s="366"/>
      <c r="V865" s="367"/>
      <c r="W865" s="367"/>
      <c r="X865" s="367"/>
      <c r="Y865" s="367"/>
      <c r="Z865" s="367"/>
      <c r="AA865" s="367"/>
      <c r="AB865" s="367"/>
      <c r="AC865" s="367"/>
      <c r="AD865" s="367"/>
      <c r="AE865" s="367"/>
      <c r="AF865" s="367"/>
      <c r="AG865" s="367"/>
      <c r="AH865" s="367"/>
      <c r="AI865" s="367"/>
      <c r="AJ865" s="367"/>
      <c r="AK865" s="367"/>
      <c r="AL865" s="367"/>
      <c r="AM865" s="367"/>
      <c r="AN865" s="367"/>
      <c r="AO865" s="367"/>
      <c r="AP865" s="367"/>
      <c r="AQ865" s="367"/>
      <c r="AR865" s="367"/>
      <c r="AS865" s="367"/>
      <c r="AT865" s="368"/>
      <c r="AU865" s="367"/>
    </row>
    <row r="866" spans="1:47" ht="12.75">
      <c r="A866" s="367"/>
      <c r="B866" s="367"/>
      <c r="C866" s="367"/>
      <c r="D866" s="367"/>
      <c r="E866" s="367"/>
      <c r="F866" s="367"/>
      <c r="G866" s="367"/>
      <c r="H866" s="367"/>
      <c r="I866" s="367"/>
      <c r="J866" s="367"/>
      <c r="K866" s="367"/>
      <c r="L866" s="367"/>
      <c r="M866" s="367"/>
      <c r="N866" s="367"/>
      <c r="O866" s="367"/>
      <c r="P866" s="364"/>
      <c r="Q866" s="365"/>
      <c r="R866" s="365"/>
      <c r="S866" s="365"/>
      <c r="T866" s="365"/>
      <c r="U866" s="366"/>
      <c r="V866" s="367"/>
      <c r="W866" s="367"/>
      <c r="X866" s="367"/>
      <c r="Y866" s="367"/>
      <c r="Z866" s="367"/>
      <c r="AA866" s="367"/>
      <c r="AB866" s="367"/>
      <c r="AC866" s="367"/>
      <c r="AD866" s="367"/>
      <c r="AE866" s="367"/>
      <c r="AF866" s="367"/>
      <c r="AG866" s="367"/>
      <c r="AH866" s="367"/>
      <c r="AI866" s="367"/>
      <c r="AJ866" s="367"/>
      <c r="AK866" s="367"/>
      <c r="AL866" s="367"/>
      <c r="AM866" s="367"/>
      <c r="AN866" s="367"/>
      <c r="AO866" s="367"/>
      <c r="AP866" s="367"/>
      <c r="AQ866" s="367"/>
      <c r="AR866" s="367"/>
      <c r="AS866" s="367"/>
      <c r="AT866" s="368"/>
      <c r="AU866" s="367"/>
    </row>
    <row r="867" spans="1:47" ht="12.75">
      <c r="A867" s="367"/>
      <c r="B867" s="367"/>
      <c r="C867" s="367"/>
      <c r="D867" s="367"/>
      <c r="E867" s="367"/>
      <c r="F867" s="367"/>
      <c r="G867" s="367"/>
      <c r="H867" s="367"/>
      <c r="I867" s="367"/>
      <c r="J867" s="367"/>
      <c r="K867" s="367"/>
      <c r="L867" s="367"/>
      <c r="M867" s="367"/>
      <c r="N867" s="367"/>
      <c r="O867" s="367"/>
      <c r="P867" s="364"/>
      <c r="Q867" s="365"/>
      <c r="R867" s="365"/>
      <c r="S867" s="365"/>
      <c r="T867" s="365"/>
      <c r="U867" s="366"/>
      <c r="V867" s="367"/>
      <c r="W867" s="367"/>
      <c r="X867" s="367"/>
      <c r="Y867" s="367"/>
      <c r="Z867" s="367"/>
      <c r="AA867" s="367"/>
      <c r="AB867" s="367"/>
      <c r="AC867" s="367"/>
      <c r="AD867" s="367"/>
      <c r="AE867" s="367"/>
      <c r="AF867" s="367"/>
      <c r="AG867" s="367"/>
      <c r="AH867" s="367"/>
      <c r="AI867" s="367"/>
      <c r="AJ867" s="367"/>
      <c r="AK867" s="367"/>
      <c r="AL867" s="367"/>
      <c r="AM867" s="367"/>
      <c r="AN867" s="367"/>
      <c r="AO867" s="367"/>
      <c r="AP867" s="367"/>
      <c r="AQ867" s="367"/>
      <c r="AR867" s="367"/>
      <c r="AS867" s="367"/>
      <c r="AT867" s="368"/>
      <c r="AU867" s="367"/>
    </row>
    <row r="868" spans="1:47" ht="12.75">
      <c r="A868" s="367"/>
      <c r="B868" s="367"/>
      <c r="C868" s="367"/>
      <c r="D868" s="367"/>
      <c r="E868" s="367"/>
      <c r="F868" s="367"/>
      <c r="G868" s="367"/>
      <c r="H868" s="367"/>
      <c r="I868" s="367"/>
      <c r="J868" s="367"/>
      <c r="K868" s="367"/>
      <c r="L868" s="367"/>
      <c r="M868" s="367"/>
      <c r="N868" s="367"/>
      <c r="O868" s="367"/>
      <c r="P868" s="364"/>
      <c r="Q868" s="365"/>
      <c r="R868" s="365"/>
      <c r="S868" s="365"/>
      <c r="T868" s="365"/>
      <c r="U868" s="366"/>
      <c r="V868" s="367"/>
      <c r="W868" s="367"/>
      <c r="X868" s="367"/>
      <c r="Y868" s="367"/>
      <c r="Z868" s="367"/>
      <c r="AA868" s="367"/>
      <c r="AB868" s="367"/>
      <c r="AC868" s="367"/>
      <c r="AD868" s="367"/>
      <c r="AE868" s="367"/>
      <c r="AF868" s="367"/>
      <c r="AG868" s="367"/>
      <c r="AH868" s="367"/>
      <c r="AI868" s="367"/>
      <c r="AJ868" s="367"/>
      <c r="AK868" s="367"/>
      <c r="AL868" s="367"/>
      <c r="AM868" s="367"/>
      <c r="AN868" s="367"/>
      <c r="AO868" s="367"/>
      <c r="AP868" s="367"/>
      <c r="AQ868" s="367"/>
      <c r="AR868" s="367"/>
      <c r="AS868" s="367"/>
      <c r="AT868" s="368"/>
      <c r="AU868" s="367"/>
    </row>
    <row r="869" spans="1:47" ht="12.75">
      <c r="A869" s="367"/>
      <c r="B869" s="367"/>
      <c r="C869" s="367"/>
      <c r="D869" s="367"/>
      <c r="E869" s="367"/>
      <c r="F869" s="367"/>
      <c r="G869" s="367"/>
      <c r="H869" s="367"/>
      <c r="I869" s="367"/>
      <c r="J869" s="367"/>
      <c r="K869" s="367"/>
      <c r="L869" s="367"/>
      <c r="M869" s="367"/>
      <c r="N869" s="367"/>
      <c r="O869" s="367"/>
      <c r="P869" s="364"/>
      <c r="Q869" s="365"/>
      <c r="R869" s="365"/>
      <c r="S869" s="365"/>
      <c r="T869" s="365"/>
      <c r="U869" s="366"/>
      <c r="V869" s="367"/>
      <c r="W869" s="367"/>
      <c r="X869" s="367"/>
      <c r="Y869" s="367"/>
      <c r="Z869" s="367"/>
      <c r="AA869" s="367"/>
      <c r="AB869" s="367"/>
      <c r="AC869" s="367"/>
      <c r="AD869" s="367"/>
      <c r="AE869" s="367"/>
      <c r="AF869" s="367"/>
      <c r="AG869" s="367"/>
      <c r="AH869" s="367"/>
      <c r="AI869" s="367"/>
      <c r="AJ869" s="367"/>
      <c r="AK869" s="367"/>
      <c r="AL869" s="367"/>
      <c r="AM869" s="367"/>
      <c r="AN869" s="367"/>
      <c r="AO869" s="367"/>
      <c r="AP869" s="367"/>
      <c r="AQ869" s="367"/>
      <c r="AR869" s="367"/>
      <c r="AS869" s="367"/>
      <c r="AT869" s="368"/>
      <c r="AU869" s="367"/>
    </row>
    <row r="870" spans="1:47" ht="12.75">
      <c r="A870" s="367"/>
      <c r="B870" s="367"/>
      <c r="C870" s="367"/>
      <c r="D870" s="367"/>
      <c r="E870" s="367"/>
      <c r="F870" s="367"/>
      <c r="G870" s="367"/>
      <c r="H870" s="367"/>
      <c r="I870" s="367"/>
      <c r="J870" s="367"/>
      <c r="K870" s="367"/>
      <c r="L870" s="367"/>
      <c r="M870" s="367"/>
      <c r="N870" s="367"/>
      <c r="O870" s="367"/>
      <c r="P870" s="364"/>
      <c r="Q870" s="365"/>
      <c r="R870" s="365"/>
      <c r="S870" s="365"/>
      <c r="T870" s="365"/>
      <c r="U870" s="366"/>
      <c r="V870" s="367"/>
      <c r="W870" s="367"/>
      <c r="X870" s="367"/>
      <c r="Y870" s="367"/>
      <c r="Z870" s="367"/>
      <c r="AA870" s="367"/>
      <c r="AB870" s="367"/>
      <c r="AC870" s="367"/>
      <c r="AD870" s="367"/>
      <c r="AE870" s="367"/>
      <c r="AF870" s="367"/>
      <c r="AG870" s="367"/>
      <c r="AH870" s="367"/>
      <c r="AI870" s="367"/>
      <c r="AJ870" s="367"/>
      <c r="AK870" s="367"/>
      <c r="AL870" s="367"/>
      <c r="AM870" s="367"/>
      <c r="AN870" s="367"/>
      <c r="AO870" s="367"/>
      <c r="AP870" s="367"/>
      <c r="AQ870" s="367"/>
      <c r="AR870" s="367"/>
      <c r="AS870" s="367"/>
      <c r="AT870" s="368"/>
      <c r="AU870" s="367"/>
    </row>
    <row r="871" spans="1:47" ht="12.75">
      <c r="A871" s="367"/>
      <c r="B871" s="367"/>
      <c r="C871" s="367"/>
      <c r="D871" s="367"/>
      <c r="E871" s="367"/>
      <c r="F871" s="367"/>
      <c r="G871" s="367"/>
      <c r="H871" s="367"/>
      <c r="I871" s="367"/>
      <c r="J871" s="367"/>
      <c r="K871" s="367"/>
      <c r="L871" s="367"/>
      <c r="M871" s="367"/>
      <c r="N871" s="367"/>
      <c r="O871" s="367"/>
      <c r="P871" s="364"/>
      <c r="Q871" s="365"/>
      <c r="R871" s="365"/>
      <c r="S871" s="365"/>
      <c r="T871" s="365"/>
      <c r="U871" s="366"/>
      <c r="V871" s="367"/>
      <c r="W871" s="367"/>
      <c r="X871" s="367"/>
      <c r="Y871" s="367"/>
      <c r="Z871" s="367"/>
      <c r="AA871" s="367"/>
      <c r="AB871" s="367"/>
      <c r="AC871" s="367"/>
      <c r="AD871" s="367"/>
      <c r="AE871" s="367"/>
      <c r="AF871" s="367"/>
      <c r="AG871" s="367"/>
      <c r="AH871" s="367"/>
      <c r="AI871" s="367"/>
      <c r="AJ871" s="367"/>
      <c r="AK871" s="367"/>
      <c r="AL871" s="367"/>
      <c r="AM871" s="367"/>
      <c r="AN871" s="367"/>
      <c r="AO871" s="367"/>
      <c r="AP871" s="367"/>
      <c r="AQ871" s="367"/>
      <c r="AR871" s="367"/>
      <c r="AS871" s="367"/>
      <c r="AT871" s="368"/>
      <c r="AU871" s="367"/>
    </row>
    <row r="872" spans="1:47" ht="12.75">
      <c r="A872" s="367"/>
      <c r="B872" s="367"/>
      <c r="C872" s="367"/>
      <c r="D872" s="367"/>
      <c r="E872" s="367"/>
      <c r="F872" s="367"/>
      <c r="G872" s="367"/>
      <c r="H872" s="367"/>
      <c r="I872" s="367"/>
      <c r="J872" s="367"/>
      <c r="K872" s="367"/>
      <c r="L872" s="367"/>
      <c r="M872" s="367"/>
      <c r="N872" s="367"/>
      <c r="O872" s="367"/>
      <c r="P872" s="364"/>
      <c r="Q872" s="365"/>
      <c r="R872" s="365"/>
      <c r="S872" s="365"/>
      <c r="T872" s="365"/>
      <c r="U872" s="366"/>
      <c r="V872" s="367"/>
      <c r="W872" s="367"/>
      <c r="X872" s="367"/>
      <c r="Y872" s="367"/>
      <c r="Z872" s="367"/>
      <c r="AA872" s="367"/>
      <c r="AB872" s="367"/>
      <c r="AC872" s="367"/>
      <c r="AD872" s="367"/>
      <c r="AE872" s="367"/>
      <c r="AF872" s="367"/>
      <c r="AG872" s="367"/>
      <c r="AH872" s="367"/>
      <c r="AI872" s="367"/>
      <c r="AJ872" s="367"/>
      <c r="AK872" s="367"/>
      <c r="AL872" s="367"/>
      <c r="AM872" s="367"/>
      <c r="AN872" s="367"/>
      <c r="AO872" s="367"/>
      <c r="AP872" s="367"/>
      <c r="AQ872" s="367"/>
      <c r="AR872" s="367"/>
      <c r="AS872" s="367"/>
      <c r="AT872" s="368"/>
      <c r="AU872" s="367"/>
    </row>
    <row r="873" spans="1:47" ht="12.75">
      <c r="A873" s="367"/>
      <c r="B873" s="367"/>
      <c r="C873" s="367"/>
      <c r="D873" s="367"/>
      <c r="E873" s="367"/>
      <c r="F873" s="367"/>
      <c r="G873" s="367"/>
      <c r="H873" s="367"/>
      <c r="I873" s="367"/>
      <c r="J873" s="367"/>
      <c r="K873" s="367"/>
      <c r="L873" s="367"/>
      <c r="M873" s="367"/>
      <c r="N873" s="367"/>
      <c r="O873" s="367"/>
      <c r="P873" s="364"/>
      <c r="Q873" s="365"/>
      <c r="R873" s="365"/>
      <c r="S873" s="365"/>
      <c r="T873" s="365"/>
      <c r="U873" s="366"/>
      <c r="V873" s="367"/>
      <c r="W873" s="367"/>
      <c r="X873" s="367"/>
      <c r="Y873" s="367"/>
      <c r="Z873" s="367"/>
      <c r="AA873" s="367"/>
      <c r="AB873" s="367"/>
      <c r="AC873" s="367"/>
      <c r="AD873" s="367"/>
      <c r="AE873" s="367"/>
      <c r="AF873" s="367"/>
      <c r="AG873" s="367"/>
      <c r="AH873" s="367"/>
      <c r="AI873" s="367"/>
      <c r="AJ873" s="367"/>
      <c r="AK873" s="367"/>
      <c r="AL873" s="367"/>
      <c r="AM873" s="367"/>
      <c r="AN873" s="367"/>
      <c r="AO873" s="367"/>
      <c r="AP873" s="367"/>
      <c r="AQ873" s="367"/>
      <c r="AR873" s="367"/>
      <c r="AS873" s="367"/>
      <c r="AT873" s="368"/>
      <c r="AU873" s="367"/>
    </row>
    <row r="874" spans="1:47" ht="12.75">
      <c r="A874" s="367"/>
      <c r="B874" s="367"/>
      <c r="C874" s="367"/>
      <c r="D874" s="367"/>
      <c r="E874" s="367"/>
      <c r="F874" s="367"/>
      <c r="G874" s="367"/>
      <c r="H874" s="367"/>
      <c r="I874" s="367"/>
      <c r="J874" s="367"/>
      <c r="K874" s="367"/>
      <c r="L874" s="367"/>
      <c r="M874" s="367"/>
      <c r="N874" s="367"/>
      <c r="O874" s="367"/>
      <c r="P874" s="364"/>
      <c r="Q874" s="365"/>
      <c r="R874" s="365"/>
      <c r="S874" s="365"/>
      <c r="T874" s="365"/>
      <c r="U874" s="366"/>
      <c r="V874" s="367"/>
      <c r="W874" s="367"/>
      <c r="X874" s="367"/>
      <c r="Y874" s="367"/>
      <c r="Z874" s="367"/>
      <c r="AA874" s="367"/>
      <c r="AB874" s="367"/>
      <c r="AC874" s="367"/>
      <c r="AD874" s="367"/>
      <c r="AE874" s="367"/>
      <c r="AF874" s="367"/>
      <c r="AG874" s="367"/>
      <c r="AH874" s="367"/>
      <c r="AI874" s="367"/>
      <c r="AJ874" s="367"/>
      <c r="AK874" s="367"/>
      <c r="AL874" s="367"/>
      <c r="AM874" s="367"/>
      <c r="AN874" s="367"/>
      <c r="AO874" s="367"/>
      <c r="AP874" s="367"/>
      <c r="AQ874" s="367"/>
      <c r="AR874" s="367"/>
      <c r="AS874" s="367"/>
      <c r="AT874" s="368"/>
      <c r="AU874" s="367"/>
    </row>
    <row r="875" spans="1:47" ht="12.75">
      <c r="A875" s="367"/>
      <c r="B875" s="367"/>
      <c r="C875" s="367"/>
      <c r="D875" s="367"/>
      <c r="E875" s="367"/>
      <c r="F875" s="367"/>
      <c r="G875" s="367"/>
      <c r="H875" s="367"/>
      <c r="I875" s="367"/>
      <c r="J875" s="367"/>
      <c r="K875" s="367"/>
      <c r="L875" s="367"/>
      <c r="M875" s="367"/>
      <c r="N875" s="367"/>
      <c r="O875" s="367"/>
      <c r="P875" s="364"/>
      <c r="Q875" s="365"/>
      <c r="R875" s="365"/>
      <c r="S875" s="365"/>
      <c r="T875" s="365"/>
      <c r="U875" s="366"/>
      <c r="V875" s="367"/>
      <c r="W875" s="367"/>
      <c r="X875" s="367"/>
      <c r="Y875" s="367"/>
      <c r="Z875" s="367"/>
      <c r="AA875" s="367"/>
      <c r="AB875" s="367"/>
      <c r="AC875" s="367"/>
      <c r="AD875" s="367"/>
      <c r="AE875" s="367"/>
      <c r="AF875" s="367"/>
      <c r="AG875" s="367"/>
      <c r="AH875" s="367"/>
      <c r="AI875" s="367"/>
      <c r="AJ875" s="367"/>
      <c r="AK875" s="367"/>
      <c r="AL875" s="367"/>
      <c r="AM875" s="367"/>
      <c r="AN875" s="367"/>
      <c r="AO875" s="367"/>
      <c r="AP875" s="367"/>
      <c r="AQ875" s="367"/>
      <c r="AR875" s="367"/>
      <c r="AS875" s="367"/>
      <c r="AT875" s="368"/>
      <c r="AU875" s="367"/>
    </row>
    <row r="876" spans="1:47" ht="12.75">
      <c r="A876" s="367"/>
      <c r="B876" s="367"/>
      <c r="C876" s="367"/>
      <c r="D876" s="367"/>
      <c r="E876" s="367"/>
      <c r="F876" s="367"/>
      <c r="G876" s="367"/>
      <c r="H876" s="367"/>
      <c r="I876" s="367"/>
      <c r="J876" s="367"/>
      <c r="K876" s="367"/>
      <c r="L876" s="367"/>
      <c r="M876" s="367"/>
      <c r="N876" s="367"/>
      <c r="O876" s="367"/>
      <c r="P876" s="364"/>
      <c r="Q876" s="365"/>
      <c r="R876" s="365"/>
      <c r="S876" s="365"/>
      <c r="T876" s="365"/>
      <c r="U876" s="366"/>
      <c r="V876" s="367"/>
      <c r="W876" s="367"/>
      <c r="X876" s="367"/>
      <c r="Y876" s="367"/>
      <c r="Z876" s="367"/>
      <c r="AA876" s="367"/>
      <c r="AB876" s="367"/>
      <c r="AC876" s="367"/>
      <c r="AD876" s="367"/>
      <c r="AE876" s="367"/>
      <c r="AF876" s="367"/>
      <c r="AG876" s="367"/>
      <c r="AH876" s="367"/>
      <c r="AI876" s="367"/>
      <c r="AJ876" s="367"/>
      <c r="AK876" s="367"/>
      <c r="AL876" s="367"/>
      <c r="AM876" s="367"/>
      <c r="AN876" s="367"/>
      <c r="AO876" s="367"/>
      <c r="AP876" s="367"/>
      <c r="AQ876" s="367"/>
      <c r="AR876" s="367"/>
      <c r="AS876" s="367"/>
      <c r="AT876" s="368"/>
      <c r="AU876" s="367"/>
    </row>
    <row r="877" spans="1:47" ht="12.75">
      <c r="A877" s="367"/>
      <c r="B877" s="367"/>
      <c r="C877" s="367"/>
      <c r="D877" s="367"/>
      <c r="E877" s="367"/>
      <c r="F877" s="367"/>
      <c r="G877" s="367"/>
      <c r="H877" s="367"/>
      <c r="I877" s="367"/>
      <c r="J877" s="367"/>
      <c r="K877" s="367"/>
      <c r="L877" s="367"/>
      <c r="M877" s="367"/>
      <c r="N877" s="367"/>
      <c r="O877" s="367"/>
      <c r="P877" s="364"/>
      <c r="Q877" s="365"/>
      <c r="R877" s="365"/>
      <c r="S877" s="365"/>
      <c r="T877" s="365"/>
      <c r="U877" s="366"/>
      <c r="V877" s="367"/>
      <c r="W877" s="367"/>
      <c r="X877" s="367"/>
      <c r="Y877" s="367"/>
      <c r="Z877" s="367"/>
      <c r="AA877" s="367"/>
      <c r="AB877" s="367"/>
      <c r="AC877" s="367"/>
      <c r="AD877" s="367"/>
      <c r="AE877" s="367"/>
      <c r="AF877" s="367"/>
      <c r="AG877" s="367"/>
      <c r="AH877" s="367"/>
      <c r="AI877" s="367"/>
      <c r="AJ877" s="367"/>
      <c r="AK877" s="367"/>
      <c r="AL877" s="367"/>
      <c r="AM877" s="367"/>
      <c r="AN877" s="367"/>
      <c r="AO877" s="367"/>
      <c r="AP877" s="367"/>
      <c r="AQ877" s="367"/>
      <c r="AR877" s="367"/>
      <c r="AS877" s="367"/>
      <c r="AT877" s="368"/>
      <c r="AU877" s="367"/>
    </row>
    <row r="878" spans="1:47" ht="12.75">
      <c r="A878" s="367"/>
      <c r="B878" s="367"/>
      <c r="C878" s="367"/>
      <c r="D878" s="367"/>
      <c r="E878" s="367"/>
      <c r="F878" s="367"/>
      <c r="G878" s="367"/>
      <c r="H878" s="367"/>
      <c r="I878" s="367"/>
      <c r="J878" s="367"/>
      <c r="K878" s="367"/>
      <c r="L878" s="367"/>
      <c r="M878" s="367"/>
      <c r="N878" s="367"/>
      <c r="O878" s="367"/>
      <c r="P878" s="364"/>
      <c r="Q878" s="365"/>
      <c r="R878" s="365"/>
      <c r="S878" s="365"/>
      <c r="T878" s="365"/>
      <c r="U878" s="366"/>
      <c r="V878" s="367"/>
      <c r="W878" s="367"/>
      <c r="X878" s="367"/>
      <c r="Y878" s="367"/>
      <c r="Z878" s="367"/>
      <c r="AA878" s="367"/>
      <c r="AB878" s="367"/>
      <c r="AC878" s="367"/>
      <c r="AD878" s="367"/>
      <c r="AE878" s="367"/>
      <c r="AF878" s="367"/>
      <c r="AG878" s="367"/>
      <c r="AH878" s="367"/>
      <c r="AI878" s="367"/>
      <c r="AJ878" s="367"/>
      <c r="AK878" s="367"/>
      <c r="AL878" s="367"/>
      <c r="AM878" s="367"/>
      <c r="AN878" s="367"/>
      <c r="AO878" s="367"/>
      <c r="AP878" s="367"/>
      <c r="AQ878" s="367"/>
      <c r="AR878" s="367"/>
      <c r="AS878" s="367"/>
      <c r="AT878" s="368"/>
      <c r="AU878" s="367"/>
    </row>
    <row r="879" spans="1:47" ht="12.75">
      <c r="A879" s="367"/>
      <c r="B879" s="367"/>
      <c r="C879" s="367"/>
      <c r="D879" s="367"/>
      <c r="E879" s="367"/>
      <c r="F879" s="367"/>
      <c r="G879" s="367"/>
      <c r="H879" s="367"/>
      <c r="I879" s="367"/>
      <c r="J879" s="367"/>
      <c r="K879" s="367"/>
      <c r="L879" s="367"/>
      <c r="M879" s="367"/>
      <c r="N879" s="367"/>
      <c r="O879" s="367"/>
      <c r="P879" s="364"/>
      <c r="Q879" s="365"/>
      <c r="R879" s="365"/>
      <c r="S879" s="365"/>
      <c r="T879" s="365"/>
      <c r="U879" s="366"/>
      <c r="V879" s="367"/>
      <c r="W879" s="367"/>
      <c r="X879" s="367"/>
      <c r="Y879" s="367"/>
      <c r="Z879" s="367"/>
      <c r="AA879" s="367"/>
      <c r="AB879" s="367"/>
      <c r="AC879" s="367"/>
      <c r="AD879" s="367"/>
      <c r="AE879" s="367"/>
      <c r="AF879" s="367"/>
      <c r="AG879" s="367"/>
      <c r="AH879" s="367"/>
      <c r="AI879" s="367"/>
      <c r="AJ879" s="367"/>
      <c r="AK879" s="367"/>
      <c r="AL879" s="367"/>
      <c r="AM879" s="367"/>
      <c r="AN879" s="367"/>
      <c r="AO879" s="367"/>
      <c r="AP879" s="367"/>
      <c r="AQ879" s="367"/>
      <c r="AR879" s="367"/>
      <c r="AS879" s="367"/>
      <c r="AT879" s="368"/>
      <c r="AU879" s="367"/>
    </row>
    <row r="880" spans="1:47" ht="12.75">
      <c r="A880" s="367"/>
      <c r="B880" s="367"/>
      <c r="C880" s="367"/>
      <c r="D880" s="367"/>
      <c r="E880" s="367"/>
      <c r="F880" s="367"/>
      <c r="G880" s="367"/>
      <c r="H880" s="367"/>
      <c r="I880" s="367"/>
      <c r="J880" s="367"/>
      <c r="K880" s="367"/>
      <c r="L880" s="367"/>
      <c r="M880" s="367"/>
      <c r="N880" s="367"/>
      <c r="O880" s="367"/>
      <c r="P880" s="364"/>
      <c r="Q880" s="365"/>
      <c r="R880" s="365"/>
      <c r="S880" s="365"/>
      <c r="T880" s="365"/>
      <c r="U880" s="366"/>
      <c r="V880" s="367"/>
      <c r="W880" s="367"/>
      <c r="X880" s="367"/>
      <c r="Y880" s="367"/>
      <c r="Z880" s="367"/>
      <c r="AA880" s="367"/>
      <c r="AB880" s="367"/>
      <c r="AC880" s="367"/>
      <c r="AD880" s="367"/>
      <c r="AE880" s="367"/>
      <c r="AF880" s="367"/>
      <c r="AG880" s="367"/>
      <c r="AH880" s="367"/>
      <c r="AI880" s="367"/>
      <c r="AJ880" s="367"/>
      <c r="AK880" s="367"/>
      <c r="AL880" s="367"/>
      <c r="AM880" s="367"/>
      <c r="AN880" s="367"/>
      <c r="AO880" s="367"/>
      <c r="AP880" s="367"/>
      <c r="AQ880" s="367"/>
      <c r="AR880" s="367"/>
      <c r="AS880" s="367"/>
      <c r="AT880" s="368"/>
      <c r="AU880" s="367"/>
    </row>
    <row r="881" spans="1:47" ht="12.75">
      <c r="A881" s="367"/>
      <c r="B881" s="367"/>
      <c r="C881" s="367"/>
      <c r="D881" s="367"/>
      <c r="E881" s="367"/>
      <c r="F881" s="367"/>
      <c r="G881" s="367"/>
      <c r="H881" s="367"/>
      <c r="I881" s="367"/>
      <c r="J881" s="367"/>
      <c r="K881" s="367"/>
      <c r="L881" s="367"/>
      <c r="M881" s="367"/>
      <c r="N881" s="367"/>
      <c r="O881" s="367"/>
      <c r="P881" s="364"/>
      <c r="Q881" s="365"/>
      <c r="R881" s="365"/>
      <c r="S881" s="365"/>
      <c r="T881" s="365"/>
      <c r="U881" s="366"/>
      <c r="V881" s="367"/>
      <c r="W881" s="367"/>
      <c r="X881" s="367"/>
      <c r="Y881" s="367"/>
      <c r="Z881" s="367"/>
      <c r="AA881" s="367"/>
      <c r="AB881" s="367"/>
      <c r="AC881" s="367"/>
      <c r="AD881" s="367"/>
      <c r="AE881" s="367"/>
      <c r="AF881" s="367"/>
      <c r="AG881" s="367"/>
      <c r="AH881" s="367"/>
      <c r="AI881" s="367"/>
      <c r="AJ881" s="367"/>
      <c r="AK881" s="367"/>
      <c r="AL881" s="367"/>
      <c r="AM881" s="367"/>
      <c r="AN881" s="367"/>
      <c r="AO881" s="367"/>
      <c r="AP881" s="367"/>
      <c r="AQ881" s="367"/>
      <c r="AR881" s="367"/>
      <c r="AS881" s="367"/>
      <c r="AT881" s="368"/>
      <c r="AU881" s="367"/>
    </row>
    <row r="882" spans="1:47" ht="12.75">
      <c r="A882" s="367"/>
      <c r="B882" s="367"/>
      <c r="C882" s="367"/>
      <c r="D882" s="367"/>
      <c r="E882" s="367"/>
      <c r="F882" s="367"/>
      <c r="G882" s="367"/>
      <c r="H882" s="367"/>
      <c r="I882" s="367"/>
      <c r="J882" s="367"/>
      <c r="K882" s="367"/>
      <c r="L882" s="367"/>
      <c r="M882" s="367"/>
      <c r="N882" s="367"/>
      <c r="O882" s="367"/>
      <c r="P882" s="364"/>
      <c r="Q882" s="365"/>
      <c r="R882" s="365"/>
      <c r="S882" s="365"/>
      <c r="T882" s="365"/>
      <c r="U882" s="366"/>
      <c r="V882" s="367"/>
      <c r="W882" s="367"/>
      <c r="X882" s="367"/>
      <c r="Y882" s="367"/>
      <c r="Z882" s="367"/>
      <c r="AA882" s="367"/>
      <c r="AB882" s="367"/>
      <c r="AC882" s="367"/>
      <c r="AD882" s="367"/>
      <c r="AE882" s="367"/>
      <c r="AF882" s="367"/>
      <c r="AG882" s="367"/>
      <c r="AH882" s="367"/>
      <c r="AI882" s="367"/>
      <c r="AJ882" s="367"/>
      <c r="AK882" s="367"/>
      <c r="AL882" s="367"/>
      <c r="AM882" s="367"/>
      <c r="AN882" s="367"/>
      <c r="AO882" s="367"/>
      <c r="AP882" s="367"/>
      <c r="AQ882" s="367"/>
      <c r="AR882" s="367"/>
      <c r="AS882" s="367"/>
      <c r="AT882" s="368"/>
      <c r="AU882" s="367"/>
    </row>
    <row r="883" spans="1:47" ht="12.75">
      <c r="A883" s="367"/>
      <c r="B883" s="367"/>
      <c r="C883" s="367"/>
      <c r="D883" s="367"/>
      <c r="E883" s="367"/>
      <c r="F883" s="367"/>
      <c r="G883" s="367"/>
      <c r="H883" s="367"/>
      <c r="I883" s="367"/>
      <c r="J883" s="367"/>
      <c r="K883" s="367"/>
      <c r="L883" s="367"/>
      <c r="M883" s="367"/>
      <c r="N883" s="367"/>
      <c r="O883" s="367"/>
      <c r="P883" s="364"/>
      <c r="Q883" s="365"/>
      <c r="R883" s="365"/>
      <c r="S883" s="365"/>
      <c r="T883" s="365"/>
      <c r="U883" s="366"/>
      <c r="V883" s="367"/>
      <c r="W883" s="367"/>
      <c r="X883" s="367"/>
      <c r="Y883" s="367"/>
      <c r="Z883" s="367"/>
      <c r="AA883" s="367"/>
      <c r="AB883" s="367"/>
      <c r="AC883" s="367"/>
      <c r="AD883" s="367"/>
      <c r="AE883" s="367"/>
      <c r="AF883" s="367"/>
      <c r="AG883" s="367"/>
      <c r="AH883" s="367"/>
      <c r="AI883" s="367"/>
      <c r="AJ883" s="367"/>
      <c r="AK883" s="367"/>
      <c r="AL883" s="367"/>
      <c r="AM883" s="367"/>
      <c r="AN883" s="367"/>
      <c r="AO883" s="367"/>
      <c r="AP883" s="367"/>
      <c r="AQ883" s="367"/>
      <c r="AR883" s="367"/>
      <c r="AS883" s="367"/>
      <c r="AT883" s="368"/>
      <c r="AU883" s="367"/>
    </row>
    <row r="884" spans="1:47" ht="12.75">
      <c r="A884" s="367"/>
      <c r="B884" s="367"/>
      <c r="C884" s="367"/>
      <c r="D884" s="367"/>
      <c r="E884" s="367"/>
      <c r="F884" s="367"/>
      <c r="G884" s="367"/>
      <c r="H884" s="367"/>
      <c r="I884" s="367"/>
      <c r="J884" s="367"/>
      <c r="K884" s="367"/>
      <c r="L884" s="367"/>
      <c r="M884" s="367"/>
      <c r="N884" s="367"/>
      <c r="O884" s="367"/>
      <c r="P884" s="364"/>
      <c r="Q884" s="365"/>
      <c r="R884" s="365"/>
      <c r="S884" s="365"/>
      <c r="T884" s="365"/>
      <c r="U884" s="366"/>
      <c r="V884" s="367"/>
      <c r="W884" s="367"/>
      <c r="X884" s="367"/>
      <c r="Y884" s="367"/>
      <c r="Z884" s="367"/>
      <c r="AA884" s="367"/>
      <c r="AB884" s="367"/>
      <c r="AC884" s="367"/>
      <c r="AD884" s="367"/>
      <c r="AE884" s="367"/>
      <c r="AF884" s="367"/>
      <c r="AG884" s="367"/>
      <c r="AH884" s="367"/>
      <c r="AI884" s="367"/>
      <c r="AJ884" s="367"/>
      <c r="AK884" s="367"/>
      <c r="AL884" s="367"/>
      <c r="AM884" s="367"/>
      <c r="AN884" s="367"/>
      <c r="AO884" s="367"/>
      <c r="AP884" s="367"/>
      <c r="AQ884" s="367"/>
      <c r="AR884" s="367"/>
      <c r="AS884" s="367"/>
      <c r="AT884" s="368"/>
      <c r="AU884" s="367"/>
    </row>
    <row r="885" spans="1:47" ht="12.75">
      <c r="A885" s="367"/>
      <c r="B885" s="367"/>
      <c r="C885" s="367"/>
      <c r="D885" s="367"/>
      <c r="E885" s="367"/>
      <c r="F885" s="367"/>
      <c r="G885" s="367"/>
      <c r="H885" s="367"/>
      <c r="I885" s="367"/>
      <c r="J885" s="367"/>
      <c r="K885" s="367"/>
      <c r="L885" s="367"/>
      <c r="M885" s="367"/>
      <c r="N885" s="367"/>
      <c r="O885" s="367"/>
      <c r="P885" s="364"/>
      <c r="Q885" s="365"/>
      <c r="R885" s="365"/>
      <c r="S885" s="365"/>
      <c r="T885" s="365"/>
      <c r="U885" s="366"/>
      <c r="V885" s="367"/>
      <c r="W885" s="367"/>
      <c r="X885" s="367"/>
      <c r="Y885" s="367"/>
      <c r="Z885" s="367"/>
      <c r="AA885" s="367"/>
      <c r="AB885" s="367"/>
      <c r="AC885" s="367"/>
      <c r="AD885" s="367"/>
      <c r="AE885" s="367"/>
      <c r="AF885" s="367"/>
      <c r="AG885" s="367"/>
      <c r="AH885" s="367"/>
      <c r="AI885" s="367"/>
      <c r="AJ885" s="367"/>
      <c r="AK885" s="367"/>
      <c r="AL885" s="367"/>
      <c r="AM885" s="367"/>
      <c r="AN885" s="367"/>
      <c r="AO885" s="367"/>
      <c r="AP885" s="367"/>
      <c r="AQ885" s="367"/>
      <c r="AR885" s="367"/>
      <c r="AS885" s="367"/>
      <c r="AT885" s="368"/>
      <c r="AU885" s="367"/>
    </row>
    <row r="886" spans="1:47" ht="12.75">
      <c r="A886" s="367"/>
      <c r="B886" s="367"/>
      <c r="C886" s="367"/>
      <c r="D886" s="367"/>
      <c r="E886" s="367"/>
      <c r="F886" s="367"/>
      <c r="G886" s="367"/>
      <c r="H886" s="367"/>
      <c r="I886" s="367"/>
      <c r="J886" s="367"/>
      <c r="K886" s="367"/>
      <c r="L886" s="367"/>
      <c r="M886" s="367"/>
      <c r="N886" s="367"/>
      <c r="O886" s="367"/>
      <c r="P886" s="364"/>
      <c r="Q886" s="365"/>
      <c r="R886" s="365"/>
      <c r="S886" s="365"/>
      <c r="T886" s="365"/>
      <c r="U886" s="366"/>
      <c r="V886" s="367"/>
      <c r="W886" s="367"/>
      <c r="X886" s="367"/>
      <c r="Y886" s="367"/>
      <c r="Z886" s="367"/>
      <c r="AA886" s="367"/>
      <c r="AB886" s="367"/>
      <c r="AC886" s="367"/>
      <c r="AD886" s="367"/>
      <c r="AE886" s="367"/>
      <c r="AF886" s="367"/>
      <c r="AG886" s="367"/>
      <c r="AH886" s="367"/>
      <c r="AI886" s="367"/>
      <c r="AJ886" s="367"/>
      <c r="AK886" s="367"/>
      <c r="AL886" s="367"/>
      <c r="AM886" s="367"/>
      <c r="AN886" s="367"/>
      <c r="AO886" s="367"/>
      <c r="AP886" s="367"/>
      <c r="AQ886" s="367"/>
      <c r="AR886" s="367"/>
      <c r="AS886" s="367"/>
      <c r="AT886" s="368"/>
      <c r="AU886" s="367"/>
    </row>
    <row r="887" spans="1:47" ht="12.75">
      <c r="A887" s="367"/>
      <c r="B887" s="367"/>
      <c r="C887" s="367"/>
      <c r="D887" s="367"/>
      <c r="E887" s="367"/>
      <c r="F887" s="367"/>
      <c r="G887" s="367"/>
      <c r="H887" s="367"/>
      <c r="I887" s="367"/>
      <c r="J887" s="367"/>
      <c r="K887" s="367"/>
      <c r="L887" s="367"/>
      <c r="M887" s="367"/>
      <c r="N887" s="367"/>
      <c r="O887" s="367"/>
      <c r="P887" s="364"/>
      <c r="Q887" s="365"/>
      <c r="R887" s="365"/>
      <c r="S887" s="365"/>
      <c r="T887" s="365"/>
      <c r="U887" s="366"/>
      <c r="V887" s="367"/>
      <c r="W887" s="367"/>
      <c r="X887" s="367"/>
      <c r="Y887" s="367"/>
      <c r="Z887" s="367"/>
      <c r="AA887" s="367"/>
      <c r="AB887" s="367"/>
      <c r="AC887" s="367"/>
      <c r="AD887" s="367"/>
      <c r="AE887" s="367"/>
      <c r="AF887" s="367"/>
      <c r="AG887" s="367"/>
      <c r="AH887" s="367"/>
      <c r="AI887" s="367"/>
      <c r="AJ887" s="367"/>
      <c r="AK887" s="367"/>
      <c r="AL887" s="367"/>
      <c r="AM887" s="367"/>
      <c r="AN887" s="367"/>
      <c r="AO887" s="367"/>
      <c r="AP887" s="367"/>
      <c r="AQ887" s="367"/>
      <c r="AR887" s="367"/>
      <c r="AS887" s="367"/>
      <c r="AT887" s="368"/>
      <c r="AU887" s="367"/>
    </row>
    <row r="888" spans="1:47" ht="12.75">
      <c r="A888" s="367"/>
      <c r="B888" s="367"/>
      <c r="C888" s="367"/>
      <c r="D888" s="367"/>
      <c r="E888" s="367"/>
      <c r="F888" s="367"/>
      <c r="G888" s="367"/>
      <c r="H888" s="367"/>
      <c r="I888" s="367"/>
      <c r="J888" s="367"/>
      <c r="K888" s="367"/>
      <c r="L888" s="367"/>
      <c r="M888" s="367"/>
      <c r="N888" s="367"/>
      <c r="O888" s="367"/>
      <c r="P888" s="364"/>
      <c r="Q888" s="365"/>
      <c r="R888" s="365"/>
      <c r="S888" s="365"/>
      <c r="T888" s="365"/>
      <c r="U888" s="366"/>
      <c r="V888" s="367"/>
      <c r="W888" s="367"/>
      <c r="X888" s="367"/>
      <c r="Y888" s="367"/>
      <c r="Z888" s="367"/>
      <c r="AA888" s="367"/>
      <c r="AB888" s="367"/>
      <c r="AC888" s="367"/>
      <c r="AD888" s="367"/>
      <c r="AE888" s="367"/>
      <c r="AF888" s="367"/>
      <c r="AG888" s="367"/>
      <c r="AH888" s="367"/>
      <c r="AI888" s="367"/>
      <c r="AJ888" s="367"/>
      <c r="AK888" s="367"/>
      <c r="AL888" s="367"/>
      <c r="AM888" s="367"/>
      <c r="AN888" s="367"/>
      <c r="AO888" s="367"/>
      <c r="AP888" s="367"/>
      <c r="AQ888" s="367"/>
      <c r="AR888" s="367"/>
      <c r="AS888" s="367"/>
      <c r="AT888" s="368"/>
      <c r="AU888" s="367"/>
    </row>
    <row r="889" spans="1:47" ht="12.75">
      <c r="A889" s="367"/>
      <c r="B889" s="367"/>
      <c r="C889" s="367"/>
      <c r="D889" s="367"/>
      <c r="E889" s="367"/>
      <c r="F889" s="367"/>
      <c r="G889" s="367"/>
      <c r="H889" s="367"/>
      <c r="I889" s="367"/>
      <c r="J889" s="367"/>
      <c r="K889" s="367"/>
      <c r="L889" s="367"/>
      <c r="M889" s="367"/>
      <c r="N889" s="367"/>
      <c r="O889" s="367"/>
      <c r="P889" s="364"/>
      <c r="Q889" s="365"/>
      <c r="R889" s="365"/>
      <c r="S889" s="365"/>
      <c r="T889" s="365"/>
      <c r="U889" s="366"/>
      <c r="V889" s="367"/>
      <c r="W889" s="367"/>
      <c r="X889" s="367"/>
      <c r="Y889" s="367"/>
      <c r="Z889" s="367"/>
      <c r="AA889" s="367"/>
      <c r="AB889" s="367"/>
      <c r="AC889" s="367"/>
      <c r="AD889" s="367"/>
      <c r="AE889" s="367"/>
      <c r="AF889" s="367"/>
      <c r="AG889" s="367"/>
      <c r="AH889" s="367"/>
      <c r="AI889" s="367"/>
      <c r="AJ889" s="367"/>
      <c r="AK889" s="367"/>
      <c r="AL889" s="367"/>
      <c r="AM889" s="367"/>
      <c r="AN889" s="367"/>
      <c r="AO889" s="367"/>
      <c r="AP889" s="367"/>
      <c r="AQ889" s="367"/>
      <c r="AR889" s="367"/>
      <c r="AS889" s="367"/>
      <c r="AT889" s="368"/>
      <c r="AU889" s="367"/>
    </row>
    <row r="890" spans="1:47" ht="12.75">
      <c r="A890" s="367"/>
      <c r="B890" s="367"/>
      <c r="C890" s="367"/>
      <c r="D890" s="367"/>
      <c r="E890" s="367"/>
      <c r="F890" s="367"/>
      <c r="G890" s="367"/>
      <c r="H890" s="367"/>
      <c r="I890" s="367"/>
      <c r="J890" s="367"/>
      <c r="K890" s="367"/>
      <c r="L890" s="367"/>
      <c r="M890" s="367"/>
      <c r="N890" s="367"/>
      <c r="O890" s="367"/>
      <c r="P890" s="364"/>
      <c r="Q890" s="365"/>
      <c r="R890" s="365"/>
      <c r="S890" s="365"/>
      <c r="T890" s="365"/>
      <c r="U890" s="366"/>
      <c r="V890" s="367"/>
      <c r="W890" s="367"/>
      <c r="X890" s="367"/>
      <c r="Y890" s="367"/>
      <c r="Z890" s="367"/>
      <c r="AA890" s="367"/>
      <c r="AB890" s="367"/>
      <c r="AC890" s="367"/>
      <c r="AD890" s="367"/>
      <c r="AE890" s="367"/>
      <c r="AF890" s="367"/>
      <c r="AG890" s="367"/>
      <c r="AH890" s="367"/>
      <c r="AI890" s="367"/>
      <c r="AJ890" s="367"/>
      <c r="AK890" s="367"/>
      <c r="AL890" s="367"/>
      <c r="AM890" s="367"/>
      <c r="AN890" s="367"/>
      <c r="AO890" s="367"/>
      <c r="AP890" s="367"/>
      <c r="AQ890" s="367"/>
      <c r="AR890" s="367"/>
      <c r="AS890" s="367"/>
      <c r="AT890" s="368"/>
      <c r="AU890" s="367"/>
    </row>
    <row r="891" spans="1:47" ht="12.75">
      <c r="A891" s="367"/>
      <c r="B891" s="367"/>
      <c r="C891" s="367"/>
      <c r="D891" s="367"/>
      <c r="E891" s="367"/>
      <c r="F891" s="367"/>
      <c r="G891" s="367"/>
      <c r="H891" s="367"/>
      <c r="I891" s="367"/>
      <c r="J891" s="367"/>
      <c r="K891" s="367"/>
      <c r="L891" s="367"/>
      <c r="M891" s="367"/>
      <c r="N891" s="367"/>
      <c r="O891" s="367"/>
      <c r="P891" s="364"/>
      <c r="Q891" s="365"/>
      <c r="R891" s="365"/>
      <c r="S891" s="365"/>
      <c r="T891" s="365"/>
      <c r="U891" s="366"/>
      <c r="V891" s="367"/>
      <c r="W891" s="367"/>
      <c r="X891" s="367"/>
      <c r="Y891" s="367"/>
      <c r="Z891" s="367"/>
      <c r="AA891" s="367"/>
      <c r="AB891" s="367"/>
      <c r="AC891" s="367"/>
      <c r="AD891" s="367"/>
      <c r="AE891" s="367"/>
      <c r="AF891" s="367"/>
      <c r="AG891" s="367"/>
      <c r="AH891" s="367"/>
      <c r="AI891" s="367"/>
      <c r="AJ891" s="367"/>
      <c r="AK891" s="367"/>
      <c r="AL891" s="367"/>
      <c r="AM891" s="367"/>
      <c r="AN891" s="367"/>
      <c r="AO891" s="367"/>
      <c r="AP891" s="367"/>
      <c r="AQ891" s="367"/>
      <c r="AR891" s="367"/>
      <c r="AS891" s="367"/>
      <c r="AT891" s="368"/>
      <c r="AU891" s="367"/>
    </row>
    <row r="892" spans="1:47" ht="12.75">
      <c r="A892" s="367"/>
      <c r="B892" s="367"/>
      <c r="C892" s="367"/>
      <c r="D892" s="367"/>
      <c r="E892" s="367"/>
      <c r="F892" s="367"/>
      <c r="G892" s="367"/>
      <c r="H892" s="367"/>
      <c r="I892" s="367"/>
      <c r="J892" s="367"/>
      <c r="K892" s="367"/>
      <c r="L892" s="367"/>
      <c r="M892" s="367"/>
      <c r="N892" s="367"/>
      <c r="O892" s="367"/>
      <c r="P892" s="364"/>
      <c r="Q892" s="365"/>
      <c r="R892" s="365"/>
      <c r="S892" s="365"/>
      <c r="T892" s="365"/>
      <c r="U892" s="366"/>
      <c r="V892" s="367"/>
      <c r="W892" s="367"/>
      <c r="X892" s="367"/>
      <c r="Y892" s="367"/>
      <c r="Z892" s="367"/>
      <c r="AA892" s="367"/>
      <c r="AB892" s="367"/>
      <c r="AC892" s="367"/>
      <c r="AD892" s="367"/>
      <c r="AE892" s="367"/>
      <c r="AF892" s="367"/>
      <c r="AG892" s="367"/>
      <c r="AH892" s="367"/>
      <c r="AI892" s="367"/>
      <c r="AJ892" s="367"/>
      <c r="AK892" s="367"/>
      <c r="AL892" s="367"/>
      <c r="AM892" s="367"/>
      <c r="AN892" s="367"/>
      <c r="AO892" s="367"/>
      <c r="AP892" s="367"/>
      <c r="AQ892" s="367"/>
      <c r="AR892" s="367"/>
      <c r="AS892" s="367"/>
      <c r="AT892" s="368"/>
      <c r="AU892" s="367"/>
    </row>
    <row r="893" spans="1:47" ht="12.75">
      <c r="A893" s="367"/>
      <c r="B893" s="367"/>
      <c r="C893" s="367"/>
      <c r="D893" s="367"/>
      <c r="E893" s="367"/>
      <c r="F893" s="367"/>
      <c r="G893" s="367"/>
      <c r="H893" s="367"/>
      <c r="I893" s="367"/>
      <c r="J893" s="367"/>
      <c r="K893" s="367"/>
      <c r="L893" s="367"/>
      <c r="M893" s="367"/>
      <c r="N893" s="367"/>
      <c r="O893" s="367"/>
      <c r="P893" s="364"/>
      <c r="Q893" s="365"/>
      <c r="R893" s="365"/>
      <c r="S893" s="365"/>
      <c r="T893" s="365"/>
      <c r="U893" s="366"/>
      <c r="V893" s="367"/>
      <c r="W893" s="367"/>
      <c r="X893" s="367"/>
      <c r="Y893" s="367"/>
      <c r="Z893" s="367"/>
      <c r="AA893" s="367"/>
      <c r="AB893" s="367"/>
      <c r="AC893" s="367"/>
      <c r="AD893" s="367"/>
      <c r="AE893" s="367"/>
      <c r="AF893" s="367"/>
      <c r="AG893" s="367"/>
      <c r="AH893" s="367"/>
      <c r="AI893" s="367"/>
      <c r="AJ893" s="367"/>
      <c r="AK893" s="367"/>
      <c r="AL893" s="367"/>
      <c r="AM893" s="367"/>
      <c r="AN893" s="367"/>
      <c r="AO893" s="367"/>
      <c r="AP893" s="367"/>
      <c r="AQ893" s="367"/>
      <c r="AR893" s="367"/>
      <c r="AS893" s="367"/>
      <c r="AT893" s="368"/>
      <c r="AU893" s="367"/>
    </row>
    <row r="894" spans="1:47" ht="12.75">
      <c r="A894" s="367"/>
      <c r="B894" s="367"/>
      <c r="C894" s="367"/>
      <c r="D894" s="367"/>
      <c r="E894" s="367"/>
      <c r="F894" s="367"/>
      <c r="G894" s="367"/>
      <c r="H894" s="367"/>
      <c r="I894" s="367"/>
      <c r="J894" s="367"/>
      <c r="K894" s="367"/>
      <c r="L894" s="367"/>
      <c r="M894" s="367"/>
      <c r="N894" s="367"/>
      <c r="O894" s="367"/>
      <c r="P894" s="364"/>
      <c r="Q894" s="365"/>
      <c r="R894" s="365"/>
      <c r="S894" s="365"/>
      <c r="T894" s="365"/>
      <c r="U894" s="366"/>
      <c r="V894" s="367"/>
      <c r="W894" s="367"/>
      <c r="X894" s="367"/>
      <c r="Y894" s="367"/>
      <c r="Z894" s="367"/>
      <c r="AA894" s="367"/>
      <c r="AB894" s="367"/>
      <c r="AC894" s="367"/>
      <c r="AD894" s="367"/>
      <c r="AE894" s="367"/>
      <c r="AF894" s="367"/>
      <c r="AG894" s="367"/>
      <c r="AH894" s="367"/>
      <c r="AI894" s="367"/>
      <c r="AJ894" s="367"/>
      <c r="AK894" s="367"/>
      <c r="AL894" s="367"/>
      <c r="AM894" s="367"/>
      <c r="AN894" s="367"/>
      <c r="AO894" s="367"/>
      <c r="AP894" s="367"/>
      <c r="AQ894" s="367"/>
      <c r="AR894" s="367"/>
      <c r="AS894" s="367"/>
      <c r="AT894" s="368"/>
      <c r="AU894" s="367"/>
    </row>
    <row r="895" spans="1:47" ht="12.75">
      <c r="A895" s="367"/>
      <c r="B895" s="367"/>
      <c r="C895" s="367"/>
      <c r="D895" s="367"/>
      <c r="E895" s="367"/>
      <c r="F895" s="367"/>
      <c r="G895" s="367"/>
      <c r="H895" s="367"/>
      <c r="I895" s="367"/>
      <c r="J895" s="367"/>
      <c r="K895" s="367"/>
      <c r="L895" s="367"/>
      <c r="M895" s="367"/>
      <c r="N895" s="367"/>
      <c r="O895" s="367"/>
      <c r="P895" s="364"/>
      <c r="Q895" s="365"/>
      <c r="R895" s="365"/>
      <c r="S895" s="365"/>
      <c r="T895" s="365"/>
      <c r="U895" s="366"/>
      <c r="V895" s="367"/>
      <c r="W895" s="367"/>
      <c r="X895" s="367"/>
      <c r="Y895" s="367"/>
      <c r="Z895" s="367"/>
      <c r="AA895" s="367"/>
      <c r="AB895" s="367"/>
      <c r="AC895" s="367"/>
      <c r="AD895" s="367"/>
      <c r="AE895" s="367"/>
      <c r="AF895" s="367"/>
      <c r="AG895" s="367"/>
      <c r="AH895" s="367"/>
      <c r="AI895" s="367"/>
      <c r="AJ895" s="367"/>
      <c r="AK895" s="367"/>
      <c r="AL895" s="367"/>
      <c r="AM895" s="367"/>
      <c r="AN895" s="367"/>
      <c r="AO895" s="367"/>
      <c r="AP895" s="367"/>
      <c r="AQ895" s="367"/>
      <c r="AR895" s="367"/>
      <c r="AS895" s="367"/>
      <c r="AT895" s="368"/>
      <c r="AU895" s="367"/>
    </row>
    <row r="896" spans="1:47" ht="12.75">
      <c r="A896" s="367"/>
      <c r="B896" s="367"/>
      <c r="C896" s="367"/>
      <c r="D896" s="367"/>
      <c r="E896" s="367"/>
      <c r="F896" s="367"/>
      <c r="G896" s="367"/>
      <c r="H896" s="367"/>
      <c r="I896" s="367"/>
      <c r="J896" s="367"/>
      <c r="K896" s="367"/>
      <c r="L896" s="367"/>
      <c r="M896" s="367"/>
      <c r="N896" s="367"/>
      <c r="O896" s="367"/>
      <c r="P896" s="364"/>
      <c r="Q896" s="365"/>
      <c r="R896" s="365"/>
      <c r="S896" s="365"/>
      <c r="T896" s="365"/>
      <c r="U896" s="366"/>
      <c r="V896" s="367"/>
      <c r="W896" s="367"/>
      <c r="X896" s="367"/>
      <c r="Y896" s="367"/>
      <c r="Z896" s="367"/>
      <c r="AA896" s="367"/>
      <c r="AB896" s="367"/>
      <c r="AC896" s="367"/>
      <c r="AD896" s="367"/>
      <c r="AE896" s="367"/>
      <c r="AF896" s="367"/>
      <c r="AG896" s="367"/>
      <c r="AH896" s="367"/>
      <c r="AI896" s="367"/>
      <c r="AJ896" s="367"/>
      <c r="AK896" s="367"/>
      <c r="AL896" s="367"/>
      <c r="AM896" s="367"/>
      <c r="AN896" s="367"/>
      <c r="AO896" s="367"/>
      <c r="AP896" s="367"/>
      <c r="AQ896" s="367"/>
      <c r="AR896" s="367"/>
      <c r="AS896" s="367"/>
      <c r="AT896" s="368"/>
      <c r="AU896" s="367"/>
    </row>
    <row r="897" spans="1:47" ht="12.75">
      <c r="A897" s="367"/>
      <c r="B897" s="367"/>
      <c r="C897" s="367"/>
      <c r="D897" s="367"/>
      <c r="E897" s="367"/>
      <c r="F897" s="367"/>
      <c r="G897" s="367"/>
      <c r="H897" s="367"/>
      <c r="I897" s="367"/>
      <c r="J897" s="367"/>
      <c r="K897" s="367"/>
      <c r="L897" s="367"/>
      <c r="M897" s="367"/>
      <c r="N897" s="367"/>
      <c r="O897" s="367"/>
      <c r="P897" s="364"/>
      <c r="Q897" s="365"/>
      <c r="R897" s="365"/>
      <c r="S897" s="365"/>
      <c r="T897" s="365"/>
      <c r="U897" s="366"/>
      <c r="V897" s="367"/>
      <c r="W897" s="367"/>
      <c r="X897" s="367"/>
      <c r="Y897" s="367"/>
      <c r="Z897" s="367"/>
      <c r="AA897" s="367"/>
      <c r="AB897" s="367"/>
      <c r="AC897" s="367"/>
      <c r="AD897" s="367"/>
      <c r="AE897" s="367"/>
      <c r="AF897" s="367"/>
      <c r="AG897" s="367"/>
      <c r="AH897" s="367"/>
      <c r="AI897" s="367"/>
      <c r="AJ897" s="367"/>
      <c r="AK897" s="367"/>
      <c r="AL897" s="367"/>
      <c r="AM897" s="367"/>
      <c r="AN897" s="367"/>
      <c r="AO897" s="367"/>
      <c r="AP897" s="367"/>
      <c r="AQ897" s="367"/>
      <c r="AR897" s="367"/>
      <c r="AS897" s="367"/>
      <c r="AT897" s="368"/>
      <c r="AU897" s="367"/>
    </row>
    <row r="898" spans="1:47" ht="12.75">
      <c r="A898" s="367"/>
      <c r="B898" s="367"/>
      <c r="C898" s="367"/>
      <c r="D898" s="367"/>
      <c r="E898" s="367"/>
      <c r="F898" s="367"/>
      <c r="G898" s="367"/>
      <c r="H898" s="367"/>
      <c r="I898" s="367"/>
      <c r="J898" s="367"/>
      <c r="K898" s="367"/>
      <c r="L898" s="367"/>
      <c r="M898" s="367"/>
      <c r="N898" s="367"/>
      <c r="O898" s="367"/>
      <c r="P898" s="364"/>
      <c r="Q898" s="365"/>
      <c r="R898" s="365"/>
      <c r="S898" s="365"/>
      <c r="T898" s="365"/>
      <c r="U898" s="366"/>
      <c r="V898" s="367"/>
      <c r="W898" s="367"/>
      <c r="X898" s="367"/>
      <c r="Y898" s="367"/>
      <c r="Z898" s="367"/>
      <c r="AA898" s="367"/>
      <c r="AB898" s="367"/>
      <c r="AC898" s="367"/>
      <c r="AD898" s="367"/>
      <c r="AE898" s="367"/>
      <c r="AF898" s="367"/>
      <c r="AG898" s="367"/>
      <c r="AH898" s="367"/>
      <c r="AI898" s="367"/>
      <c r="AJ898" s="367"/>
      <c r="AK898" s="367"/>
      <c r="AL898" s="367"/>
      <c r="AM898" s="367"/>
      <c r="AN898" s="367"/>
      <c r="AO898" s="367"/>
      <c r="AP898" s="367"/>
      <c r="AQ898" s="367"/>
      <c r="AR898" s="367"/>
      <c r="AS898" s="367"/>
      <c r="AT898" s="368"/>
      <c r="AU898" s="367"/>
    </row>
    <row r="899" spans="1:47" ht="12.75">
      <c r="A899" s="367"/>
      <c r="B899" s="367"/>
      <c r="C899" s="367"/>
      <c r="D899" s="367"/>
      <c r="E899" s="367"/>
      <c r="F899" s="367"/>
      <c r="G899" s="367"/>
      <c r="H899" s="367"/>
      <c r="I899" s="367"/>
      <c r="J899" s="367"/>
      <c r="K899" s="367"/>
      <c r="L899" s="367"/>
      <c r="M899" s="367"/>
      <c r="N899" s="367"/>
      <c r="O899" s="367"/>
      <c r="P899" s="364"/>
      <c r="Q899" s="365"/>
      <c r="R899" s="365"/>
      <c r="S899" s="365"/>
      <c r="T899" s="365"/>
      <c r="U899" s="366"/>
      <c r="V899" s="367"/>
      <c r="W899" s="367"/>
      <c r="X899" s="367"/>
      <c r="Y899" s="367"/>
      <c r="Z899" s="367"/>
      <c r="AA899" s="367"/>
      <c r="AB899" s="367"/>
      <c r="AC899" s="367"/>
      <c r="AD899" s="367"/>
      <c r="AE899" s="367"/>
      <c r="AF899" s="367"/>
      <c r="AG899" s="367"/>
      <c r="AH899" s="367"/>
      <c r="AI899" s="367"/>
      <c r="AJ899" s="367"/>
      <c r="AK899" s="367"/>
      <c r="AL899" s="367"/>
      <c r="AM899" s="367"/>
      <c r="AN899" s="367"/>
      <c r="AO899" s="367"/>
      <c r="AP899" s="367"/>
      <c r="AQ899" s="367"/>
      <c r="AR899" s="367"/>
      <c r="AS899" s="367"/>
      <c r="AT899" s="368"/>
      <c r="AU899" s="367"/>
    </row>
    <row r="900" spans="1:47" ht="12.75">
      <c r="A900" s="367"/>
      <c r="B900" s="367"/>
      <c r="C900" s="367"/>
      <c r="D900" s="367"/>
      <c r="E900" s="367"/>
      <c r="F900" s="367"/>
      <c r="G900" s="367"/>
      <c r="H900" s="367"/>
      <c r="I900" s="367"/>
      <c r="J900" s="367"/>
      <c r="K900" s="367"/>
      <c r="L900" s="367"/>
      <c r="M900" s="367"/>
      <c r="N900" s="367"/>
      <c r="O900" s="367"/>
      <c r="P900" s="364"/>
      <c r="Q900" s="365"/>
      <c r="R900" s="365"/>
      <c r="S900" s="365"/>
      <c r="T900" s="365"/>
      <c r="U900" s="366"/>
      <c r="V900" s="367"/>
      <c r="W900" s="367"/>
      <c r="X900" s="367"/>
      <c r="Y900" s="367"/>
      <c r="Z900" s="367"/>
      <c r="AA900" s="367"/>
      <c r="AB900" s="367"/>
      <c r="AC900" s="367"/>
      <c r="AD900" s="367"/>
      <c r="AE900" s="367"/>
      <c r="AF900" s="367"/>
      <c r="AG900" s="367"/>
      <c r="AH900" s="367"/>
      <c r="AI900" s="367"/>
      <c r="AJ900" s="367"/>
      <c r="AK900" s="367"/>
      <c r="AL900" s="367"/>
      <c r="AM900" s="367"/>
      <c r="AN900" s="367"/>
      <c r="AO900" s="367"/>
      <c r="AP900" s="367"/>
      <c r="AQ900" s="367"/>
      <c r="AR900" s="367"/>
      <c r="AS900" s="367"/>
      <c r="AT900" s="368"/>
      <c r="AU900" s="367"/>
    </row>
    <row r="901" spans="1:47" ht="12.75">
      <c r="A901" s="367"/>
      <c r="B901" s="367"/>
      <c r="C901" s="367"/>
      <c r="D901" s="367"/>
      <c r="E901" s="367"/>
      <c r="F901" s="367"/>
      <c r="G901" s="367"/>
      <c r="H901" s="367"/>
      <c r="I901" s="367"/>
      <c r="J901" s="367"/>
      <c r="K901" s="367"/>
      <c r="L901" s="367"/>
      <c r="M901" s="367"/>
      <c r="N901" s="367"/>
      <c r="O901" s="367"/>
      <c r="P901" s="364"/>
      <c r="Q901" s="365"/>
      <c r="R901" s="365"/>
      <c r="S901" s="365"/>
      <c r="T901" s="365"/>
      <c r="U901" s="366"/>
      <c r="V901" s="367"/>
      <c r="W901" s="367"/>
      <c r="X901" s="367"/>
      <c r="Y901" s="367"/>
      <c r="Z901" s="367"/>
      <c r="AA901" s="367"/>
      <c r="AB901" s="367"/>
      <c r="AC901" s="367"/>
      <c r="AD901" s="367"/>
      <c r="AE901" s="367"/>
      <c r="AF901" s="367"/>
      <c r="AG901" s="367"/>
      <c r="AH901" s="367"/>
      <c r="AI901" s="367"/>
      <c r="AJ901" s="367"/>
      <c r="AK901" s="367"/>
      <c r="AL901" s="367"/>
      <c r="AM901" s="367"/>
      <c r="AN901" s="367"/>
      <c r="AO901" s="367"/>
      <c r="AP901" s="367"/>
      <c r="AQ901" s="367"/>
      <c r="AR901" s="367"/>
      <c r="AS901" s="367"/>
      <c r="AT901" s="368"/>
      <c r="AU901" s="367"/>
    </row>
    <row r="902" spans="1:47" ht="12.75">
      <c r="A902" s="367"/>
      <c r="B902" s="367"/>
      <c r="C902" s="367"/>
      <c r="D902" s="367"/>
      <c r="E902" s="367"/>
      <c r="F902" s="367"/>
      <c r="G902" s="367"/>
      <c r="H902" s="367"/>
      <c r="I902" s="367"/>
      <c r="J902" s="367"/>
      <c r="K902" s="367"/>
      <c r="L902" s="367"/>
      <c r="M902" s="367"/>
      <c r="N902" s="367"/>
      <c r="O902" s="367"/>
      <c r="P902" s="364"/>
      <c r="Q902" s="365"/>
      <c r="R902" s="365"/>
      <c r="S902" s="365"/>
      <c r="T902" s="365"/>
      <c r="U902" s="366"/>
      <c r="V902" s="367"/>
      <c r="W902" s="367"/>
      <c r="X902" s="367"/>
      <c r="Y902" s="367"/>
      <c r="Z902" s="367"/>
      <c r="AA902" s="367"/>
      <c r="AB902" s="367"/>
      <c r="AC902" s="367"/>
      <c r="AD902" s="367"/>
      <c r="AE902" s="367"/>
      <c r="AF902" s="367"/>
      <c r="AG902" s="367"/>
      <c r="AH902" s="367"/>
      <c r="AI902" s="367"/>
      <c r="AJ902" s="367"/>
      <c r="AK902" s="367"/>
      <c r="AL902" s="367"/>
      <c r="AM902" s="367"/>
      <c r="AN902" s="367"/>
      <c r="AO902" s="367"/>
      <c r="AP902" s="367"/>
      <c r="AQ902" s="367"/>
      <c r="AR902" s="367"/>
      <c r="AS902" s="367"/>
      <c r="AT902" s="368"/>
      <c r="AU902" s="367"/>
    </row>
    <row r="903" spans="1:47" ht="12.75">
      <c r="A903" s="367"/>
      <c r="B903" s="367"/>
      <c r="C903" s="367"/>
      <c r="D903" s="367"/>
      <c r="E903" s="367"/>
      <c r="F903" s="367"/>
      <c r="G903" s="367"/>
      <c r="H903" s="367"/>
      <c r="I903" s="367"/>
      <c r="J903" s="367"/>
      <c r="K903" s="367"/>
      <c r="L903" s="367"/>
      <c r="M903" s="367"/>
      <c r="N903" s="367"/>
      <c r="O903" s="367"/>
      <c r="P903" s="364"/>
      <c r="Q903" s="365"/>
      <c r="R903" s="365"/>
      <c r="S903" s="365"/>
      <c r="T903" s="365"/>
      <c r="U903" s="366"/>
      <c r="V903" s="367"/>
      <c r="W903" s="367"/>
      <c r="X903" s="367"/>
      <c r="Y903" s="367"/>
      <c r="Z903" s="367"/>
      <c r="AA903" s="367"/>
      <c r="AB903" s="367"/>
      <c r="AC903" s="367"/>
      <c r="AD903" s="367"/>
      <c r="AE903" s="367"/>
      <c r="AF903" s="367"/>
      <c r="AG903" s="367"/>
      <c r="AH903" s="367"/>
      <c r="AI903" s="367"/>
      <c r="AJ903" s="367"/>
      <c r="AK903" s="367"/>
      <c r="AL903" s="367"/>
      <c r="AM903" s="367"/>
      <c r="AN903" s="367"/>
      <c r="AO903" s="367"/>
      <c r="AP903" s="367"/>
      <c r="AQ903" s="367"/>
      <c r="AR903" s="367"/>
      <c r="AS903" s="367"/>
      <c r="AT903" s="368"/>
      <c r="AU903" s="367"/>
    </row>
    <row r="904" spans="1:47" ht="12.75">
      <c r="A904" s="367"/>
      <c r="B904" s="367"/>
      <c r="C904" s="367"/>
      <c r="D904" s="367"/>
      <c r="E904" s="367"/>
      <c r="F904" s="367"/>
      <c r="G904" s="367"/>
      <c r="H904" s="367"/>
      <c r="I904" s="367"/>
      <c r="J904" s="367"/>
      <c r="K904" s="367"/>
      <c r="L904" s="367"/>
      <c r="M904" s="367"/>
      <c r="N904" s="367"/>
      <c r="O904" s="367"/>
      <c r="P904" s="364"/>
      <c r="Q904" s="365"/>
      <c r="R904" s="365"/>
      <c r="S904" s="365"/>
      <c r="T904" s="365"/>
      <c r="U904" s="366"/>
      <c r="V904" s="367"/>
      <c r="W904" s="367"/>
      <c r="X904" s="367"/>
      <c r="Y904" s="367"/>
      <c r="Z904" s="367"/>
      <c r="AA904" s="367"/>
      <c r="AB904" s="367"/>
      <c r="AC904" s="367"/>
      <c r="AD904" s="367"/>
      <c r="AE904" s="367"/>
      <c r="AF904" s="367"/>
      <c r="AG904" s="367"/>
      <c r="AH904" s="367"/>
      <c r="AI904" s="367"/>
      <c r="AJ904" s="367"/>
      <c r="AK904" s="367"/>
      <c r="AL904" s="367"/>
      <c r="AM904" s="367"/>
      <c r="AN904" s="367"/>
      <c r="AO904" s="367"/>
      <c r="AP904" s="367"/>
      <c r="AQ904" s="367"/>
      <c r="AR904" s="367"/>
      <c r="AS904" s="367"/>
      <c r="AT904" s="368"/>
      <c r="AU904" s="367"/>
    </row>
    <row r="905" spans="1:47" ht="12.75">
      <c r="A905" s="367"/>
      <c r="B905" s="367"/>
      <c r="C905" s="367"/>
      <c r="D905" s="367"/>
      <c r="E905" s="367"/>
      <c r="F905" s="367"/>
      <c r="G905" s="367"/>
      <c r="H905" s="367"/>
      <c r="I905" s="367"/>
      <c r="J905" s="367"/>
      <c r="K905" s="367"/>
      <c r="L905" s="367"/>
      <c r="M905" s="367"/>
      <c r="N905" s="367"/>
      <c r="O905" s="367"/>
      <c r="P905" s="364"/>
      <c r="Q905" s="365"/>
      <c r="R905" s="365"/>
      <c r="S905" s="365"/>
      <c r="T905" s="365"/>
      <c r="U905" s="366"/>
      <c r="V905" s="367"/>
      <c r="W905" s="367"/>
      <c r="X905" s="367"/>
      <c r="Y905" s="367"/>
      <c r="Z905" s="367"/>
      <c r="AA905" s="367"/>
      <c r="AB905" s="367"/>
      <c r="AC905" s="367"/>
      <c r="AD905" s="367"/>
      <c r="AE905" s="367"/>
      <c r="AF905" s="367"/>
      <c r="AG905" s="367"/>
      <c r="AH905" s="367"/>
      <c r="AI905" s="367"/>
      <c r="AJ905" s="367"/>
      <c r="AK905" s="367"/>
      <c r="AL905" s="367"/>
      <c r="AM905" s="367"/>
      <c r="AN905" s="367"/>
      <c r="AO905" s="367"/>
      <c r="AP905" s="367"/>
      <c r="AQ905" s="367"/>
      <c r="AR905" s="367"/>
      <c r="AS905" s="367"/>
      <c r="AT905" s="368"/>
      <c r="AU905" s="367"/>
    </row>
    <row r="906" spans="1:47" ht="12.75">
      <c r="A906" s="367"/>
      <c r="B906" s="367"/>
      <c r="C906" s="367"/>
      <c r="D906" s="367"/>
      <c r="E906" s="367"/>
      <c r="F906" s="367"/>
      <c r="G906" s="367"/>
      <c r="H906" s="367"/>
      <c r="I906" s="367"/>
      <c r="J906" s="367"/>
      <c r="K906" s="367"/>
      <c r="L906" s="367"/>
      <c r="M906" s="367"/>
      <c r="N906" s="367"/>
      <c r="O906" s="367"/>
      <c r="P906" s="364"/>
      <c r="Q906" s="365"/>
      <c r="R906" s="365"/>
      <c r="S906" s="365"/>
      <c r="T906" s="365"/>
      <c r="U906" s="366"/>
      <c r="V906" s="367"/>
      <c r="W906" s="367"/>
      <c r="X906" s="367"/>
      <c r="Y906" s="367"/>
      <c r="Z906" s="367"/>
      <c r="AA906" s="367"/>
      <c r="AB906" s="367"/>
      <c r="AC906" s="367"/>
      <c r="AD906" s="367"/>
      <c r="AE906" s="367"/>
      <c r="AF906" s="367"/>
      <c r="AG906" s="367"/>
      <c r="AH906" s="367"/>
      <c r="AI906" s="367"/>
      <c r="AJ906" s="367"/>
      <c r="AK906" s="367"/>
      <c r="AL906" s="367"/>
      <c r="AM906" s="367"/>
      <c r="AN906" s="367"/>
      <c r="AO906" s="367"/>
      <c r="AP906" s="367"/>
      <c r="AQ906" s="367"/>
      <c r="AR906" s="367"/>
      <c r="AS906" s="367"/>
      <c r="AT906" s="368"/>
      <c r="AU906" s="367"/>
    </row>
    <row r="907" spans="1:47" ht="12.75">
      <c r="A907" s="367"/>
      <c r="B907" s="367"/>
      <c r="C907" s="367"/>
      <c r="D907" s="367"/>
      <c r="E907" s="367"/>
      <c r="F907" s="367"/>
      <c r="G907" s="367"/>
      <c r="H907" s="367"/>
      <c r="I907" s="367"/>
      <c r="J907" s="367"/>
      <c r="K907" s="367"/>
      <c r="L907" s="367"/>
      <c r="M907" s="367"/>
      <c r="N907" s="367"/>
      <c r="O907" s="367"/>
      <c r="P907" s="364"/>
      <c r="Q907" s="365"/>
      <c r="R907" s="365"/>
      <c r="S907" s="365"/>
      <c r="T907" s="365"/>
      <c r="U907" s="366"/>
      <c r="V907" s="367"/>
      <c r="W907" s="367"/>
      <c r="X907" s="367"/>
      <c r="Y907" s="367"/>
      <c r="Z907" s="367"/>
      <c r="AA907" s="367"/>
      <c r="AB907" s="367"/>
      <c r="AC907" s="367"/>
      <c r="AD907" s="367"/>
      <c r="AE907" s="367"/>
      <c r="AF907" s="367"/>
      <c r="AG907" s="367"/>
      <c r="AH907" s="367"/>
      <c r="AI907" s="367"/>
      <c r="AJ907" s="367"/>
      <c r="AK907" s="367"/>
      <c r="AL907" s="367"/>
      <c r="AM907" s="367"/>
      <c r="AN907" s="367"/>
      <c r="AO907" s="367"/>
      <c r="AP907" s="367"/>
      <c r="AQ907" s="367"/>
      <c r="AR907" s="367"/>
      <c r="AS907" s="367"/>
      <c r="AT907" s="368"/>
      <c r="AU907" s="367"/>
    </row>
    <row r="908" spans="1:47" ht="12.75">
      <c r="A908" s="367"/>
      <c r="B908" s="367"/>
      <c r="C908" s="367"/>
      <c r="D908" s="367"/>
      <c r="E908" s="367"/>
      <c r="F908" s="367"/>
      <c r="G908" s="367"/>
      <c r="H908" s="367"/>
      <c r="I908" s="367"/>
      <c r="J908" s="367"/>
      <c r="K908" s="367"/>
      <c r="L908" s="367"/>
      <c r="M908" s="367"/>
      <c r="N908" s="367"/>
      <c r="O908" s="367"/>
      <c r="P908" s="364"/>
      <c r="Q908" s="365"/>
      <c r="R908" s="365"/>
      <c r="S908" s="365"/>
      <c r="T908" s="365"/>
      <c r="U908" s="366"/>
      <c r="V908" s="367"/>
      <c r="W908" s="367"/>
      <c r="X908" s="367"/>
      <c r="Y908" s="367"/>
      <c r="Z908" s="367"/>
      <c r="AA908" s="367"/>
      <c r="AB908" s="367"/>
      <c r="AC908" s="367"/>
      <c r="AD908" s="367"/>
      <c r="AE908" s="367"/>
      <c r="AF908" s="367"/>
      <c r="AG908" s="367"/>
      <c r="AH908" s="367"/>
      <c r="AI908" s="367"/>
      <c r="AJ908" s="367"/>
      <c r="AK908" s="367"/>
      <c r="AL908" s="367"/>
      <c r="AM908" s="367"/>
      <c r="AN908" s="367"/>
      <c r="AO908" s="367"/>
      <c r="AP908" s="367"/>
      <c r="AQ908" s="367"/>
      <c r="AR908" s="367"/>
      <c r="AS908" s="367"/>
      <c r="AT908" s="368"/>
      <c r="AU908" s="367"/>
    </row>
    <row r="909" spans="1:47" ht="12.75">
      <c r="A909" s="367"/>
      <c r="B909" s="367"/>
      <c r="C909" s="367"/>
      <c r="D909" s="367"/>
      <c r="E909" s="367"/>
      <c r="F909" s="367"/>
      <c r="G909" s="367"/>
      <c r="H909" s="367"/>
      <c r="I909" s="367"/>
      <c r="J909" s="367"/>
      <c r="K909" s="367"/>
      <c r="L909" s="367"/>
      <c r="M909" s="367"/>
      <c r="N909" s="367"/>
      <c r="O909" s="367"/>
      <c r="P909" s="364"/>
      <c r="Q909" s="365"/>
      <c r="R909" s="365"/>
      <c r="S909" s="365"/>
      <c r="T909" s="365"/>
      <c r="U909" s="366"/>
      <c r="V909" s="367"/>
      <c r="W909" s="367"/>
      <c r="X909" s="367"/>
      <c r="Y909" s="367"/>
      <c r="Z909" s="367"/>
      <c r="AA909" s="367"/>
      <c r="AB909" s="367"/>
      <c r="AC909" s="367"/>
      <c r="AD909" s="367"/>
      <c r="AE909" s="367"/>
      <c r="AF909" s="367"/>
      <c r="AG909" s="367"/>
      <c r="AH909" s="367"/>
      <c r="AI909" s="367"/>
      <c r="AJ909" s="367"/>
      <c r="AK909" s="367"/>
      <c r="AL909" s="367"/>
      <c r="AM909" s="367"/>
      <c r="AN909" s="367"/>
      <c r="AO909" s="367"/>
      <c r="AP909" s="367"/>
      <c r="AQ909" s="367"/>
      <c r="AR909" s="367"/>
      <c r="AS909" s="367"/>
      <c r="AT909" s="368"/>
      <c r="AU909" s="367"/>
    </row>
    <row r="910" spans="1:47" ht="12.75">
      <c r="A910" s="367"/>
      <c r="B910" s="367"/>
      <c r="C910" s="367"/>
      <c r="D910" s="367"/>
      <c r="E910" s="367"/>
      <c r="F910" s="367"/>
      <c r="G910" s="367"/>
      <c r="H910" s="367"/>
      <c r="I910" s="367"/>
      <c r="J910" s="367"/>
      <c r="K910" s="367"/>
      <c r="L910" s="367"/>
      <c r="M910" s="367"/>
      <c r="N910" s="367"/>
      <c r="O910" s="367"/>
      <c r="P910" s="364"/>
      <c r="Q910" s="365"/>
      <c r="R910" s="365"/>
      <c r="S910" s="365"/>
      <c r="T910" s="365"/>
      <c r="U910" s="366"/>
      <c r="V910" s="367"/>
      <c r="W910" s="367"/>
      <c r="X910" s="367"/>
      <c r="Y910" s="367"/>
      <c r="Z910" s="367"/>
      <c r="AA910" s="367"/>
      <c r="AB910" s="367"/>
      <c r="AC910" s="367"/>
      <c r="AD910" s="367"/>
      <c r="AE910" s="367"/>
      <c r="AF910" s="367"/>
      <c r="AG910" s="367"/>
      <c r="AH910" s="367"/>
      <c r="AI910" s="367"/>
      <c r="AJ910" s="367"/>
      <c r="AK910" s="367"/>
      <c r="AL910" s="367"/>
      <c r="AM910" s="367"/>
      <c r="AN910" s="367"/>
      <c r="AO910" s="367"/>
      <c r="AP910" s="367"/>
      <c r="AQ910" s="367"/>
      <c r="AR910" s="367"/>
      <c r="AS910" s="367"/>
      <c r="AT910" s="368"/>
      <c r="AU910" s="367"/>
    </row>
    <row r="911" spans="1:47" ht="12.75">
      <c r="A911" s="367"/>
      <c r="B911" s="367"/>
      <c r="C911" s="367"/>
      <c r="D911" s="367"/>
      <c r="E911" s="367"/>
      <c r="F911" s="367"/>
      <c r="G911" s="367"/>
      <c r="H911" s="367"/>
      <c r="I911" s="367"/>
      <c r="J911" s="367"/>
      <c r="K911" s="367"/>
      <c r="L911" s="367"/>
      <c r="M911" s="367"/>
      <c r="N911" s="367"/>
      <c r="O911" s="367"/>
      <c r="P911" s="364"/>
      <c r="Q911" s="365"/>
      <c r="R911" s="365"/>
      <c r="S911" s="365"/>
      <c r="T911" s="365"/>
      <c r="U911" s="366"/>
      <c r="V911" s="367"/>
      <c r="W911" s="367"/>
      <c r="X911" s="367"/>
      <c r="Y911" s="367"/>
      <c r="Z911" s="367"/>
      <c r="AA911" s="367"/>
      <c r="AB911" s="367"/>
      <c r="AC911" s="367"/>
      <c r="AD911" s="367"/>
      <c r="AE911" s="367"/>
      <c r="AF911" s="367"/>
      <c r="AG911" s="367"/>
      <c r="AH911" s="367"/>
      <c r="AI911" s="367"/>
      <c r="AJ911" s="367"/>
      <c r="AK911" s="367"/>
      <c r="AL911" s="367"/>
      <c r="AM911" s="367"/>
      <c r="AN911" s="367"/>
      <c r="AO911" s="367"/>
      <c r="AP911" s="367"/>
      <c r="AQ911" s="367"/>
      <c r="AR911" s="367"/>
      <c r="AS911" s="367"/>
      <c r="AT911" s="368"/>
      <c r="AU911" s="367"/>
    </row>
    <row r="912" spans="1:47" ht="12.75">
      <c r="A912" s="367"/>
      <c r="B912" s="367"/>
      <c r="C912" s="367"/>
      <c r="D912" s="367"/>
      <c r="E912" s="367"/>
      <c r="F912" s="367"/>
      <c r="G912" s="367"/>
      <c r="H912" s="367"/>
      <c r="I912" s="367"/>
      <c r="J912" s="367"/>
      <c r="K912" s="367"/>
      <c r="L912" s="367"/>
      <c r="M912" s="367"/>
      <c r="N912" s="367"/>
      <c r="O912" s="367"/>
      <c r="P912" s="364"/>
      <c r="Q912" s="365"/>
      <c r="R912" s="365"/>
      <c r="S912" s="365"/>
      <c r="T912" s="365"/>
      <c r="U912" s="366"/>
      <c r="V912" s="367"/>
      <c r="W912" s="367"/>
      <c r="X912" s="367"/>
      <c r="Y912" s="367"/>
      <c r="Z912" s="367"/>
      <c r="AA912" s="367"/>
      <c r="AB912" s="367"/>
      <c r="AC912" s="367"/>
      <c r="AD912" s="367"/>
      <c r="AE912" s="367"/>
      <c r="AF912" s="367"/>
      <c r="AG912" s="367"/>
      <c r="AH912" s="367"/>
      <c r="AI912" s="367"/>
      <c r="AJ912" s="367"/>
      <c r="AK912" s="367"/>
      <c r="AL912" s="367"/>
      <c r="AM912" s="367"/>
      <c r="AN912" s="367"/>
      <c r="AO912" s="367"/>
      <c r="AP912" s="367"/>
      <c r="AQ912" s="367"/>
      <c r="AR912" s="367"/>
      <c r="AS912" s="367"/>
      <c r="AT912" s="368"/>
      <c r="AU912" s="367"/>
    </row>
    <row r="913" spans="1:47" ht="12.75">
      <c r="A913" s="367"/>
      <c r="B913" s="367"/>
      <c r="C913" s="367"/>
      <c r="D913" s="367"/>
      <c r="E913" s="367"/>
      <c r="F913" s="367"/>
      <c r="G913" s="367"/>
      <c r="H913" s="367"/>
      <c r="I913" s="367"/>
      <c r="J913" s="367"/>
      <c r="K913" s="367"/>
      <c r="L913" s="367"/>
      <c r="M913" s="367"/>
      <c r="N913" s="367"/>
      <c r="O913" s="367"/>
      <c r="P913" s="364"/>
      <c r="Q913" s="365"/>
      <c r="R913" s="365"/>
      <c r="S913" s="365"/>
      <c r="T913" s="365"/>
      <c r="U913" s="366"/>
      <c r="V913" s="367"/>
      <c r="W913" s="367"/>
      <c r="X913" s="367"/>
      <c r="Y913" s="367"/>
      <c r="Z913" s="367"/>
      <c r="AA913" s="367"/>
      <c r="AB913" s="367"/>
      <c r="AC913" s="367"/>
      <c r="AD913" s="367"/>
      <c r="AE913" s="367"/>
      <c r="AF913" s="367"/>
      <c r="AG913" s="367"/>
      <c r="AH913" s="367"/>
      <c r="AI913" s="367"/>
      <c r="AJ913" s="367"/>
      <c r="AK913" s="367"/>
      <c r="AL913" s="367"/>
      <c r="AM913" s="367"/>
      <c r="AN913" s="367"/>
      <c r="AO913" s="367"/>
      <c r="AP913" s="367"/>
      <c r="AQ913" s="367"/>
      <c r="AR913" s="367"/>
      <c r="AS913" s="367"/>
      <c r="AT913" s="368"/>
      <c r="AU913" s="367"/>
    </row>
    <row r="914" spans="1:47" ht="12.75">
      <c r="A914" s="367"/>
      <c r="B914" s="367"/>
      <c r="C914" s="367"/>
      <c r="D914" s="367"/>
      <c r="E914" s="367"/>
      <c r="F914" s="367"/>
      <c r="G914" s="367"/>
      <c r="H914" s="367"/>
      <c r="I914" s="367"/>
      <c r="J914" s="367"/>
      <c r="K914" s="367"/>
      <c r="L914" s="367"/>
      <c r="M914" s="367"/>
      <c r="N914" s="367"/>
      <c r="O914" s="367"/>
      <c r="P914" s="364"/>
      <c r="Q914" s="365"/>
      <c r="R914" s="365"/>
      <c r="S914" s="365"/>
      <c r="T914" s="365"/>
      <c r="U914" s="366"/>
      <c r="V914" s="367"/>
      <c r="W914" s="367"/>
      <c r="X914" s="367"/>
      <c r="Y914" s="367"/>
      <c r="Z914" s="367"/>
      <c r="AA914" s="367"/>
      <c r="AB914" s="367"/>
      <c r="AC914" s="367"/>
      <c r="AD914" s="367"/>
      <c r="AE914" s="367"/>
      <c r="AF914" s="367"/>
      <c r="AG914" s="367"/>
      <c r="AH914" s="367"/>
      <c r="AI914" s="367"/>
      <c r="AJ914" s="367"/>
      <c r="AK914" s="367"/>
      <c r="AL914" s="367"/>
      <c r="AM914" s="367"/>
      <c r="AN914" s="367"/>
      <c r="AO914" s="367"/>
      <c r="AP914" s="367"/>
      <c r="AQ914" s="367"/>
      <c r="AR914" s="367"/>
      <c r="AS914" s="367"/>
      <c r="AT914" s="368"/>
      <c r="AU914" s="367"/>
    </row>
    <row r="915" spans="1:47" ht="12.75">
      <c r="A915" s="367"/>
      <c r="B915" s="367"/>
      <c r="C915" s="367"/>
      <c r="D915" s="367"/>
      <c r="E915" s="367"/>
      <c r="F915" s="367"/>
      <c r="G915" s="367"/>
      <c r="H915" s="367"/>
      <c r="I915" s="367"/>
      <c r="J915" s="367"/>
      <c r="K915" s="367"/>
      <c r="L915" s="367"/>
      <c r="M915" s="367"/>
      <c r="N915" s="367"/>
      <c r="O915" s="367"/>
      <c r="P915" s="364"/>
      <c r="Q915" s="365"/>
      <c r="R915" s="365"/>
      <c r="S915" s="365"/>
      <c r="T915" s="365"/>
      <c r="U915" s="366"/>
      <c r="V915" s="367"/>
      <c r="W915" s="367"/>
      <c r="X915" s="367"/>
      <c r="Y915" s="367"/>
      <c r="Z915" s="367"/>
      <c r="AA915" s="367"/>
      <c r="AB915" s="367"/>
      <c r="AC915" s="367"/>
      <c r="AD915" s="367"/>
      <c r="AE915" s="367"/>
      <c r="AF915" s="367"/>
      <c r="AG915" s="367"/>
      <c r="AH915" s="367"/>
      <c r="AI915" s="367"/>
      <c r="AJ915" s="367"/>
      <c r="AK915" s="367"/>
      <c r="AL915" s="367"/>
      <c r="AM915" s="367"/>
      <c r="AN915" s="367"/>
      <c r="AO915" s="367"/>
      <c r="AP915" s="367"/>
      <c r="AQ915" s="367"/>
      <c r="AR915" s="367"/>
      <c r="AS915" s="367"/>
      <c r="AT915" s="368"/>
      <c r="AU915" s="367"/>
    </row>
    <row r="916" spans="1:47" ht="12.75">
      <c r="A916" s="367"/>
      <c r="B916" s="367"/>
      <c r="C916" s="367"/>
      <c r="D916" s="367"/>
      <c r="E916" s="367"/>
      <c r="F916" s="367"/>
      <c r="G916" s="367"/>
      <c r="H916" s="367"/>
      <c r="I916" s="367"/>
      <c r="J916" s="367"/>
      <c r="K916" s="367"/>
      <c r="L916" s="367"/>
      <c r="M916" s="367"/>
      <c r="N916" s="367"/>
      <c r="O916" s="367"/>
      <c r="P916" s="364"/>
      <c r="Q916" s="365"/>
      <c r="R916" s="365"/>
      <c r="S916" s="365"/>
      <c r="T916" s="365"/>
      <c r="U916" s="366"/>
      <c r="V916" s="367"/>
      <c r="W916" s="367"/>
      <c r="X916" s="367"/>
      <c r="Y916" s="367"/>
      <c r="Z916" s="367"/>
      <c r="AA916" s="367"/>
      <c r="AB916" s="367"/>
      <c r="AC916" s="367"/>
      <c r="AD916" s="367"/>
      <c r="AE916" s="367"/>
      <c r="AF916" s="367"/>
      <c r="AG916" s="367"/>
      <c r="AH916" s="367"/>
      <c r="AI916" s="367"/>
      <c r="AJ916" s="367"/>
      <c r="AK916" s="367"/>
      <c r="AL916" s="367"/>
      <c r="AM916" s="367"/>
      <c r="AN916" s="367"/>
      <c r="AO916" s="367"/>
      <c r="AP916" s="367"/>
      <c r="AQ916" s="367"/>
      <c r="AR916" s="367"/>
      <c r="AS916" s="367"/>
      <c r="AT916" s="368"/>
      <c r="AU916" s="367"/>
    </row>
    <row r="917" spans="1:47" ht="12.75">
      <c r="A917" s="367"/>
      <c r="B917" s="367"/>
      <c r="C917" s="367"/>
      <c r="D917" s="367"/>
      <c r="E917" s="367"/>
      <c r="F917" s="367"/>
      <c r="G917" s="367"/>
      <c r="H917" s="367"/>
      <c r="I917" s="367"/>
      <c r="J917" s="367"/>
      <c r="K917" s="367"/>
      <c r="L917" s="367"/>
      <c r="M917" s="367"/>
      <c r="N917" s="367"/>
      <c r="O917" s="367"/>
      <c r="P917" s="364"/>
      <c r="Q917" s="365"/>
      <c r="R917" s="365"/>
      <c r="S917" s="365"/>
      <c r="T917" s="365"/>
      <c r="U917" s="366"/>
      <c r="V917" s="367"/>
      <c r="W917" s="367"/>
      <c r="X917" s="367"/>
      <c r="Y917" s="367"/>
      <c r="Z917" s="367"/>
      <c r="AA917" s="367"/>
      <c r="AB917" s="367"/>
      <c r="AC917" s="367"/>
      <c r="AD917" s="367"/>
      <c r="AE917" s="367"/>
      <c r="AF917" s="367"/>
      <c r="AG917" s="367"/>
      <c r="AH917" s="367"/>
      <c r="AI917" s="367"/>
      <c r="AJ917" s="367"/>
      <c r="AK917" s="367"/>
      <c r="AL917" s="367"/>
      <c r="AM917" s="367"/>
      <c r="AN917" s="367"/>
      <c r="AO917" s="367"/>
      <c r="AP917" s="367"/>
      <c r="AQ917" s="367"/>
      <c r="AR917" s="367"/>
      <c r="AS917" s="367"/>
      <c r="AT917" s="368"/>
      <c r="AU917" s="367"/>
    </row>
    <row r="918" spans="1:47" ht="12.75">
      <c r="A918" s="367"/>
      <c r="B918" s="367"/>
      <c r="C918" s="367"/>
      <c r="D918" s="367"/>
      <c r="E918" s="367"/>
      <c r="F918" s="367"/>
      <c r="G918" s="367"/>
      <c r="H918" s="367"/>
      <c r="I918" s="367"/>
      <c r="J918" s="367"/>
      <c r="K918" s="367"/>
      <c r="L918" s="367"/>
      <c r="M918" s="367"/>
      <c r="N918" s="367"/>
      <c r="O918" s="367"/>
      <c r="P918" s="364"/>
      <c r="Q918" s="365"/>
      <c r="R918" s="365"/>
      <c r="S918" s="365"/>
      <c r="T918" s="365"/>
      <c r="U918" s="366"/>
      <c r="V918" s="367"/>
      <c r="W918" s="367"/>
      <c r="X918" s="367"/>
      <c r="Y918" s="367"/>
      <c r="Z918" s="367"/>
      <c r="AA918" s="367"/>
      <c r="AB918" s="367"/>
      <c r="AC918" s="367"/>
      <c r="AD918" s="367"/>
      <c r="AE918" s="367"/>
      <c r="AF918" s="367"/>
      <c r="AG918" s="367"/>
      <c r="AH918" s="367"/>
      <c r="AI918" s="367"/>
      <c r="AJ918" s="367"/>
      <c r="AK918" s="367"/>
      <c r="AL918" s="367"/>
      <c r="AM918" s="367"/>
      <c r="AN918" s="367"/>
      <c r="AO918" s="367"/>
      <c r="AP918" s="367"/>
      <c r="AQ918" s="367"/>
      <c r="AR918" s="367"/>
      <c r="AS918" s="367"/>
      <c r="AT918" s="368"/>
      <c r="AU918" s="367"/>
    </row>
    <row r="919" spans="1:47" ht="12.75">
      <c r="A919" s="367"/>
      <c r="B919" s="367"/>
      <c r="C919" s="367"/>
      <c r="D919" s="367"/>
      <c r="E919" s="367"/>
      <c r="F919" s="367"/>
      <c r="G919" s="367"/>
      <c r="H919" s="367"/>
      <c r="I919" s="367"/>
      <c r="J919" s="367"/>
      <c r="K919" s="367"/>
      <c r="L919" s="367"/>
      <c r="M919" s="367"/>
      <c r="N919" s="367"/>
      <c r="O919" s="367"/>
      <c r="P919" s="364"/>
      <c r="Q919" s="365"/>
      <c r="R919" s="365"/>
      <c r="S919" s="365"/>
      <c r="T919" s="365"/>
      <c r="U919" s="366"/>
      <c r="V919" s="367"/>
      <c r="W919" s="367"/>
      <c r="X919" s="367"/>
      <c r="Y919" s="367"/>
      <c r="Z919" s="367"/>
      <c r="AA919" s="367"/>
      <c r="AB919" s="367"/>
      <c r="AC919" s="367"/>
      <c r="AD919" s="367"/>
      <c r="AE919" s="367"/>
      <c r="AF919" s="367"/>
      <c r="AG919" s="367"/>
      <c r="AH919" s="367"/>
      <c r="AI919" s="367"/>
      <c r="AJ919" s="367"/>
      <c r="AK919" s="367"/>
      <c r="AL919" s="367"/>
      <c r="AM919" s="367"/>
      <c r="AN919" s="367"/>
      <c r="AO919" s="367"/>
      <c r="AP919" s="367"/>
      <c r="AQ919" s="367"/>
      <c r="AR919" s="367"/>
      <c r="AS919" s="367"/>
      <c r="AT919" s="368"/>
      <c r="AU919" s="367"/>
    </row>
    <row r="920" spans="1:47" ht="12.75">
      <c r="A920" s="367"/>
      <c r="B920" s="367"/>
      <c r="C920" s="367"/>
      <c r="D920" s="367"/>
      <c r="E920" s="367"/>
      <c r="F920" s="367"/>
      <c r="G920" s="367"/>
      <c r="H920" s="367"/>
      <c r="I920" s="367"/>
      <c r="J920" s="367"/>
      <c r="K920" s="367"/>
      <c r="L920" s="367"/>
      <c r="M920" s="367"/>
      <c r="N920" s="367"/>
      <c r="O920" s="367"/>
      <c r="P920" s="364"/>
      <c r="Q920" s="365"/>
      <c r="R920" s="365"/>
      <c r="S920" s="365"/>
      <c r="T920" s="365"/>
      <c r="U920" s="366"/>
      <c r="V920" s="367"/>
      <c r="W920" s="367"/>
      <c r="X920" s="367"/>
      <c r="Y920" s="367"/>
      <c r="Z920" s="367"/>
      <c r="AA920" s="367"/>
      <c r="AB920" s="367"/>
      <c r="AC920" s="367"/>
      <c r="AD920" s="367"/>
      <c r="AE920" s="367"/>
      <c r="AF920" s="367"/>
      <c r="AG920" s="367"/>
      <c r="AH920" s="367"/>
      <c r="AI920" s="367"/>
      <c r="AJ920" s="367"/>
      <c r="AK920" s="367"/>
      <c r="AL920" s="367"/>
      <c r="AM920" s="367"/>
      <c r="AN920" s="367"/>
      <c r="AO920" s="367"/>
      <c r="AP920" s="367"/>
      <c r="AQ920" s="367"/>
      <c r="AR920" s="367"/>
      <c r="AS920" s="367"/>
      <c r="AT920" s="368"/>
      <c r="AU920" s="367"/>
    </row>
    <row r="921" spans="1:47" ht="12.75">
      <c r="A921" s="367"/>
      <c r="B921" s="367"/>
      <c r="C921" s="367"/>
      <c r="D921" s="367"/>
      <c r="E921" s="367"/>
      <c r="F921" s="367"/>
      <c r="G921" s="367"/>
      <c r="H921" s="367"/>
      <c r="I921" s="367"/>
      <c r="J921" s="367"/>
      <c r="K921" s="367"/>
      <c r="L921" s="367"/>
      <c r="M921" s="367"/>
      <c r="N921" s="367"/>
      <c r="O921" s="367"/>
      <c r="P921" s="364"/>
      <c r="Q921" s="365"/>
      <c r="R921" s="365"/>
      <c r="S921" s="365"/>
      <c r="T921" s="365"/>
      <c r="U921" s="366"/>
      <c r="V921" s="367"/>
      <c r="W921" s="367"/>
      <c r="X921" s="367"/>
      <c r="Y921" s="367"/>
      <c r="Z921" s="367"/>
      <c r="AA921" s="367"/>
      <c r="AB921" s="367"/>
      <c r="AC921" s="367"/>
      <c r="AD921" s="367"/>
      <c r="AE921" s="367"/>
      <c r="AF921" s="367"/>
      <c r="AG921" s="367"/>
      <c r="AH921" s="367"/>
      <c r="AI921" s="367"/>
      <c r="AJ921" s="367"/>
      <c r="AK921" s="367"/>
      <c r="AL921" s="367"/>
      <c r="AM921" s="367"/>
      <c r="AN921" s="367"/>
      <c r="AO921" s="367"/>
      <c r="AP921" s="367"/>
      <c r="AQ921" s="367"/>
      <c r="AR921" s="367"/>
      <c r="AS921" s="367"/>
      <c r="AT921" s="368"/>
      <c r="AU921" s="367"/>
    </row>
    <row r="922" spans="1:47" ht="12.75">
      <c r="A922" s="367"/>
      <c r="B922" s="367"/>
      <c r="C922" s="367"/>
      <c r="D922" s="367"/>
      <c r="E922" s="367"/>
      <c r="F922" s="367"/>
      <c r="G922" s="367"/>
      <c r="H922" s="367"/>
      <c r="I922" s="367"/>
      <c r="J922" s="367"/>
      <c r="K922" s="367"/>
      <c r="L922" s="367"/>
      <c r="M922" s="367"/>
      <c r="N922" s="367"/>
      <c r="O922" s="367"/>
      <c r="P922" s="364"/>
      <c r="Q922" s="365"/>
      <c r="R922" s="365"/>
      <c r="S922" s="365"/>
      <c r="T922" s="365"/>
      <c r="U922" s="366"/>
      <c r="V922" s="367"/>
      <c r="W922" s="367"/>
      <c r="X922" s="367"/>
      <c r="Y922" s="367"/>
      <c r="Z922" s="367"/>
      <c r="AA922" s="367"/>
      <c r="AB922" s="367"/>
      <c r="AC922" s="367"/>
      <c r="AD922" s="367"/>
      <c r="AE922" s="367"/>
      <c r="AF922" s="367"/>
      <c r="AG922" s="367"/>
      <c r="AH922" s="367"/>
      <c r="AI922" s="367"/>
      <c r="AJ922" s="367"/>
      <c r="AK922" s="367"/>
      <c r="AL922" s="367"/>
      <c r="AM922" s="367"/>
      <c r="AN922" s="367"/>
      <c r="AO922" s="367"/>
      <c r="AP922" s="367"/>
      <c r="AQ922" s="367"/>
      <c r="AR922" s="367"/>
      <c r="AS922" s="367"/>
      <c r="AT922" s="368"/>
      <c r="AU922" s="367"/>
    </row>
    <row r="923" spans="1:47" ht="12.75">
      <c r="A923" s="367"/>
      <c r="B923" s="367"/>
      <c r="C923" s="367"/>
      <c r="D923" s="367"/>
      <c r="E923" s="367"/>
      <c r="F923" s="367"/>
      <c r="G923" s="367"/>
      <c r="H923" s="367"/>
      <c r="I923" s="367"/>
      <c r="J923" s="367"/>
      <c r="K923" s="367"/>
      <c r="L923" s="367"/>
      <c r="M923" s="367"/>
      <c r="N923" s="367"/>
      <c r="O923" s="367"/>
      <c r="P923" s="364"/>
      <c r="Q923" s="365"/>
      <c r="R923" s="365"/>
      <c r="S923" s="365"/>
      <c r="T923" s="365"/>
      <c r="U923" s="366"/>
      <c r="V923" s="367"/>
      <c r="W923" s="367"/>
      <c r="X923" s="367"/>
      <c r="Y923" s="367"/>
      <c r="Z923" s="367"/>
      <c r="AA923" s="367"/>
      <c r="AB923" s="367"/>
      <c r="AC923" s="367"/>
      <c r="AD923" s="367"/>
      <c r="AE923" s="367"/>
      <c r="AF923" s="367"/>
      <c r="AG923" s="367"/>
      <c r="AH923" s="367"/>
      <c r="AI923" s="367"/>
      <c r="AJ923" s="367"/>
      <c r="AK923" s="367"/>
      <c r="AL923" s="367"/>
      <c r="AM923" s="367"/>
      <c r="AN923" s="367"/>
      <c r="AO923" s="367"/>
      <c r="AP923" s="367"/>
      <c r="AQ923" s="367"/>
      <c r="AR923" s="367"/>
      <c r="AS923" s="367"/>
      <c r="AT923" s="368"/>
      <c r="AU923" s="367"/>
    </row>
    <row r="924" spans="1:47" ht="12.75">
      <c r="A924" s="367"/>
      <c r="B924" s="367"/>
      <c r="C924" s="367"/>
      <c r="D924" s="367"/>
      <c r="E924" s="367"/>
      <c r="F924" s="367"/>
      <c r="G924" s="367"/>
      <c r="H924" s="367"/>
      <c r="I924" s="367"/>
      <c r="J924" s="367"/>
      <c r="K924" s="367"/>
      <c r="L924" s="367"/>
      <c r="M924" s="367"/>
      <c r="N924" s="367"/>
      <c r="O924" s="367"/>
      <c r="P924" s="364"/>
      <c r="Q924" s="365"/>
      <c r="R924" s="365"/>
      <c r="S924" s="365"/>
      <c r="T924" s="365"/>
      <c r="U924" s="366"/>
      <c r="V924" s="367"/>
      <c r="W924" s="367"/>
      <c r="X924" s="367"/>
      <c r="Y924" s="367"/>
      <c r="Z924" s="367"/>
      <c r="AA924" s="367"/>
      <c r="AB924" s="367"/>
      <c r="AC924" s="367"/>
      <c r="AD924" s="367"/>
      <c r="AE924" s="367"/>
      <c r="AF924" s="367"/>
      <c r="AG924" s="367"/>
      <c r="AH924" s="367"/>
      <c r="AI924" s="367"/>
      <c r="AJ924" s="367"/>
      <c r="AK924" s="367"/>
      <c r="AL924" s="367"/>
      <c r="AM924" s="367"/>
      <c r="AN924" s="367"/>
      <c r="AO924" s="367"/>
      <c r="AP924" s="367"/>
      <c r="AQ924" s="367"/>
      <c r="AR924" s="367"/>
      <c r="AS924" s="367"/>
      <c r="AT924" s="368"/>
      <c r="AU924" s="367"/>
    </row>
    <row r="925" spans="1:47" ht="12.75">
      <c r="A925" s="367"/>
      <c r="B925" s="367"/>
      <c r="C925" s="367"/>
      <c r="D925" s="367"/>
      <c r="E925" s="367"/>
      <c r="F925" s="367"/>
      <c r="G925" s="367"/>
      <c r="H925" s="367"/>
      <c r="I925" s="367"/>
      <c r="J925" s="367"/>
      <c r="K925" s="367"/>
      <c r="L925" s="367"/>
      <c r="M925" s="367"/>
      <c r="N925" s="367"/>
      <c r="O925" s="367"/>
      <c r="P925" s="364"/>
      <c r="Q925" s="365"/>
      <c r="R925" s="365"/>
      <c r="S925" s="365"/>
      <c r="T925" s="365"/>
      <c r="U925" s="366"/>
      <c r="V925" s="367"/>
      <c r="W925" s="367"/>
      <c r="X925" s="367"/>
      <c r="Y925" s="367"/>
      <c r="Z925" s="367"/>
      <c r="AA925" s="367"/>
      <c r="AB925" s="367"/>
      <c r="AC925" s="367"/>
      <c r="AD925" s="367"/>
      <c r="AE925" s="367"/>
      <c r="AF925" s="367"/>
      <c r="AG925" s="367"/>
      <c r="AH925" s="367"/>
      <c r="AI925" s="367"/>
      <c r="AJ925" s="367"/>
      <c r="AK925" s="367"/>
      <c r="AL925" s="367"/>
      <c r="AM925" s="367"/>
      <c r="AN925" s="367"/>
      <c r="AO925" s="367"/>
      <c r="AP925" s="367"/>
      <c r="AQ925" s="367"/>
      <c r="AR925" s="367"/>
      <c r="AS925" s="367"/>
      <c r="AT925" s="368"/>
      <c r="AU925" s="367"/>
    </row>
    <row r="926" spans="1:47" ht="12.75">
      <c r="A926" s="367"/>
      <c r="B926" s="367"/>
      <c r="C926" s="367"/>
      <c r="D926" s="367"/>
      <c r="E926" s="367"/>
      <c r="F926" s="367"/>
      <c r="G926" s="367"/>
      <c r="H926" s="367"/>
      <c r="I926" s="367"/>
      <c r="J926" s="367"/>
      <c r="K926" s="367"/>
      <c r="L926" s="367"/>
      <c r="M926" s="367"/>
      <c r="N926" s="367"/>
      <c r="O926" s="367"/>
      <c r="P926" s="364"/>
      <c r="Q926" s="365"/>
      <c r="R926" s="365"/>
      <c r="S926" s="365"/>
      <c r="T926" s="365"/>
      <c r="U926" s="366"/>
      <c r="V926" s="367"/>
      <c r="W926" s="367"/>
      <c r="X926" s="367"/>
      <c r="Y926" s="367"/>
      <c r="Z926" s="367"/>
      <c r="AA926" s="367"/>
      <c r="AB926" s="367"/>
      <c r="AC926" s="367"/>
      <c r="AD926" s="367"/>
      <c r="AE926" s="367"/>
      <c r="AF926" s="367"/>
      <c r="AG926" s="367"/>
      <c r="AH926" s="367"/>
      <c r="AI926" s="367"/>
      <c r="AJ926" s="367"/>
      <c r="AK926" s="367"/>
      <c r="AL926" s="367"/>
      <c r="AM926" s="367"/>
      <c r="AN926" s="367"/>
      <c r="AO926" s="367"/>
      <c r="AP926" s="367"/>
      <c r="AQ926" s="367"/>
      <c r="AR926" s="367"/>
      <c r="AS926" s="367"/>
      <c r="AT926" s="368"/>
      <c r="AU926" s="367"/>
    </row>
    <row r="927" spans="1:47" ht="12.75">
      <c r="A927" s="367"/>
      <c r="B927" s="367"/>
      <c r="C927" s="367"/>
      <c r="D927" s="367"/>
      <c r="E927" s="367"/>
      <c r="F927" s="367"/>
      <c r="G927" s="367"/>
      <c r="H927" s="367"/>
      <c r="I927" s="367"/>
      <c r="J927" s="367"/>
      <c r="K927" s="367"/>
      <c r="L927" s="367"/>
      <c r="M927" s="367"/>
      <c r="N927" s="367"/>
      <c r="O927" s="367"/>
      <c r="P927" s="364"/>
      <c r="Q927" s="365"/>
      <c r="R927" s="365"/>
      <c r="S927" s="365"/>
      <c r="T927" s="365"/>
      <c r="U927" s="366"/>
      <c r="V927" s="367"/>
      <c r="W927" s="367"/>
      <c r="X927" s="367"/>
      <c r="Y927" s="367"/>
      <c r="Z927" s="367"/>
      <c r="AA927" s="367"/>
      <c r="AB927" s="367"/>
      <c r="AC927" s="367"/>
      <c r="AD927" s="367"/>
      <c r="AE927" s="367"/>
      <c r="AF927" s="367"/>
      <c r="AG927" s="367"/>
      <c r="AH927" s="367"/>
      <c r="AI927" s="367"/>
      <c r="AJ927" s="367"/>
      <c r="AK927" s="367"/>
      <c r="AL927" s="367"/>
      <c r="AM927" s="367"/>
      <c r="AN927" s="367"/>
      <c r="AO927" s="367"/>
      <c r="AP927" s="367"/>
      <c r="AQ927" s="367"/>
      <c r="AR927" s="367"/>
      <c r="AS927" s="367"/>
      <c r="AT927" s="368"/>
      <c r="AU927" s="367"/>
    </row>
    <row r="928" spans="1:47" ht="12.75">
      <c r="A928" s="367"/>
      <c r="B928" s="367"/>
      <c r="C928" s="367"/>
      <c r="D928" s="367"/>
      <c r="E928" s="367"/>
      <c r="F928" s="367"/>
      <c r="G928" s="367"/>
      <c r="H928" s="367"/>
      <c r="I928" s="367"/>
      <c r="J928" s="367"/>
      <c r="K928" s="367"/>
      <c r="L928" s="367"/>
      <c r="M928" s="367"/>
      <c r="N928" s="367"/>
      <c r="O928" s="367"/>
      <c r="P928" s="364"/>
      <c r="Q928" s="365"/>
      <c r="R928" s="365"/>
      <c r="S928" s="365"/>
      <c r="T928" s="365"/>
      <c r="U928" s="366"/>
      <c r="V928" s="367"/>
      <c r="W928" s="367"/>
      <c r="X928" s="367"/>
      <c r="Y928" s="367"/>
      <c r="Z928" s="367"/>
      <c r="AA928" s="367"/>
      <c r="AB928" s="367"/>
      <c r="AC928" s="367"/>
      <c r="AD928" s="367"/>
      <c r="AE928" s="367"/>
      <c r="AF928" s="367"/>
      <c r="AG928" s="367"/>
      <c r="AH928" s="367"/>
      <c r="AI928" s="367"/>
      <c r="AJ928" s="367"/>
      <c r="AK928" s="367"/>
      <c r="AL928" s="367"/>
      <c r="AM928" s="367"/>
      <c r="AN928" s="367"/>
      <c r="AO928" s="367"/>
      <c r="AP928" s="367"/>
      <c r="AQ928" s="367"/>
      <c r="AR928" s="367"/>
      <c r="AS928" s="367"/>
      <c r="AT928" s="368"/>
      <c r="AU928" s="367"/>
    </row>
    <row r="929" spans="1:47" ht="12.75">
      <c r="A929" s="367"/>
      <c r="B929" s="367"/>
      <c r="C929" s="367"/>
      <c r="D929" s="367"/>
      <c r="E929" s="367"/>
      <c r="F929" s="367"/>
      <c r="G929" s="367"/>
      <c r="H929" s="367"/>
      <c r="I929" s="367"/>
      <c r="J929" s="367"/>
      <c r="K929" s="367"/>
      <c r="L929" s="367"/>
      <c r="M929" s="367"/>
      <c r="N929" s="367"/>
      <c r="O929" s="367"/>
      <c r="P929" s="364"/>
      <c r="Q929" s="365"/>
      <c r="R929" s="365"/>
      <c r="S929" s="365"/>
      <c r="T929" s="365"/>
      <c r="U929" s="366"/>
      <c r="V929" s="367"/>
      <c r="W929" s="367"/>
      <c r="X929" s="367"/>
      <c r="Y929" s="367"/>
      <c r="Z929" s="367"/>
      <c r="AA929" s="367"/>
      <c r="AB929" s="367"/>
      <c r="AC929" s="367"/>
      <c r="AD929" s="367"/>
      <c r="AE929" s="367"/>
      <c r="AF929" s="367"/>
      <c r="AG929" s="367"/>
      <c r="AH929" s="367"/>
      <c r="AI929" s="367"/>
      <c r="AJ929" s="367"/>
      <c r="AK929" s="367"/>
      <c r="AL929" s="367"/>
      <c r="AM929" s="367"/>
      <c r="AN929" s="367"/>
      <c r="AO929" s="367"/>
      <c r="AP929" s="367"/>
      <c r="AQ929" s="367"/>
      <c r="AR929" s="367"/>
      <c r="AS929" s="367"/>
      <c r="AT929" s="368"/>
      <c r="AU929" s="367"/>
    </row>
    <row r="930" spans="1:47" ht="12.75">
      <c r="A930" s="367"/>
      <c r="B930" s="367"/>
      <c r="C930" s="367"/>
      <c r="D930" s="367"/>
      <c r="E930" s="367"/>
      <c r="F930" s="367"/>
      <c r="G930" s="367"/>
      <c r="H930" s="367"/>
      <c r="I930" s="367"/>
      <c r="J930" s="367"/>
      <c r="K930" s="367"/>
      <c r="L930" s="367"/>
      <c r="M930" s="367"/>
      <c r="N930" s="367"/>
      <c r="O930" s="367"/>
      <c r="P930" s="364"/>
      <c r="Q930" s="365"/>
      <c r="R930" s="365"/>
      <c r="S930" s="365"/>
      <c r="T930" s="365"/>
      <c r="U930" s="366"/>
      <c r="V930" s="367"/>
      <c r="W930" s="367"/>
      <c r="X930" s="367"/>
      <c r="Y930" s="367"/>
      <c r="Z930" s="367"/>
      <c r="AA930" s="367"/>
      <c r="AB930" s="367"/>
      <c r="AC930" s="367"/>
      <c r="AD930" s="367"/>
      <c r="AE930" s="367"/>
      <c r="AF930" s="367"/>
      <c r="AG930" s="367"/>
      <c r="AH930" s="367"/>
      <c r="AI930" s="367"/>
      <c r="AJ930" s="367"/>
      <c r="AK930" s="367"/>
      <c r="AL930" s="367"/>
      <c r="AM930" s="367"/>
      <c r="AN930" s="367"/>
      <c r="AO930" s="367"/>
      <c r="AP930" s="367"/>
      <c r="AQ930" s="367"/>
      <c r="AR930" s="367"/>
      <c r="AS930" s="367"/>
      <c r="AT930" s="368"/>
      <c r="AU930" s="367"/>
    </row>
    <row r="931" spans="1:47" ht="12.75">
      <c r="A931" s="367"/>
      <c r="B931" s="367"/>
      <c r="C931" s="367"/>
      <c r="D931" s="367"/>
      <c r="E931" s="367"/>
      <c r="F931" s="367"/>
      <c r="G931" s="367"/>
      <c r="H931" s="367"/>
      <c r="I931" s="367"/>
      <c r="J931" s="367"/>
      <c r="K931" s="367"/>
      <c r="L931" s="367"/>
      <c r="M931" s="367"/>
      <c r="N931" s="367"/>
      <c r="O931" s="367"/>
      <c r="P931" s="364"/>
      <c r="Q931" s="365"/>
      <c r="R931" s="365"/>
      <c r="S931" s="365"/>
      <c r="T931" s="365"/>
      <c r="U931" s="366"/>
      <c r="V931" s="367"/>
      <c r="W931" s="367"/>
      <c r="X931" s="367"/>
      <c r="Y931" s="367"/>
      <c r="Z931" s="367"/>
      <c r="AA931" s="367"/>
      <c r="AB931" s="367"/>
      <c r="AC931" s="367"/>
      <c r="AD931" s="367"/>
      <c r="AE931" s="367"/>
      <c r="AF931" s="367"/>
      <c r="AG931" s="367"/>
      <c r="AH931" s="367"/>
      <c r="AI931" s="367"/>
      <c r="AJ931" s="367"/>
      <c r="AK931" s="367"/>
      <c r="AL931" s="367"/>
      <c r="AM931" s="367"/>
      <c r="AN931" s="367"/>
      <c r="AO931" s="367"/>
      <c r="AP931" s="367"/>
      <c r="AQ931" s="367"/>
      <c r="AR931" s="367"/>
      <c r="AS931" s="367"/>
      <c r="AT931" s="368"/>
      <c r="AU931" s="367"/>
    </row>
    <row r="932" spans="1:47" ht="12.75">
      <c r="A932" s="367"/>
      <c r="B932" s="367"/>
      <c r="C932" s="367"/>
      <c r="D932" s="367"/>
      <c r="E932" s="367"/>
      <c r="F932" s="367"/>
      <c r="G932" s="367"/>
      <c r="H932" s="367"/>
      <c r="I932" s="367"/>
      <c r="J932" s="367"/>
      <c r="K932" s="367"/>
      <c r="L932" s="367"/>
      <c r="M932" s="367"/>
      <c r="N932" s="367"/>
      <c r="O932" s="367"/>
      <c r="P932" s="364"/>
      <c r="Q932" s="365"/>
      <c r="R932" s="365"/>
      <c r="S932" s="365"/>
      <c r="T932" s="365"/>
      <c r="U932" s="366"/>
      <c r="V932" s="367"/>
      <c r="W932" s="367"/>
      <c r="X932" s="367"/>
      <c r="Y932" s="367"/>
      <c r="Z932" s="367"/>
      <c r="AA932" s="367"/>
      <c r="AB932" s="367"/>
      <c r="AC932" s="367"/>
      <c r="AD932" s="367"/>
      <c r="AE932" s="367"/>
      <c r="AF932" s="367"/>
      <c r="AG932" s="367"/>
      <c r="AH932" s="367"/>
      <c r="AI932" s="367"/>
      <c r="AJ932" s="367"/>
      <c r="AK932" s="367"/>
      <c r="AL932" s="367"/>
      <c r="AM932" s="367"/>
      <c r="AN932" s="367"/>
      <c r="AO932" s="367"/>
      <c r="AP932" s="367"/>
      <c r="AQ932" s="367"/>
      <c r="AR932" s="367"/>
      <c r="AS932" s="367"/>
      <c r="AT932" s="368"/>
      <c r="AU932" s="367"/>
    </row>
    <row r="933" spans="1:47" ht="12.75">
      <c r="A933" s="367"/>
      <c r="B933" s="367"/>
      <c r="C933" s="367"/>
      <c r="D933" s="367"/>
      <c r="E933" s="367"/>
      <c r="F933" s="367"/>
      <c r="G933" s="367"/>
      <c r="H933" s="367"/>
      <c r="I933" s="367"/>
      <c r="J933" s="367"/>
      <c r="K933" s="367"/>
      <c r="L933" s="367"/>
      <c r="M933" s="367"/>
      <c r="N933" s="367"/>
      <c r="O933" s="367"/>
      <c r="P933" s="364"/>
      <c r="Q933" s="365"/>
      <c r="R933" s="365"/>
      <c r="S933" s="365"/>
      <c r="T933" s="365"/>
      <c r="U933" s="366"/>
      <c r="V933" s="367"/>
      <c r="W933" s="367"/>
      <c r="X933" s="367"/>
      <c r="Y933" s="367"/>
      <c r="Z933" s="367"/>
      <c r="AA933" s="367"/>
      <c r="AB933" s="367"/>
      <c r="AC933" s="367"/>
      <c r="AD933" s="367"/>
      <c r="AE933" s="367"/>
      <c r="AF933" s="367"/>
      <c r="AG933" s="367"/>
      <c r="AH933" s="367"/>
      <c r="AI933" s="367"/>
      <c r="AJ933" s="367"/>
      <c r="AK933" s="367"/>
      <c r="AL933" s="367"/>
      <c r="AM933" s="367"/>
      <c r="AN933" s="367"/>
      <c r="AO933" s="367"/>
      <c r="AP933" s="367"/>
      <c r="AQ933" s="367"/>
      <c r="AR933" s="367"/>
      <c r="AS933" s="367"/>
      <c r="AT933" s="368"/>
      <c r="AU933" s="367"/>
    </row>
    <row r="934" spans="1:47" ht="12.75">
      <c r="A934" s="367"/>
      <c r="B934" s="367"/>
      <c r="C934" s="367"/>
      <c r="D934" s="367"/>
      <c r="E934" s="367"/>
      <c r="F934" s="367"/>
      <c r="G934" s="367"/>
      <c r="H934" s="367"/>
      <c r="I934" s="367"/>
      <c r="J934" s="367"/>
      <c r="K934" s="367"/>
      <c r="L934" s="367"/>
      <c r="M934" s="367"/>
      <c r="N934" s="367"/>
      <c r="O934" s="367"/>
      <c r="P934" s="364"/>
      <c r="Q934" s="365"/>
      <c r="R934" s="365"/>
      <c r="S934" s="365"/>
      <c r="T934" s="365"/>
      <c r="U934" s="366"/>
      <c r="V934" s="367"/>
      <c r="W934" s="367"/>
      <c r="X934" s="367"/>
      <c r="Y934" s="367"/>
      <c r="Z934" s="367"/>
      <c r="AA934" s="367"/>
      <c r="AB934" s="367"/>
      <c r="AC934" s="367"/>
      <c r="AD934" s="367"/>
      <c r="AE934" s="367"/>
      <c r="AF934" s="367"/>
      <c r="AG934" s="367"/>
      <c r="AH934" s="367"/>
      <c r="AI934" s="367"/>
      <c r="AJ934" s="367"/>
      <c r="AK934" s="367"/>
      <c r="AL934" s="367"/>
      <c r="AM934" s="367"/>
      <c r="AN934" s="367"/>
      <c r="AO934" s="367"/>
      <c r="AP934" s="367"/>
      <c r="AQ934" s="367"/>
      <c r="AR934" s="367"/>
      <c r="AS934" s="367"/>
      <c r="AT934" s="368"/>
      <c r="AU934" s="367"/>
    </row>
    <row r="935" spans="1:47" ht="12.75">
      <c r="A935" s="367"/>
      <c r="B935" s="367"/>
      <c r="C935" s="367"/>
      <c r="D935" s="367"/>
      <c r="E935" s="367"/>
      <c r="F935" s="367"/>
      <c r="G935" s="367"/>
      <c r="H935" s="367"/>
      <c r="I935" s="367"/>
      <c r="J935" s="367"/>
      <c r="K935" s="367"/>
      <c r="L935" s="367"/>
      <c r="M935" s="367"/>
      <c r="N935" s="367"/>
      <c r="O935" s="367"/>
      <c r="P935" s="364"/>
      <c r="Q935" s="365"/>
      <c r="R935" s="365"/>
      <c r="S935" s="365"/>
      <c r="T935" s="365"/>
      <c r="U935" s="366"/>
      <c r="V935" s="367"/>
      <c r="W935" s="367"/>
      <c r="X935" s="367"/>
      <c r="Y935" s="367"/>
      <c r="Z935" s="367"/>
      <c r="AA935" s="367"/>
      <c r="AB935" s="367"/>
      <c r="AC935" s="367"/>
      <c r="AD935" s="367"/>
      <c r="AE935" s="367"/>
      <c r="AF935" s="367"/>
      <c r="AG935" s="367"/>
      <c r="AH935" s="367"/>
      <c r="AI935" s="367"/>
      <c r="AJ935" s="367"/>
      <c r="AK935" s="367"/>
      <c r="AL935" s="367"/>
      <c r="AM935" s="367"/>
      <c r="AN935" s="367"/>
      <c r="AO935" s="367"/>
      <c r="AP935" s="367"/>
      <c r="AQ935" s="367"/>
      <c r="AR935" s="367"/>
      <c r="AS935" s="367"/>
      <c r="AT935" s="368"/>
      <c r="AU935" s="367"/>
    </row>
    <row r="936" spans="1:47" ht="12.75">
      <c r="A936" s="367"/>
      <c r="B936" s="367"/>
      <c r="C936" s="367"/>
      <c r="D936" s="367"/>
      <c r="E936" s="367"/>
      <c r="F936" s="367"/>
      <c r="G936" s="367"/>
      <c r="H936" s="367"/>
      <c r="I936" s="367"/>
      <c r="J936" s="367"/>
      <c r="K936" s="367"/>
      <c r="L936" s="367"/>
      <c r="M936" s="367"/>
      <c r="N936" s="367"/>
      <c r="O936" s="367"/>
      <c r="P936" s="364"/>
      <c r="Q936" s="365"/>
      <c r="R936" s="365"/>
      <c r="S936" s="365"/>
      <c r="T936" s="365"/>
      <c r="U936" s="366"/>
      <c r="V936" s="367"/>
      <c r="W936" s="367"/>
      <c r="X936" s="367"/>
      <c r="Y936" s="367"/>
      <c r="Z936" s="367"/>
      <c r="AA936" s="367"/>
      <c r="AB936" s="367"/>
      <c r="AC936" s="367"/>
      <c r="AD936" s="367"/>
      <c r="AE936" s="367"/>
      <c r="AF936" s="367"/>
      <c r="AG936" s="367"/>
      <c r="AH936" s="367"/>
      <c r="AI936" s="367"/>
      <c r="AJ936" s="367"/>
      <c r="AK936" s="367"/>
      <c r="AL936" s="367"/>
      <c r="AM936" s="367"/>
      <c r="AN936" s="367"/>
      <c r="AO936" s="367"/>
      <c r="AP936" s="367"/>
      <c r="AQ936" s="367"/>
      <c r="AR936" s="367"/>
      <c r="AS936" s="367"/>
      <c r="AT936" s="368"/>
      <c r="AU936" s="367"/>
    </row>
    <row r="937" spans="1:47" ht="12.75">
      <c r="A937" s="367"/>
      <c r="B937" s="367"/>
      <c r="C937" s="367"/>
      <c r="D937" s="367"/>
      <c r="E937" s="367"/>
      <c r="F937" s="367"/>
      <c r="G937" s="367"/>
      <c r="H937" s="367"/>
      <c r="I937" s="367"/>
      <c r="J937" s="367"/>
      <c r="K937" s="367"/>
      <c r="L937" s="367"/>
      <c r="M937" s="367"/>
      <c r="N937" s="367"/>
      <c r="O937" s="367"/>
      <c r="P937" s="364"/>
      <c r="Q937" s="365"/>
      <c r="R937" s="365"/>
      <c r="S937" s="365"/>
      <c r="T937" s="365"/>
      <c r="U937" s="366"/>
      <c r="V937" s="367"/>
      <c r="W937" s="367"/>
      <c r="X937" s="367"/>
      <c r="Y937" s="367"/>
      <c r="Z937" s="367"/>
      <c r="AA937" s="367"/>
      <c r="AB937" s="367"/>
      <c r="AC937" s="367"/>
      <c r="AD937" s="367"/>
      <c r="AE937" s="367"/>
      <c r="AF937" s="367"/>
      <c r="AG937" s="367"/>
      <c r="AH937" s="367"/>
      <c r="AI937" s="367"/>
      <c r="AJ937" s="367"/>
      <c r="AK937" s="367"/>
      <c r="AL937" s="367"/>
      <c r="AM937" s="367"/>
      <c r="AN937" s="367"/>
      <c r="AO937" s="367"/>
      <c r="AP937" s="367"/>
      <c r="AQ937" s="367"/>
      <c r="AR937" s="367"/>
      <c r="AS937" s="367"/>
      <c r="AT937" s="368"/>
      <c r="AU937" s="367"/>
    </row>
    <row r="938" spans="1:47" ht="12.75">
      <c r="A938" s="367"/>
      <c r="B938" s="367"/>
      <c r="C938" s="367"/>
      <c r="D938" s="367"/>
      <c r="E938" s="367"/>
      <c r="F938" s="367"/>
      <c r="G938" s="367"/>
      <c r="H938" s="367"/>
      <c r="I938" s="367"/>
      <c r="J938" s="367"/>
      <c r="K938" s="367"/>
      <c r="L938" s="367"/>
      <c r="M938" s="367"/>
      <c r="N938" s="367"/>
      <c r="O938" s="367"/>
      <c r="P938" s="364"/>
      <c r="Q938" s="365"/>
      <c r="R938" s="365"/>
      <c r="S938" s="365"/>
      <c r="T938" s="365"/>
      <c r="U938" s="366"/>
      <c r="V938" s="367"/>
      <c r="W938" s="367"/>
      <c r="X938" s="367"/>
      <c r="Y938" s="367"/>
      <c r="Z938" s="367"/>
      <c r="AA938" s="367"/>
      <c r="AB938" s="367"/>
      <c r="AC938" s="367"/>
      <c r="AD938" s="367"/>
      <c r="AE938" s="367"/>
      <c r="AF938" s="367"/>
      <c r="AG938" s="367"/>
      <c r="AH938" s="367"/>
      <c r="AI938" s="367"/>
      <c r="AJ938" s="367"/>
      <c r="AK938" s="367"/>
      <c r="AL938" s="367"/>
      <c r="AM938" s="367"/>
      <c r="AN938" s="367"/>
      <c r="AO938" s="367"/>
      <c r="AP938" s="367"/>
      <c r="AQ938" s="367"/>
      <c r="AR938" s="367"/>
      <c r="AS938" s="367"/>
      <c r="AT938" s="368"/>
      <c r="AU938" s="367"/>
    </row>
    <row r="939" spans="1:47" ht="12.75">
      <c r="A939" s="367"/>
      <c r="B939" s="367"/>
      <c r="C939" s="367"/>
      <c r="D939" s="367"/>
      <c r="E939" s="367"/>
      <c r="F939" s="367"/>
      <c r="G939" s="367"/>
      <c r="H939" s="367"/>
      <c r="I939" s="367"/>
      <c r="J939" s="367"/>
      <c r="K939" s="367"/>
      <c r="L939" s="367"/>
      <c r="M939" s="367"/>
      <c r="N939" s="367"/>
      <c r="O939" s="367"/>
      <c r="P939" s="364"/>
      <c r="Q939" s="365"/>
      <c r="R939" s="365"/>
      <c r="S939" s="365"/>
      <c r="T939" s="365"/>
      <c r="U939" s="366"/>
      <c r="V939" s="367"/>
      <c r="W939" s="367"/>
      <c r="X939" s="367"/>
      <c r="Y939" s="367"/>
      <c r="Z939" s="367"/>
      <c r="AA939" s="367"/>
      <c r="AB939" s="367"/>
      <c r="AC939" s="367"/>
      <c r="AD939" s="367"/>
      <c r="AE939" s="367"/>
      <c r="AF939" s="367"/>
      <c r="AG939" s="367"/>
      <c r="AH939" s="367"/>
      <c r="AI939" s="367"/>
      <c r="AJ939" s="367"/>
      <c r="AK939" s="367"/>
      <c r="AL939" s="367"/>
      <c r="AM939" s="367"/>
      <c r="AN939" s="367"/>
      <c r="AO939" s="367"/>
      <c r="AP939" s="367"/>
      <c r="AQ939" s="367"/>
      <c r="AR939" s="367"/>
      <c r="AS939" s="367"/>
      <c r="AT939" s="368"/>
      <c r="AU939" s="367"/>
    </row>
    <row r="940" spans="1:47" ht="12.75">
      <c r="A940" s="367"/>
      <c r="B940" s="367"/>
      <c r="C940" s="367"/>
      <c r="D940" s="367"/>
      <c r="E940" s="367"/>
      <c r="F940" s="367"/>
      <c r="G940" s="367"/>
      <c r="H940" s="367"/>
      <c r="I940" s="367"/>
      <c r="J940" s="367"/>
      <c r="K940" s="367"/>
      <c r="L940" s="367"/>
      <c r="M940" s="367"/>
      <c r="N940" s="367"/>
      <c r="O940" s="367"/>
      <c r="P940" s="364"/>
      <c r="Q940" s="365"/>
      <c r="R940" s="365"/>
      <c r="S940" s="365"/>
      <c r="T940" s="365"/>
      <c r="U940" s="366"/>
      <c r="V940" s="367"/>
      <c r="W940" s="367"/>
      <c r="X940" s="367"/>
      <c r="Y940" s="367"/>
      <c r="Z940" s="367"/>
      <c r="AA940" s="367"/>
      <c r="AB940" s="367"/>
      <c r="AC940" s="367"/>
      <c r="AD940" s="367"/>
      <c r="AE940" s="367"/>
      <c r="AF940" s="367"/>
      <c r="AG940" s="367"/>
      <c r="AH940" s="367"/>
      <c r="AI940" s="367"/>
      <c r="AJ940" s="367"/>
      <c r="AK940" s="367"/>
      <c r="AL940" s="367"/>
      <c r="AM940" s="367"/>
      <c r="AN940" s="367"/>
      <c r="AO940" s="367"/>
      <c r="AP940" s="367"/>
      <c r="AQ940" s="367"/>
      <c r="AR940" s="367"/>
      <c r="AS940" s="367"/>
      <c r="AT940" s="368"/>
      <c r="AU940" s="367"/>
    </row>
    <row r="941" spans="1:47" ht="12.75">
      <c r="A941" s="367"/>
      <c r="B941" s="367"/>
      <c r="C941" s="367"/>
      <c r="D941" s="367"/>
      <c r="E941" s="367"/>
      <c r="F941" s="367"/>
      <c r="G941" s="367"/>
      <c r="H941" s="367"/>
      <c r="I941" s="367"/>
      <c r="J941" s="367"/>
      <c r="K941" s="367"/>
      <c r="L941" s="367"/>
      <c r="M941" s="367"/>
      <c r="N941" s="367"/>
      <c r="O941" s="367"/>
      <c r="P941" s="364"/>
      <c r="Q941" s="365"/>
      <c r="R941" s="365"/>
      <c r="S941" s="365"/>
      <c r="T941" s="365"/>
      <c r="U941" s="366"/>
      <c r="V941" s="367"/>
      <c r="W941" s="367"/>
      <c r="X941" s="367"/>
      <c r="Y941" s="367"/>
      <c r="Z941" s="367"/>
      <c r="AA941" s="367"/>
      <c r="AB941" s="367"/>
      <c r="AC941" s="367"/>
      <c r="AD941" s="367"/>
      <c r="AE941" s="367"/>
      <c r="AF941" s="367"/>
      <c r="AG941" s="367"/>
      <c r="AH941" s="367"/>
      <c r="AI941" s="367"/>
      <c r="AJ941" s="367"/>
      <c r="AK941" s="367"/>
      <c r="AL941" s="367"/>
      <c r="AM941" s="367"/>
      <c r="AN941" s="367"/>
      <c r="AO941" s="367"/>
      <c r="AP941" s="367"/>
      <c r="AQ941" s="367"/>
      <c r="AR941" s="367"/>
      <c r="AS941" s="367"/>
      <c r="AT941" s="368"/>
      <c r="AU941" s="367"/>
    </row>
    <row r="942" spans="1:47" ht="12.75">
      <c r="A942" s="367"/>
      <c r="B942" s="367"/>
      <c r="C942" s="367"/>
      <c r="D942" s="367"/>
      <c r="E942" s="367"/>
      <c r="F942" s="367"/>
      <c r="G942" s="367"/>
      <c r="H942" s="367"/>
      <c r="I942" s="367"/>
      <c r="J942" s="367"/>
      <c r="K942" s="367"/>
      <c r="L942" s="367"/>
      <c r="M942" s="367"/>
      <c r="N942" s="367"/>
      <c r="O942" s="367"/>
      <c r="P942" s="364"/>
      <c r="Q942" s="365"/>
      <c r="R942" s="365"/>
      <c r="S942" s="365"/>
      <c r="T942" s="365"/>
      <c r="U942" s="366"/>
      <c r="V942" s="367"/>
      <c r="W942" s="367"/>
      <c r="X942" s="367"/>
      <c r="Y942" s="367"/>
      <c r="Z942" s="367"/>
      <c r="AA942" s="367"/>
      <c r="AB942" s="367"/>
      <c r="AC942" s="367"/>
      <c r="AD942" s="367"/>
      <c r="AE942" s="367"/>
      <c r="AF942" s="367"/>
      <c r="AG942" s="367"/>
      <c r="AH942" s="367"/>
      <c r="AI942" s="367"/>
      <c r="AJ942" s="367"/>
      <c r="AK942" s="367"/>
      <c r="AL942" s="367"/>
      <c r="AM942" s="367"/>
      <c r="AN942" s="367"/>
      <c r="AO942" s="367"/>
      <c r="AP942" s="367"/>
      <c r="AQ942" s="367"/>
      <c r="AR942" s="367"/>
      <c r="AS942" s="367"/>
      <c r="AT942" s="368"/>
      <c r="AU942" s="367"/>
    </row>
    <row r="943" spans="1:47" ht="12.75">
      <c r="A943" s="367"/>
      <c r="B943" s="367"/>
      <c r="C943" s="367"/>
      <c r="D943" s="367"/>
      <c r="E943" s="367"/>
      <c r="F943" s="367"/>
      <c r="G943" s="367"/>
      <c r="H943" s="367"/>
      <c r="I943" s="367"/>
      <c r="J943" s="367"/>
      <c r="K943" s="367"/>
      <c r="L943" s="367"/>
      <c r="M943" s="367"/>
      <c r="N943" s="367"/>
      <c r="O943" s="367"/>
      <c r="P943" s="364"/>
      <c r="Q943" s="365"/>
      <c r="R943" s="365"/>
      <c r="S943" s="365"/>
      <c r="T943" s="365"/>
      <c r="U943" s="366"/>
      <c r="V943" s="367"/>
      <c r="W943" s="367"/>
      <c r="X943" s="367"/>
      <c r="Y943" s="367"/>
      <c r="Z943" s="367"/>
      <c r="AA943" s="367"/>
      <c r="AB943" s="367"/>
      <c r="AC943" s="367"/>
      <c r="AD943" s="367"/>
      <c r="AE943" s="367"/>
      <c r="AF943" s="367"/>
      <c r="AG943" s="367"/>
      <c r="AH943" s="367"/>
      <c r="AI943" s="367"/>
      <c r="AJ943" s="367"/>
      <c r="AK943" s="367"/>
      <c r="AL943" s="367"/>
      <c r="AM943" s="367"/>
      <c r="AN943" s="367"/>
      <c r="AO943" s="367"/>
      <c r="AP943" s="367"/>
      <c r="AQ943" s="367"/>
      <c r="AR943" s="367"/>
      <c r="AS943" s="367"/>
      <c r="AT943" s="368"/>
      <c r="AU943" s="367"/>
    </row>
    <row r="944" spans="1:47" ht="12.75">
      <c r="A944" s="367"/>
      <c r="B944" s="367"/>
      <c r="C944" s="367"/>
      <c r="D944" s="367"/>
      <c r="E944" s="367"/>
      <c r="F944" s="367"/>
      <c r="G944" s="367"/>
      <c r="H944" s="367"/>
      <c r="I944" s="367"/>
      <c r="J944" s="367"/>
      <c r="K944" s="367"/>
      <c r="L944" s="367"/>
      <c r="M944" s="367"/>
      <c r="N944" s="367"/>
      <c r="O944" s="367"/>
      <c r="P944" s="364"/>
      <c r="Q944" s="365"/>
      <c r="R944" s="365"/>
      <c r="S944" s="365"/>
      <c r="T944" s="365"/>
      <c r="U944" s="366"/>
      <c r="V944" s="367"/>
      <c r="W944" s="367"/>
      <c r="X944" s="367"/>
      <c r="Y944" s="367"/>
      <c r="Z944" s="367"/>
      <c r="AA944" s="367"/>
      <c r="AB944" s="367"/>
      <c r="AC944" s="367"/>
      <c r="AD944" s="367"/>
      <c r="AE944" s="367"/>
      <c r="AF944" s="367"/>
      <c r="AG944" s="367"/>
      <c r="AH944" s="367"/>
      <c r="AI944" s="367"/>
      <c r="AJ944" s="367"/>
      <c r="AK944" s="367"/>
      <c r="AL944" s="367"/>
      <c r="AM944" s="367"/>
      <c r="AN944" s="367"/>
      <c r="AO944" s="367"/>
      <c r="AP944" s="367"/>
      <c r="AQ944" s="367"/>
      <c r="AR944" s="367"/>
      <c r="AS944" s="367"/>
      <c r="AT944" s="368"/>
      <c r="AU944" s="367"/>
    </row>
    <row r="945" spans="1:47" ht="12.75">
      <c r="A945" s="367"/>
      <c r="B945" s="367"/>
      <c r="C945" s="367"/>
      <c r="D945" s="367"/>
      <c r="E945" s="367"/>
      <c r="F945" s="367"/>
      <c r="G945" s="367"/>
      <c r="H945" s="367"/>
      <c r="I945" s="367"/>
      <c r="J945" s="367"/>
      <c r="K945" s="367"/>
      <c r="L945" s="367"/>
      <c r="M945" s="367"/>
      <c r="N945" s="367"/>
      <c r="O945" s="367"/>
      <c r="P945" s="364"/>
      <c r="Q945" s="365"/>
      <c r="R945" s="365"/>
      <c r="S945" s="365"/>
      <c r="T945" s="365"/>
      <c r="U945" s="366"/>
      <c r="V945" s="367"/>
      <c r="W945" s="367"/>
      <c r="X945" s="367"/>
      <c r="Y945" s="367"/>
      <c r="Z945" s="367"/>
      <c r="AA945" s="367"/>
      <c r="AB945" s="367"/>
      <c r="AC945" s="367"/>
      <c r="AD945" s="367"/>
      <c r="AE945" s="367"/>
      <c r="AF945" s="367"/>
      <c r="AG945" s="367"/>
      <c r="AH945" s="367"/>
      <c r="AI945" s="367"/>
      <c r="AJ945" s="367"/>
      <c r="AK945" s="367"/>
      <c r="AL945" s="367"/>
      <c r="AM945" s="367"/>
      <c r="AN945" s="367"/>
      <c r="AO945" s="367"/>
      <c r="AP945" s="367"/>
      <c r="AQ945" s="367"/>
      <c r="AR945" s="367"/>
      <c r="AS945" s="367"/>
      <c r="AT945" s="368"/>
      <c r="AU945" s="367"/>
    </row>
    <row r="946" spans="1:47" ht="12.75">
      <c r="A946" s="367"/>
      <c r="B946" s="367"/>
      <c r="C946" s="367"/>
      <c r="D946" s="367"/>
      <c r="E946" s="367"/>
      <c r="F946" s="367"/>
      <c r="G946" s="367"/>
      <c r="H946" s="367"/>
      <c r="I946" s="367"/>
      <c r="J946" s="367"/>
      <c r="K946" s="367"/>
      <c r="L946" s="367"/>
      <c r="M946" s="367"/>
      <c r="N946" s="367"/>
      <c r="O946" s="367"/>
      <c r="P946" s="364"/>
      <c r="Q946" s="365"/>
      <c r="R946" s="365"/>
      <c r="S946" s="365"/>
      <c r="T946" s="365"/>
      <c r="U946" s="366"/>
      <c r="V946" s="367"/>
      <c r="W946" s="367"/>
      <c r="X946" s="367"/>
      <c r="Y946" s="367"/>
      <c r="Z946" s="367"/>
      <c r="AA946" s="367"/>
      <c r="AB946" s="367"/>
      <c r="AC946" s="367"/>
      <c r="AD946" s="367"/>
      <c r="AE946" s="367"/>
      <c r="AF946" s="367"/>
      <c r="AG946" s="367"/>
      <c r="AH946" s="367"/>
      <c r="AI946" s="367"/>
      <c r="AJ946" s="367"/>
      <c r="AK946" s="367"/>
      <c r="AL946" s="367"/>
      <c r="AM946" s="367"/>
      <c r="AN946" s="367"/>
      <c r="AO946" s="367"/>
      <c r="AP946" s="367"/>
      <c r="AQ946" s="367"/>
      <c r="AR946" s="367"/>
      <c r="AS946" s="367"/>
      <c r="AT946" s="368"/>
      <c r="AU946" s="367"/>
    </row>
    <row r="947" spans="1:47" ht="12.75">
      <c r="A947" s="367"/>
      <c r="B947" s="367"/>
      <c r="C947" s="367"/>
      <c r="D947" s="367"/>
      <c r="E947" s="367"/>
      <c r="F947" s="367"/>
      <c r="G947" s="367"/>
      <c r="H947" s="367"/>
      <c r="I947" s="367"/>
      <c r="J947" s="367"/>
      <c r="K947" s="367"/>
      <c r="L947" s="367"/>
      <c r="M947" s="367"/>
      <c r="N947" s="367"/>
      <c r="O947" s="367"/>
      <c r="P947" s="364"/>
      <c r="Q947" s="365"/>
      <c r="R947" s="365"/>
      <c r="S947" s="365"/>
      <c r="T947" s="365"/>
      <c r="U947" s="366"/>
      <c r="V947" s="367"/>
      <c r="W947" s="367"/>
      <c r="X947" s="367"/>
      <c r="Y947" s="367"/>
      <c r="Z947" s="367"/>
      <c r="AA947" s="367"/>
      <c r="AB947" s="367"/>
      <c r="AC947" s="367"/>
      <c r="AD947" s="367"/>
      <c r="AE947" s="367"/>
      <c r="AF947" s="367"/>
      <c r="AG947" s="367"/>
      <c r="AH947" s="367"/>
      <c r="AI947" s="367"/>
      <c r="AJ947" s="367"/>
      <c r="AK947" s="367"/>
      <c r="AL947" s="367"/>
      <c r="AM947" s="367"/>
      <c r="AN947" s="367"/>
      <c r="AO947" s="367"/>
      <c r="AP947" s="367"/>
      <c r="AQ947" s="367"/>
      <c r="AR947" s="367"/>
      <c r="AS947" s="367"/>
      <c r="AT947" s="368"/>
      <c r="AU947" s="367"/>
    </row>
    <row r="948" spans="1:47" ht="12.75">
      <c r="A948" s="367"/>
      <c r="B948" s="367"/>
      <c r="C948" s="367"/>
      <c r="D948" s="367"/>
      <c r="E948" s="367"/>
      <c r="F948" s="367"/>
      <c r="G948" s="367"/>
      <c r="H948" s="367"/>
      <c r="I948" s="367"/>
      <c r="J948" s="367"/>
      <c r="K948" s="367"/>
      <c r="L948" s="367"/>
      <c r="M948" s="367"/>
      <c r="N948" s="367"/>
      <c r="O948" s="367"/>
      <c r="P948" s="364"/>
      <c r="Q948" s="365"/>
      <c r="R948" s="365"/>
      <c r="S948" s="365"/>
      <c r="T948" s="365"/>
      <c r="U948" s="366"/>
      <c r="V948" s="367"/>
      <c r="W948" s="367"/>
      <c r="X948" s="367"/>
      <c r="Y948" s="367"/>
      <c r="Z948" s="367"/>
      <c r="AA948" s="367"/>
      <c r="AB948" s="367"/>
      <c r="AC948" s="367"/>
      <c r="AD948" s="367"/>
      <c r="AE948" s="367"/>
      <c r="AF948" s="367"/>
      <c r="AG948" s="367"/>
      <c r="AH948" s="367"/>
      <c r="AI948" s="367"/>
      <c r="AJ948" s="367"/>
      <c r="AK948" s="367"/>
      <c r="AL948" s="367"/>
      <c r="AM948" s="367"/>
      <c r="AN948" s="367"/>
      <c r="AO948" s="367"/>
      <c r="AP948" s="367"/>
      <c r="AQ948" s="367"/>
      <c r="AR948" s="367"/>
      <c r="AS948" s="367"/>
      <c r="AT948" s="368"/>
      <c r="AU948" s="367"/>
    </row>
    <row r="949" spans="1:47" ht="12.75">
      <c r="A949" s="367"/>
      <c r="B949" s="367"/>
      <c r="C949" s="367"/>
      <c r="D949" s="367"/>
      <c r="E949" s="367"/>
      <c r="F949" s="367"/>
      <c r="G949" s="367"/>
      <c r="H949" s="367"/>
      <c r="I949" s="367"/>
      <c r="J949" s="367"/>
      <c r="K949" s="367"/>
      <c r="L949" s="367"/>
      <c r="M949" s="367"/>
      <c r="N949" s="367"/>
      <c r="O949" s="367"/>
      <c r="P949" s="364"/>
      <c r="Q949" s="365"/>
      <c r="R949" s="365"/>
      <c r="S949" s="365"/>
      <c r="T949" s="365"/>
      <c r="U949" s="366"/>
      <c r="V949" s="367"/>
      <c r="W949" s="367"/>
      <c r="X949" s="367"/>
      <c r="Y949" s="367"/>
      <c r="Z949" s="367"/>
      <c r="AA949" s="367"/>
      <c r="AB949" s="367"/>
      <c r="AC949" s="367"/>
      <c r="AD949" s="367"/>
      <c r="AE949" s="367"/>
      <c r="AF949" s="367"/>
      <c r="AG949" s="367"/>
      <c r="AH949" s="367"/>
      <c r="AI949" s="367"/>
      <c r="AJ949" s="367"/>
      <c r="AK949" s="367"/>
      <c r="AL949" s="367"/>
      <c r="AM949" s="367"/>
      <c r="AN949" s="367"/>
      <c r="AO949" s="367"/>
      <c r="AP949" s="367"/>
      <c r="AQ949" s="367"/>
      <c r="AR949" s="367"/>
      <c r="AS949" s="367"/>
      <c r="AT949" s="368"/>
      <c r="AU949" s="367"/>
    </row>
    <row r="950" spans="1:47" ht="12.75">
      <c r="A950" s="367"/>
      <c r="B950" s="367"/>
      <c r="C950" s="367"/>
      <c r="D950" s="367"/>
      <c r="E950" s="367"/>
      <c r="F950" s="367"/>
      <c r="G950" s="367"/>
      <c r="H950" s="367"/>
      <c r="I950" s="367"/>
      <c r="J950" s="367"/>
      <c r="K950" s="367"/>
      <c r="L950" s="367"/>
      <c r="M950" s="367"/>
      <c r="N950" s="367"/>
      <c r="O950" s="367"/>
      <c r="P950" s="364"/>
      <c r="Q950" s="365"/>
      <c r="R950" s="365"/>
      <c r="S950" s="365"/>
      <c r="T950" s="365"/>
      <c r="U950" s="366"/>
      <c r="V950" s="367"/>
      <c r="W950" s="367"/>
      <c r="X950" s="367"/>
      <c r="Y950" s="367"/>
      <c r="Z950" s="367"/>
      <c r="AA950" s="367"/>
      <c r="AB950" s="367"/>
      <c r="AC950" s="367"/>
      <c r="AD950" s="367"/>
      <c r="AE950" s="367"/>
      <c r="AF950" s="367"/>
      <c r="AG950" s="367"/>
      <c r="AH950" s="367"/>
      <c r="AI950" s="367"/>
      <c r="AJ950" s="367"/>
      <c r="AK950" s="367"/>
      <c r="AL950" s="367"/>
      <c r="AM950" s="367"/>
      <c r="AN950" s="367"/>
      <c r="AO950" s="367"/>
      <c r="AP950" s="367"/>
      <c r="AQ950" s="367"/>
      <c r="AR950" s="367"/>
      <c r="AS950" s="367"/>
      <c r="AT950" s="368"/>
      <c r="AU950" s="367"/>
    </row>
    <row r="951" spans="1:47" ht="12.75">
      <c r="A951" s="367"/>
      <c r="B951" s="367"/>
      <c r="C951" s="367"/>
      <c r="D951" s="367"/>
      <c r="E951" s="367"/>
      <c r="F951" s="367"/>
      <c r="G951" s="367"/>
      <c r="H951" s="367"/>
      <c r="I951" s="367"/>
      <c r="J951" s="367"/>
      <c r="K951" s="367"/>
      <c r="L951" s="367"/>
      <c r="M951" s="367"/>
      <c r="N951" s="367"/>
      <c r="O951" s="367"/>
      <c r="P951" s="364"/>
      <c r="Q951" s="365"/>
      <c r="R951" s="365"/>
      <c r="S951" s="365"/>
      <c r="T951" s="365"/>
      <c r="U951" s="366"/>
      <c r="V951" s="367"/>
      <c r="W951" s="367"/>
      <c r="X951" s="367"/>
      <c r="Y951" s="367"/>
      <c r="Z951" s="367"/>
      <c r="AA951" s="367"/>
      <c r="AB951" s="367"/>
      <c r="AC951" s="367"/>
      <c r="AD951" s="367"/>
      <c r="AE951" s="367"/>
      <c r="AF951" s="367"/>
      <c r="AG951" s="367"/>
      <c r="AH951" s="367"/>
      <c r="AI951" s="367"/>
      <c r="AJ951" s="367"/>
      <c r="AK951" s="367"/>
      <c r="AL951" s="367"/>
      <c r="AM951" s="367"/>
      <c r="AN951" s="367"/>
      <c r="AO951" s="367"/>
      <c r="AP951" s="367"/>
      <c r="AQ951" s="367"/>
      <c r="AR951" s="367"/>
      <c r="AS951" s="367"/>
      <c r="AT951" s="368"/>
      <c r="AU951" s="367"/>
    </row>
    <row r="952" spans="1:47" ht="12.75">
      <c r="A952" s="367"/>
      <c r="B952" s="367"/>
      <c r="C952" s="367"/>
      <c r="D952" s="367"/>
      <c r="E952" s="367"/>
      <c r="F952" s="367"/>
      <c r="G952" s="367"/>
      <c r="H952" s="367"/>
      <c r="I952" s="367"/>
      <c r="J952" s="367"/>
      <c r="K952" s="367"/>
      <c r="L952" s="367"/>
      <c r="M952" s="367"/>
      <c r="N952" s="367"/>
      <c r="O952" s="367"/>
      <c r="P952" s="364"/>
      <c r="Q952" s="365"/>
      <c r="R952" s="365"/>
      <c r="S952" s="365"/>
      <c r="T952" s="365"/>
      <c r="U952" s="366"/>
      <c r="V952" s="367"/>
      <c r="W952" s="367"/>
      <c r="X952" s="367"/>
      <c r="Y952" s="367"/>
      <c r="Z952" s="367"/>
      <c r="AA952" s="367"/>
      <c r="AB952" s="367"/>
      <c r="AC952" s="367"/>
      <c r="AD952" s="367"/>
      <c r="AE952" s="367"/>
      <c r="AF952" s="367"/>
      <c r="AG952" s="367"/>
      <c r="AH952" s="367"/>
      <c r="AI952" s="367"/>
      <c r="AJ952" s="367"/>
      <c r="AK952" s="367"/>
      <c r="AL952" s="367"/>
      <c r="AM952" s="367"/>
      <c r="AN952" s="367"/>
      <c r="AO952" s="367"/>
      <c r="AP952" s="367"/>
      <c r="AQ952" s="367"/>
      <c r="AR952" s="367"/>
      <c r="AS952" s="367"/>
      <c r="AT952" s="368"/>
      <c r="AU952" s="367"/>
    </row>
    <row r="953" spans="1:47" ht="12.75">
      <c r="A953" s="367"/>
      <c r="B953" s="367"/>
      <c r="C953" s="367"/>
      <c r="D953" s="367"/>
      <c r="E953" s="367"/>
      <c r="F953" s="367"/>
      <c r="G953" s="367"/>
      <c r="H953" s="367"/>
      <c r="I953" s="367"/>
      <c r="J953" s="367"/>
      <c r="K953" s="367"/>
      <c r="L953" s="367"/>
      <c r="M953" s="367"/>
      <c r="N953" s="367"/>
      <c r="O953" s="367"/>
      <c r="P953" s="364"/>
      <c r="Q953" s="365"/>
      <c r="R953" s="365"/>
      <c r="S953" s="365"/>
      <c r="T953" s="365"/>
      <c r="U953" s="366"/>
      <c r="V953" s="367"/>
      <c r="W953" s="367"/>
      <c r="X953" s="367"/>
      <c r="Y953" s="367"/>
      <c r="Z953" s="367"/>
      <c r="AA953" s="367"/>
      <c r="AB953" s="367"/>
      <c r="AC953" s="367"/>
      <c r="AD953" s="367"/>
      <c r="AE953" s="367"/>
      <c r="AF953" s="367"/>
      <c r="AG953" s="367"/>
      <c r="AH953" s="367"/>
      <c r="AI953" s="367"/>
      <c r="AJ953" s="367"/>
      <c r="AK953" s="367"/>
      <c r="AL953" s="367"/>
      <c r="AM953" s="367"/>
      <c r="AN953" s="367"/>
      <c r="AO953" s="367"/>
      <c r="AP953" s="367"/>
      <c r="AQ953" s="367"/>
      <c r="AR953" s="367"/>
      <c r="AS953" s="367"/>
      <c r="AT953" s="368"/>
      <c r="AU953" s="367"/>
    </row>
    <row r="954" spans="1:47" ht="12.75">
      <c r="A954" s="367"/>
      <c r="B954" s="367"/>
      <c r="C954" s="367"/>
      <c r="D954" s="367"/>
      <c r="E954" s="367"/>
      <c r="F954" s="367"/>
      <c r="G954" s="367"/>
      <c r="H954" s="367"/>
      <c r="I954" s="367"/>
      <c r="J954" s="367"/>
      <c r="K954" s="367"/>
      <c r="L954" s="367"/>
      <c r="M954" s="367"/>
      <c r="N954" s="367"/>
      <c r="O954" s="367"/>
      <c r="P954" s="364"/>
      <c r="Q954" s="365"/>
      <c r="R954" s="365"/>
      <c r="S954" s="365"/>
      <c r="T954" s="365"/>
      <c r="U954" s="366"/>
      <c r="V954" s="367"/>
      <c r="W954" s="367"/>
      <c r="X954" s="367"/>
      <c r="Y954" s="367"/>
      <c r="Z954" s="367"/>
      <c r="AA954" s="367"/>
      <c r="AB954" s="367"/>
      <c r="AC954" s="367"/>
      <c r="AD954" s="367"/>
      <c r="AE954" s="367"/>
      <c r="AF954" s="367"/>
      <c r="AG954" s="367"/>
      <c r="AH954" s="367"/>
      <c r="AI954" s="367"/>
      <c r="AJ954" s="367"/>
      <c r="AK954" s="367"/>
      <c r="AL954" s="367"/>
      <c r="AM954" s="367"/>
      <c r="AN954" s="367"/>
      <c r="AO954" s="367"/>
      <c r="AP954" s="367"/>
      <c r="AQ954" s="367"/>
      <c r="AR954" s="367"/>
      <c r="AS954" s="367"/>
      <c r="AT954" s="368"/>
      <c r="AU954" s="367"/>
    </row>
    <row r="955" spans="1:47" ht="12.75">
      <c r="A955" s="367"/>
      <c r="B955" s="367"/>
      <c r="C955" s="367"/>
      <c r="D955" s="367"/>
      <c r="E955" s="367"/>
      <c r="F955" s="367"/>
      <c r="G955" s="367"/>
      <c r="H955" s="367"/>
      <c r="I955" s="367"/>
      <c r="J955" s="367"/>
      <c r="K955" s="367"/>
      <c r="L955" s="367"/>
      <c r="M955" s="367"/>
      <c r="N955" s="367"/>
      <c r="O955" s="367"/>
      <c r="P955" s="364"/>
      <c r="Q955" s="365"/>
      <c r="R955" s="365"/>
      <c r="S955" s="365"/>
      <c r="T955" s="365"/>
      <c r="U955" s="366"/>
      <c r="V955" s="367"/>
      <c r="W955" s="367"/>
      <c r="X955" s="367"/>
      <c r="Y955" s="367"/>
      <c r="Z955" s="367"/>
      <c r="AA955" s="367"/>
      <c r="AB955" s="367"/>
      <c r="AC955" s="367"/>
      <c r="AD955" s="367"/>
      <c r="AE955" s="367"/>
      <c r="AF955" s="367"/>
      <c r="AG955" s="367"/>
      <c r="AH955" s="367"/>
      <c r="AI955" s="367"/>
      <c r="AJ955" s="367"/>
      <c r="AK955" s="367"/>
      <c r="AL955" s="367"/>
      <c r="AM955" s="367"/>
      <c r="AN955" s="367"/>
      <c r="AO955" s="367"/>
      <c r="AP955" s="367"/>
      <c r="AQ955" s="367"/>
      <c r="AR955" s="367"/>
      <c r="AS955" s="367"/>
      <c r="AT955" s="368"/>
      <c r="AU955" s="367"/>
    </row>
    <row r="956" spans="1:47" ht="12.75">
      <c r="A956" s="367"/>
      <c r="B956" s="367"/>
      <c r="C956" s="367"/>
      <c r="D956" s="367"/>
      <c r="E956" s="367"/>
      <c r="F956" s="367"/>
      <c r="G956" s="367"/>
      <c r="H956" s="367"/>
      <c r="I956" s="367"/>
      <c r="J956" s="367"/>
      <c r="K956" s="367"/>
      <c r="L956" s="367"/>
      <c r="M956" s="367"/>
      <c r="N956" s="367"/>
      <c r="O956" s="367"/>
      <c r="P956" s="364"/>
      <c r="Q956" s="365"/>
      <c r="R956" s="365"/>
      <c r="S956" s="365"/>
      <c r="T956" s="365"/>
      <c r="U956" s="366"/>
      <c r="V956" s="367"/>
      <c r="W956" s="367"/>
      <c r="X956" s="367"/>
      <c r="Y956" s="367"/>
      <c r="Z956" s="367"/>
      <c r="AA956" s="367"/>
      <c r="AB956" s="367"/>
      <c r="AC956" s="367"/>
      <c r="AD956" s="367"/>
      <c r="AE956" s="367"/>
      <c r="AF956" s="367"/>
      <c r="AG956" s="367"/>
      <c r="AH956" s="367"/>
      <c r="AI956" s="367"/>
      <c r="AJ956" s="367"/>
      <c r="AK956" s="367"/>
      <c r="AL956" s="367"/>
      <c r="AM956" s="367"/>
      <c r="AN956" s="367"/>
      <c r="AO956" s="367"/>
      <c r="AP956" s="367"/>
      <c r="AQ956" s="367"/>
      <c r="AR956" s="367"/>
      <c r="AS956" s="367"/>
      <c r="AT956" s="368"/>
      <c r="AU956" s="367"/>
    </row>
    <row r="957" spans="1:47" ht="12.75">
      <c r="A957" s="367"/>
      <c r="B957" s="367"/>
      <c r="C957" s="367"/>
      <c r="D957" s="367"/>
      <c r="E957" s="367"/>
      <c r="F957" s="367"/>
      <c r="G957" s="367"/>
      <c r="H957" s="367"/>
      <c r="I957" s="367"/>
      <c r="J957" s="367"/>
      <c r="K957" s="367"/>
      <c r="L957" s="367"/>
      <c r="M957" s="367"/>
      <c r="N957" s="367"/>
      <c r="O957" s="367"/>
      <c r="P957" s="364"/>
      <c r="Q957" s="365"/>
      <c r="R957" s="365"/>
      <c r="S957" s="365"/>
      <c r="T957" s="365"/>
      <c r="U957" s="366"/>
      <c r="V957" s="367"/>
      <c r="W957" s="367"/>
      <c r="X957" s="367"/>
      <c r="Y957" s="367"/>
      <c r="Z957" s="367"/>
      <c r="AA957" s="367"/>
      <c r="AB957" s="367"/>
      <c r="AC957" s="367"/>
      <c r="AD957" s="367"/>
      <c r="AE957" s="367"/>
      <c r="AF957" s="367"/>
      <c r="AG957" s="367"/>
      <c r="AH957" s="367"/>
      <c r="AI957" s="367"/>
      <c r="AJ957" s="367"/>
      <c r="AK957" s="367"/>
      <c r="AL957" s="367"/>
      <c r="AM957" s="367"/>
      <c r="AN957" s="367"/>
      <c r="AO957" s="367"/>
      <c r="AP957" s="367"/>
      <c r="AQ957" s="367"/>
      <c r="AR957" s="367"/>
      <c r="AS957" s="367"/>
      <c r="AT957" s="368"/>
      <c r="AU957" s="367"/>
    </row>
    <row r="958" spans="1:47" ht="12.75">
      <c r="A958" s="367"/>
      <c r="B958" s="367"/>
      <c r="C958" s="367"/>
      <c r="D958" s="367"/>
      <c r="E958" s="367"/>
      <c r="F958" s="367"/>
      <c r="G958" s="367"/>
      <c r="H958" s="367"/>
      <c r="I958" s="367"/>
      <c r="J958" s="367"/>
      <c r="K958" s="367"/>
      <c r="L958" s="367"/>
      <c r="M958" s="367"/>
      <c r="N958" s="367"/>
      <c r="O958" s="367"/>
      <c r="P958" s="364"/>
      <c r="Q958" s="365"/>
      <c r="R958" s="365"/>
      <c r="S958" s="365"/>
      <c r="T958" s="365"/>
      <c r="U958" s="366"/>
      <c r="V958" s="367"/>
      <c r="W958" s="367"/>
      <c r="X958" s="367"/>
      <c r="Y958" s="367"/>
      <c r="Z958" s="367"/>
      <c r="AA958" s="367"/>
      <c r="AB958" s="367"/>
      <c r="AC958" s="367"/>
      <c r="AD958" s="367"/>
      <c r="AE958" s="367"/>
      <c r="AF958" s="367"/>
      <c r="AG958" s="367"/>
      <c r="AH958" s="367"/>
      <c r="AI958" s="367"/>
      <c r="AJ958" s="367"/>
      <c r="AK958" s="367"/>
      <c r="AL958" s="367"/>
      <c r="AM958" s="367"/>
      <c r="AN958" s="367"/>
      <c r="AO958" s="367"/>
      <c r="AP958" s="367"/>
      <c r="AQ958" s="367"/>
      <c r="AR958" s="367"/>
      <c r="AS958" s="367"/>
      <c r="AT958" s="368"/>
      <c r="AU958" s="367"/>
    </row>
    <row r="959" spans="1:47" ht="12.75">
      <c r="A959" s="367"/>
      <c r="B959" s="367"/>
      <c r="C959" s="367"/>
      <c r="D959" s="367"/>
      <c r="E959" s="367"/>
      <c r="F959" s="367"/>
      <c r="G959" s="367"/>
      <c r="H959" s="367"/>
      <c r="I959" s="367"/>
      <c r="J959" s="367"/>
      <c r="K959" s="367"/>
      <c r="L959" s="367"/>
      <c r="M959" s="367"/>
      <c r="N959" s="367"/>
      <c r="O959" s="367"/>
      <c r="P959" s="364"/>
      <c r="Q959" s="365"/>
      <c r="R959" s="365"/>
      <c r="S959" s="365"/>
      <c r="T959" s="365"/>
      <c r="U959" s="366"/>
      <c r="V959" s="367"/>
      <c r="W959" s="367"/>
      <c r="X959" s="367"/>
      <c r="Y959" s="367"/>
      <c r="Z959" s="367"/>
      <c r="AA959" s="367"/>
      <c r="AB959" s="367"/>
      <c r="AC959" s="367"/>
      <c r="AD959" s="367"/>
      <c r="AE959" s="367"/>
      <c r="AF959" s="367"/>
      <c r="AG959" s="367"/>
      <c r="AH959" s="367"/>
      <c r="AI959" s="367"/>
      <c r="AJ959" s="367"/>
      <c r="AK959" s="367"/>
      <c r="AL959" s="367"/>
      <c r="AM959" s="367"/>
      <c r="AN959" s="367"/>
      <c r="AO959" s="367"/>
      <c r="AP959" s="367"/>
      <c r="AQ959" s="367"/>
      <c r="AR959" s="367"/>
      <c r="AS959" s="367"/>
      <c r="AT959" s="368"/>
      <c r="AU959" s="367"/>
    </row>
    <row r="960" spans="1:47" ht="12.75">
      <c r="A960" s="367"/>
      <c r="B960" s="367"/>
      <c r="C960" s="367"/>
      <c r="D960" s="367"/>
      <c r="E960" s="367"/>
      <c r="F960" s="367"/>
      <c r="G960" s="367"/>
      <c r="H960" s="367"/>
      <c r="I960" s="367"/>
      <c r="J960" s="367"/>
      <c r="K960" s="367"/>
      <c r="L960" s="367"/>
      <c r="M960" s="367"/>
      <c r="N960" s="367"/>
      <c r="O960" s="367"/>
      <c r="P960" s="364"/>
      <c r="Q960" s="365"/>
      <c r="R960" s="365"/>
      <c r="S960" s="365"/>
      <c r="T960" s="365"/>
      <c r="U960" s="366"/>
      <c r="V960" s="367"/>
      <c r="W960" s="367"/>
      <c r="X960" s="367"/>
      <c r="Y960" s="367"/>
      <c r="Z960" s="367"/>
      <c r="AA960" s="367"/>
      <c r="AB960" s="367"/>
      <c r="AC960" s="367"/>
      <c r="AD960" s="367"/>
      <c r="AE960" s="367"/>
      <c r="AF960" s="367"/>
      <c r="AG960" s="367"/>
      <c r="AH960" s="367"/>
      <c r="AI960" s="367"/>
      <c r="AJ960" s="367"/>
      <c r="AK960" s="367"/>
      <c r="AL960" s="367"/>
      <c r="AM960" s="367"/>
      <c r="AN960" s="367"/>
      <c r="AO960" s="367"/>
      <c r="AP960" s="367"/>
      <c r="AQ960" s="367"/>
      <c r="AR960" s="367"/>
      <c r="AS960" s="367"/>
      <c r="AT960" s="368"/>
      <c r="AU960" s="367"/>
    </row>
    <row r="961" spans="1:47" ht="12.75">
      <c r="A961" s="367"/>
      <c r="B961" s="367"/>
      <c r="C961" s="367"/>
      <c r="D961" s="367"/>
      <c r="E961" s="367"/>
      <c r="F961" s="367"/>
      <c r="G961" s="367"/>
      <c r="H961" s="367"/>
      <c r="I961" s="367"/>
      <c r="J961" s="367"/>
      <c r="K961" s="367"/>
      <c r="L961" s="367"/>
      <c r="M961" s="367"/>
      <c r="N961" s="367"/>
      <c r="O961" s="367"/>
      <c r="P961" s="364"/>
      <c r="Q961" s="365"/>
      <c r="R961" s="365"/>
      <c r="S961" s="365"/>
      <c r="T961" s="365"/>
      <c r="U961" s="366"/>
      <c r="V961" s="367"/>
      <c r="W961" s="367"/>
      <c r="X961" s="367"/>
      <c r="Y961" s="367"/>
      <c r="Z961" s="367"/>
      <c r="AA961" s="367"/>
      <c r="AB961" s="367"/>
      <c r="AC961" s="367"/>
      <c r="AD961" s="367"/>
      <c r="AE961" s="367"/>
      <c r="AF961" s="367"/>
      <c r="AG961" s="367"/>
      <c r="AH961" s="367"/>
      <c r="AI961" s="367"/>
      <c r="AJ961" s="367"/>
      <c r="AK961" s="367"/>
      <c r="AL961" s="367"/>
      <c r="AM961" s="367"/>
      <c r="AN961" s="367"/>
      <c r="AO961" s="367"/>
      <c r="AP961" s="367"/>
      <c r="AQ961" s="367"/>
      <c r="AR961" s="367"/>
      <c r="AS961" s="367"/>
      <c r="AT961" s="368"/>
      <c r="AU961" s="367"/>
    </row>
    <row r="962" spans="1:47" ht="12.75">
      <c r="A962" s="367"/>
      <c r="B962" s="367"/>
      <c r="C962" s="367"/>
      <c r="D962" s="367"/>
      <c r="E962" s="367"/>
      <c r="F962" s="367"/>
      <c r="G962" s="367"/>
      <c r="H962" s="367"/>
      <c r="I962" s="367"/>
      <c r="J962" s="367"/>
      <c r="K962" s="367"/>
      <c r="L962" s="367"/>
      <c r="M962" s="367"/>
      <c r="N962" s="367"/>
      <c r="O962" s="367"/>
      <c r="P962" s="364"/>
      <c r="Q962" s="365"/>
      <c r="R962" s="365"/>
      <c r="S962" s="365"/>
      <c r="T962" s="365"/>
      <c r="U962" s="366"/>
      <c r="V962" s="367"/>
      <c r="W962" s="367"/>
      <c r="X962" s="367"/>
      <c r="Y962" s="367"/>
      <c r="Z962" s="367"/>
      <c r="AA962" s="367"/>
      <c r="AB962" s="367"/>
      <c r="AC962" s="367"/>
      <c r="AD962" s="367"/>
      <c r="AE962" s="367"/>
      <c r="AF962" s="367"/>
      <c r="AG962" s="367"/>
      <c r="AH962" s="367"/>
      <c r="AI962" s="367"/>
      <c r="AJ962" s="367"/>
      <c r="AK962" s="367"/>
      <c r="AL962" s="367"/>
      <c r="AM962" s="367"/>
      <c r="AN962" s="367"/>
      <c r="AO962" s="367"/>
      <c r="AP962" s="367"/>
      <c r="AQ962" s="367"/>
      <c r="AR962" s="367"/>
      <c r="AS962" s="367"/>
      <c r="AT962" s="368"/>
      <c r="AU962" s="367"/>
    </row>
    <row r="963" spans="1:47" ht="12.75">
      <c r="A963" s="367"/>
      <c r="B963" s="367"/>
      <c r="C963" s="367"/>
      <c r="D963" s="367"/>
      <c r="E963" s="367"/>
      <c r="F963" s="367"/>
      <c r="G963" s="367"/>
      <c r="H963" s="367"/>
      <c r="I963" s="367"/>
      <c r="J963" s="367"/>
      <c r="K963" s="367"/>
      <c r="L963" s="367"/>
      <c r="M963" s="367"/>
      <c r="N963" s="367"/>
      <c r="O963" s="367"/>
      <c r="P963" s="364"/>
      <c r="Q963" s="365"/>
      <c r="R963" s="365"/>
      <c r="S963" s="365"/>
      <c r="T963" s="365"/>
      <c r="U963" s="366"/>
      <c r="V963" s="367"/>
      <c r="W963" s="367"/>
      <c r="X963" s="367"/>
      <c r="Y963" s="367"/>
      <c r="Z963" s="367"/>
      <c r="AA963" s="367"/>
      <c r="AB963" s="367"/>
      <c r="AC963" s="367"/>
      <c r="AD963" s="367"/>
      <c r="AE963" s="367"/>
      <c r="AF963" s="367"/>
      <c r="AG963" s="367"/>
      <c r="AH963" s="367"/>
      <c r="AI963" s="367"/>
      <c r="AJ963" s="367"/>
      <c r="AK963" s="367"/>
      <c r="AL963" s="367"/>
      <c r="AM963" s="367"/>
      <c r="AN963" s="367"/>
      <c r="AO963" s="367"/>
      <c r="AP963" s="367"/>
      <c r="AQ963" s="367"/>
      <c r="AR963" s="367"/>
      <c r="AS963" s="367"/>
      <c r="AT963" s="368"/>
      <c r="AU963" s="367"/>
    </row>
    <row r="964" spans="1:47" ht="12.75">
      <c r="A964" s="367"/>
      <c r="B964" s="367"/>
      <c r="C964" s="367"/>
      <c r="D964" s="367"/>
      <c r="E964" s="367"/>
      <c r="F964" s="367"/>
      <c r="G964" s="367"/>
      <c r="H964" s="367"/>
      <c r="I964" s="367"/>
      <c r="J964" s="367"/>
      <c r="K964" s="367"/>
      <c r="L964" s="367"/>
      <c r="M964" s="367"/>
      <c r="N964" s="367"/>
      <c r="O964" s="367"/>
      <c r="P964" s="364"/>
      <c r="Q964" s="365"/>
      <c r="R964" s="365"/>
      <c r="S964" s="365"/>
      <c r="T964" s="365"/>
      <c r="U964" s="366"/>
      <c r="V964" s="367"/>
      <c r="W964" s="367"/>
      <c r="X964" s="367"/>
      <c r="Y964" s="367"/>
      <c r="Z964" s="367"/>
      <c r="AA964" s="367"/>
      <c r="AB964" s="367"/>
      <c r="AC964" s="367"/>
      <c r="AD964" s="367"/>
      <c r="AE964" s="367"/>
      <c r="AF964" s="367"/>
      <c r="AG964" s="367"/>
      <c r="AH964" s="367"/>
      <c r="AI964" s="367"/>
      <c r="AJ964" s="367"/>
      <c r="AK964" s="367"/>
      <c r="AL964" s="367"/>
      <c r="AM964" s="367"/>
      <c r="AN964" s="367"/>
      <c r="AO964" s="367"/>
      <c r="AP964" s="367"/>
      <c r="AQ964" s="367"/>
      <c r="AR964" s="367"/>
      <c r="AS964" s="367"/>
      <c r="AT964" s="368"/>
      <c r="AU964" s="367"/>
    </row>
    <row r="965" spans="1:47" ht="12.75">
      <c r="A965" s="367"/>
      <c r="B965" s="367"/>
      <c r="C965" s="367"/>
      <c r="D965" s="367"/>
      <c r="E965" s="367"/>
      <c r="F965" s="367"/>
      <c r="G965" s="367"/>
      <c r="H965" s="367"/>
      <c r="I965" s="367"/>
      <c r="J965" s="367"/>
      <c r="K965" s="367"/>
      <c r="L965" s="367"/>
      <c r="M965" s="367"/>
      <c r="N965" s="367"/>
      <c r="O965" s="367"/>
      <c r="P965" s="364"/>
      <c r="Q965" s="365"/>
      <c r="R965" s="365"/>
      <c r="S965" s="365"/>
      <c r="T965" s="365"/>
      <c r="U965" s="366"/>
      <c r="V965" s="367"/>
      <c r="W965" s="367"/>
      <c r="X965" s="367"/>
      <c r="Y965" s="367"/>
      <c r="Z965" s="367"/>
      <c r="AA965" s="367"/>
      <c r="AB965" s="367"/>
      <c r="AC965" s="367"/>
      <c r="AD965" s="367"/>
      <c r="AE965" s="367"/>
      <c r="AF965" s="367"/>
      <c r="AG965" s="367"/>
      <c r="AH965" s="367"/>
      <c r="AI965" s="367"/>
      <c r="AJ965" s="367"/>
      <c r="AK965" s="367"/>
      <c r="AL965" s="367"/>
      <c r="AM965" s="367"/>
      <c r="AN965" s="367"/>
      <c r="AO965" s="367"/>
      <c r="AP965" s="367"/>
      <c r="AQ965" s="367"/>
      <c r="AR965" s="367"/>
      <c r="AS965" s="367"/>
      <c r="AT965" s="368"/>
      <c r="AU965" s="367"/>
    </row>
    <row r="966" spans="1:47" ht="12.75">
      <c r="A966" s="367"/>
      <c r="B966" s="367"/>
      <c r="C966" s="367"/>
      <c r="D966" s="367"/>
      <c r="E966" s="367"/>
      <c r="F966" s="367"/>
      <c r="G966" s="367"/>
      <c r="H966" s="367"/>
      <c r="I966" s="367"/>
      <c r="J966" s="367"/>
      <c r="K966" s="367"/>
      <c r="L966" s="367"/>
      <c r="M966" s="367"/>
      <c r="N966" s="367"/>
      <c r="O966" s="367"/>
      <c r="P966" s="364"/>
      <c r="Q966" s="365"/>
      <c r="R966" s="365"/>
      <c r="S966" s="365"/>
      <c r="T966" s="365"/>
      <c r="U966" s="366"/>
      <c r="V966" s="367"/>
      <c r="W966" s="367"/>
      <c r="X966" s="367"/>
      <c r="Y966" s="367"/>
      <c r="Z966" s="367"/>
      <c r="AA966" s="367"/>
      <c r="AB966" s="367"/>
      <c r="AC966" s="367"/>
      <c r="AD966" s="367"/>
      <c r="AE966" s="367"/>
      <c r="AF966" s="367"/>
      <c r="AG966" s="367"/>
      <c r="AH966" s="367"/>
      <c r="AI966" s="367"/>
      <c r="AJ966" s="367"/>
      <c r="AK966" s="367"/>
      <c r="AL966" s="367"/>
      <c r="AM966" s="367"/>
      <c r="AN966" s="367"/>
      <c r="AO966" s="367"/>
      <c r="AP966" s="367"/>
      <c r="AQ966" s="367"/>
      <c r="AR966" s="367"/>
      <c r="AS966" s="367"/>
      <c r="AT966" s="368"/>
      <c r="AU966" s="367"/>
    </row>
    <row r="967" spans="1:47" ht="12.75">
      <c r="A967" s="367"/>
      <c r="B967" s="367"/>
      <c r="C967" s="367"/>
      <c r="D967" s="367"/>
      <c r="E967" s="367"/>
      <c r="F967" s="367"/>
      <c r="G967" s="367"/>
      <c r="H967" s="367"/>
      <c r="I967" s="367"/>
      <c r="J967" s="367"/>
      <c r="K967" s="367"/>
      <c r="L967" s="367"/>
      <c r="M967" s="367"/>
      <c r="N967" s="367"/>
      <c r="O967" s="367"/>
      <c r="P967" s="364"/>
      <c r="Q967" s="365"/>
      <c r="R967" s="365"/>
      <c r="S967" s="365"/>
      <c r="T967" s="365"/>
      <c r="U967" s="366"/>
      <c r="V967" s="367"/>
      <c r="W967" s="367"/>
      <c r="X967" s="367"/>
      <c r="Y967" s="367"/>
      <c r="Z967" s="367"/>
      <c r="AA967" s="367"/>
      <c r="AB967" s="367"/>
      <c r="AC967" s="367"/>
      <c r="AD967" s="367"/>
      <c r="AE967" s="367"/>
      <c r="AF967" s="367"/>
      <c r="AG967" s="367"/>
      <c r="AH967" s="367"/>
      <c r="AI967" s="367"/>
      <c r="AJ967" s="367"/>
      <c r="AK967" s="367"/>
      <c r="AL967" s="367"/>
      <c r="AM967" s="367"/>
      <c r="AN967" s="367"/>
      <c r="AO967" s="367"/>
      <c r="AP967" s="367"/>
      <c r="AQ967" s="367"/>
      <c r="AR967" s="367"/>
      <c r="AS967" s="367"/>
      <c r="AT967" s="368"/>
      <c r="AU967" s="367"/>
    </row>
    <row r="968" spans="1:47" ht="12.75">
      <c r="A968" s="367"/>
      <c r="B968" s="367"/>
      <c r="C968" s="367"/>
      <c r="D968" s="367"/>
      <c r="E968" s="367"/>
      <c r="F968" s="367"/>
      <c r="G968" s="367"/>
      <c r="H968" s="367"/>
      <c r="I968" s="367"/>
      <c r="J968" s="367"/>
      <c r="K968" s="367"/>
      <c r="L968" s="367"/>
      <c r="M968" s="367"/>
      <c r="N968" s="367"/>
      <c r="O968" s="367"/>
      <c r="P968" s="364"/>
      <c r="Q968" s="365"/>
      <c r="R968" s="365"/>
      <c r="S968" s="365"/>
      <c r="T968" s="365"/>
      <c r="U968" s="366"/>
      <c r="V968" s="367"/>
      <c r="W968" s="367"/>
      <c r="X968" s="367"/>
      <c r="Y968" s="367"/>
      <c r="Z968" s="367"/>
      <c r="AA968" s="367"/>
      <c r="AB968" s="367"/>
      <c r="AC968" s="367"/>
      <c r="AD968" s="367"/>
      <c r="AE968" s="367"/>
      <c r="AF968" s="367"/>
      <c r="AG968" s="367"/>
      <c r="AH968" s="367"/>
      <c r="AI968" s="367"/>
      <c r="AJ968" s="367"/>
      <c r="AK968" s="367"/>
      <c r="AL968" s="367"/>
      <c r="AM968" s="367"/>
      <c r="AN968" s="367"/>
      <c r="AO968" s="367"/>
      <c r="AP968" s="367"/>
      <c r="AQ968" s="367"/>
      <c r="AR968" s="367"/>
      <c r="AS968" s="367"/>
      <c r="AT968" s="368"/>
      <c r="AU968" s="367"/>
    </row>
    <row r="969" spans="1:47" ht="12.75">
      <c r="A969" s="367"/>
      <c r="B969" s="367"/>
      <c r="C969" s="367"/>
      <c r="D969" s="367"/>
      <c r="E969" s="367"/>
      <c r="F969" s="367"/>
      <c r="G969" s="367"/>
      <c r="H969" s="367"/>
      <c r="I969" s="367"/>
      <c r="J969" s="367"/>
      <c r="K969" s="367"/>
      <c r="L969" s="367"/>
      <c r="M969" s="367"/>
      <c r="N969" s="367"/>
      <c r="O969" s="367"/>
      <c r="P969" s="364"/>
      <c r="Q969" s="365"/>
      <c r="R969" s="365"/>
      <c r="S969" s="365"/>
      <c r="T969" s="365"/>
      <c r="U969" s="366"/>
      <c r="V969" s="367"/>
      <c r="W969" s="367"/>
      <c r="X969" s="367"/>
      <c r="Y969" s="367"/>
      <c r="Z969" s="367"/>
      <c r="AA969" s="367"/>
      <c r="AB969" s="367"/>
      <c r="AC969" s="367"/>
      <c r="AD969" s="367"/>
      <c r="AE969" s="367"/>
      <c r="AF969" s="367"/>
      <c r="AG969" s="367"/>
      <c r="AH969" s="367"/>
      <c r="AI969" s="367"/>
      <c r="AJ969" s="367"/>
      <c r="AK969" s="367"/>
      <c r="AL969" s="367"/>
      <c r="AM969" s="367"/>
      <c r="AN969" s="367"/>
      <c r="AO969" s="367"/>
      <c r="AP969" s="367"/>
      <c r="AQ969" s="367"/>
      <c r="AR969" s="367"/>
      <c r="AS969" s="367"/>
      <c r="AT969" s="368"/>
      <c r="AU969" s="367"/>
    </row>
    <row r="970" spans="1:47" ht="12.75">
      <c r="A970" s="367"/>
      <c r="B970" s="367"/>
      <c r="C970" s="367"/>
      <c r="D970" s="367"/>
      <c r="E970" s="367"/>
      <c r="F970" s="367"/>
      <c r="G970" s="367"/>
      <c r="H970" s="367"/>
      <c r="I970" s="367"/>
      <c r="J970" s="367"/>
      <c r="K970" s="367"/>
      <c r="L970" s="367"/>
      <c r="M970" s="367"/>
      <c r="N970" s="367"/>
      <c r="O970" s="367"/>
      <c r="P970" s="364"/>
      <c r="Q970" s="365"/>
      <c r="R970" s="365"/>
      <c r="S970" s="365"/>
      <c r="T970" s="365"/>
      <c r="U970" s="366"/>
      <c r="V970" s="367"/>
      <c r="W970" s="367"/>
      <c r="X970" s="367"/>
      <c r="Y970" s="367"/>
      <c r="Z970" s="367"/>
      <c r="AA970" s="367"/>
      <c r="AB970" s="367"/>
      <c r="AC970" s="367"/>
      <c r="AD970" s="367"/>
      <c r="AE970" s="367"/>
      <c r="AF970" s="367"/>
      <c r="AG970" s="367"/>
      <c r="AH970" s="367"/>
      <c r="AI970" s="367"/>
      <c r="AJ970" s="367"/>
      <c r="AK970" s="367"/>
      <c r="AL970" s="367"/>
      <c r="AM970" s="367"/>
      <c r="AN970" s="367"/>
      <c r="AO970" s="367"/>
      <c r="AP970" s="367"/>
      <c r="AQ970" s="367"/>
      <c r="AR970" s="367"/>
      <c r="AS970" s="367"/>
      <c r="AT970" s="368"/>
      <c r="AU970" s="367"/>
    </row>
    <row r="971" spans="1:47" ht="12.75">
      <c r="A971" s="367"/>
      <c r="B971" s="367"/>
      <c r="C971" s="367"/>
      <c r="D971" s="367"/>
      <c r="E971" s="367"/>
      <c r="F971" s="367"/>
      <c r="G971" s="367"/>
      <c r="H971" s="367"/>
      <c r="I971" s="367"/>
      <c r="J971" s="367"/>
      <c r="K971" s="367"/>
      <c r="L971" s="367"/>
      <c r="M971" s="367"/>
      <c r="N971" s="367"/>
      <c r="O971" s="367"/>
      <c r="P971" s="364"/>
      <c r="Q971" s="365"/>
      <c r="R971" s="365"/>
      <c r="S971" s="365"/>
      <c r="T971" s="365"/>
      <c r="U971" s="366"/>
      <c r="V971" s="367"/>
      <c r="W971" s="367"/>
      <c r="X971" s="367"/>
      <c r="Y971" s="367"/>
      <c r="Z971" s="367"/>
      <c r="AA971" s="367"/>
      <c r="AB971" s="367"/>
      <c r="AC971" s="367"/>
      <c r="AD971" s="367"/>
      <c r="AE971" s="367"/>
      <c r="AF971" s="367"/>
      <c r="AG971" s="367"/>
      <c r="AH971" s="367"/>
      <c r="AI971" s="367"/>
      <c r="AJ971" s="367"/>
      <c r="AK971" s="367"/>
      <c r="AL971" s="367"/>
      <c r="AM971" s="367"/>
      <c r="AN971" s="367"/>
      <c r="AO971" s="367"/>
      <c r="AP971" s="367"/>
      <c r="AQ971" s="367"/>
      <c r="AR971" s="367"/>
      <c r="AS971" s="367"/>
      <c r="AT971" s="368"/>
      <c r="AU971" s="367"/>
    </row>
    <row r="972" spans="1:47" ht="12.75">
      <c r="A972" s="367"/>
      <c r="B972" s="367"/>
      <c r="C972" s="367"/>
      <c r="D972" s="367"/>
      <c r="E972" s="367"/>
      <c r="F972" s="367"/>
      <c r="G972" s="367"/>
      <c r="H972" s="367"/>
      <c r="I972" s="367"/>
      <c r="J972" s="367"/>
      <c r="K972" s="367"/>
      <c r="L972" s="367"/>
      <c r="M972" s="367"/>
      <c r="N972" s="367"/>
      <c r="O972" s="367"/>
      <c r="P972" s="364"/>
      <c r="Q972" s="365"/>
      <c r="R972" s="365"/>
      <c r="S972" s="365"/>
      <c r="T972" s="365"/>
      <c r="U972" s="366"/>
      <c r="V972" s="367"/>
      <c r="W972" s="367"/>
      <c r="X972" s="367"/>
      <c r="Y972" s="367"/>
      <c r="Z972" s="367"/>
      <c r="AA972" s="367"/>
      <c r="AB972" s="367"/>
      <c r="AC972" s="367"/>
      <c r="AD972" s="367"/>
      <c r="AE972" s="367"/>
      <c r="AF972" s="367"/>
      <c r="AG972" s="367"/>
      <c r="AH972" s="367"/>
      <c r="AI972" s="367"/>
      <c r="AJ972" s="367"/>
      <c r="AK972" s="367"/>
      <c r="AL972" s="367"/>
      <c r="AM972" s="367"/>
      <c r="AN972" s="367"/>
      <c r="AO972" s="367"/>
      <c r="AP972" s="367"/>
      <c r="AQ972" s="367"/>
      <c r="AR972" s="367"/>
      <c r="AS972" s="367"/>
      <c r="AT972" s="368"/>
      <c r="AU972" s="367"/>
    </row>
    <row r="973" spans="1:47" ht="12.75">
      <c r="A973" s="367"/>
      <c r="B973" s="367"/>
      <c r="C973" s="367"/>
      <c r="D973" s="367"/>
      <c r="E973" s="367"/>
      <c r="F973" s="367"/>
      <c r="G973" s="367"/>
      <c r="H973" s="367"/>
      <c r="I973" s="367"/>
      <c r="J973" s="367"/>
      <c r="K973" s="367"/>
      <c r="L973" s="367"/>
      <c r="M973" s="367"/>
      <c r="N973" s="367"/>
      <c r="O973" s="367"/>
      <c r="P973" s="364"/>
      <c r="Q973" s="365"/>
      <c r="R973" s="365"/>
      <c r="S973" s="365"/>
      <c r="T973" s="365"/>
      <c r="U973" s="366"/>
      <c r="V973" s="367"/>
      <c r="W973" s="367"/>
      <c r="X973" s="367"/>
      <c r="Y973" s="367"/>
      <c r="Z973" s="367"/>
      <c r="AA973" s="367"/>
      <c r="AB973" s="367"/>
      <c r="AC973" s="367"/>
      <c r="AD973" s="367"/>
      <c r="AE973" s="367"/>
      <c r="AF973" s="367"/>
      <c r="AG973" s="367"/>
      <c r="AH973" s="367"/>
      <c r="AI973" s="367"/>
      <c r="AJ973" s="367"/>
      <c r="AK973" s="367"/>
      <c r="AL973" s="367"/>
      <c r="AM973" s="367"/>
      <c r="AN973" s="367"/>
      <c r="AO973" s="367"/>
      <c r="AP973" s="367"/>
      <c r="AQ973" s="367"/>
      <c r="AR973" s="367"/>
      <c r="AS973" s="367"/>
      <c r="AT973" s="368"/>
      <c r="AU973" s="367"/>
    </row>
    <row r="974" spans="1:47" ht="12.75">
      <c r="A974" s="367"/>
      <c r="B974" s="367"/>
      <c r="C974" s="367"/>
      <c r="D974" s="367"/>
      <c r="E974" s="367"/>
      <c r="F974" s="367"/>
      <c r="G974" s="367"/>
      <c r="H974" s="367"/>
      <c r="I974" s="367"/>
      <c r="J974" s="367"/>
      <c r="K974" s="367"/>
      <c r="L974" s="367"/>
      <c r="M974" s="367"/>
      <c r="N974" s="367"/>
      <c r="O974" s="367"/>
      <c r="P974" s="364"/>
      <c r="Q974" s="365"/>
      <c r="R974" s="365"/>
      <c r="S974" s="365"/>
      <c r="T974" s="365"/>
      <c r="U974" s="366"/>
      <c r="V974" s="367"/>
      <c r="W974" s="367"/>
      <c r="X974" s="367"/>
      <c r="Y974" s="367"/>
      <c r="Z974" s="367"/>
      <c r="AA974" s="367"/>
      <c r="AB974" s="367"/>
      <c r="AC974" s="367"/>
      <c r="AD974" s="367"/>
      <c r="AE974" s="367"/>
      <c r="AF974" s="367"/>
      <c r="AG974" s="367"/>
      <c r="AH974" s="367"/>
      <c r="AI974" s="367"/>
      <c r="AJ974" s="367"/>
      <c r="AK974" s="367"/>
      <c r="AL974" s="367"/>
      <c r="AM974" s="367"/>
      <c r="AN974" s="367"/>
      <c r="AO974" s="367"/>
      <c r="AP974" s="367"/>
      <c r="AQ974" s="367"/>
      <c r="AR974" s="367"/>
      <c r="AS974" s="367"/>
      <c r="AT974" s="368"/>
      <c r="AU974" s="367"/>
    </row>
    <row r="975" spans="1:47" ht="12.75">
      <c r="A975" s="367"/>
      <c r="B975" s="367"/>
      <c r="C975" s="367"/>
      <c r="D975" s="367"/>
      <c r="E975" s="367"/>
      <c r="F975" s="367"/>
      <c r="G975" s="367"/>
      <c r="H975" s="367"/>
      <c r="I975" s="367"/>
      <c r="J975" s="367"/>
      <c r="K975" s="367"/>
      <c r="L975" s="367"/>
      <c r="M975" s="367"/>
      <c r="N975" s="367"/>
      <c r="O975" s="367"/>
      <c r="P975" s="364"/>
      <c r="Q975" s="365"/>
      <c r="R975" s="365"/>
      <c r="S975" s="365"/>
      <c r="T975" s="365"/>
      <c r="U975" s="366"/>
      <c r="V975" s="367"/>
      <c r="W975" s="367"/>
      <c r="X975" s="367"/>
      <c r="Y975" s="367"/>
      <c r="Z975" s="367"/>
      <c r="AA975" s="367"/>
      <c r="AB975" s="367"/>
      <c r="AC975" s="367"/>
      <c r="AD975" s="367"/>
      <c r="AE975" s="367"/>
      <c r="AF975" s="367"/>
      <c r="AG975" s="367"/>
      <c r="AH975" s="367"/>
      <c r="AI975" s="367"/>
      <c r="AJ975" s="367"/>
      <c r="AK975" s="367"/>
      <c r="AL975" s="367"/>
      <c r="AM975" s="367"/>
      <c r="AN975" s="367"/>
      <c r="AO975" s="367"/>
      <c r="AP975" s="367"/>
      <c r="AQ975" s="367"/>
      <c r="AR975" s="367"/>
      <c r="AS975" s="367"/>
      <c r="AT975" s="368"/>
      <c r="AU975" s="367"/>
    </row>
    <row r="976" spans="1:47" ht="12.75">
      <c r="A976" s="367"/>
      <c r="B976" s="367"/>
      <c r="C976" s="367"/>
      <c r="D976" s="367"/>
      <c r="E976" s="367"/>
      <c r="F976" s="367"/>
      <c r="G976" s="367"/>
      <c r="H976" s="367"/>
      <c r="I976" s="367"/>
      <c r="J976" s="367"/>
      <c r="K976" s="367"/>
      <c r="L976" s="367"/>
      <c r="M976" s="367"/>
      <c r="N976" s="367"/>
      <c r="O976" s="367"/>
      <c r="P976" s="364"/>
      <c r="Q976" s="365"/>
      <c r="R976" s="365"/>
      <c r="S976" s="365"/>
      <c r="T976" s="365"/>
      <c r="U976" s="366"/>
      <c r="V976" s="367"/>
      <c r="W976" s="367"/>
      <c r="X976" s="367"/>
      <c r="Y976" s="367"/>
      <c r="Z976" s="367"/>
      <c r="AA976" s="367"/>
      <c r="AB976" s="367"/>
      <c r="AC976" s="367"/>
      <c r="AD976" s="367"/>
      <c r="AE976" s="367"/>
      <c r="AF976" s="367"/>
      <c r="AG976" s="367"/>
      <c r="AH976" s="367"/>
      <c r="AI976" s="367"/>
      <c r="AJ976" s="367"/>
      <c r="AK976" s="367"/>
      <c r="AL976" s="367"/>
      <c r="AM976" s="367"/>
      <c r="AN976" s="367"/>
      <c r="AO976" s="367"/>
      <c r="AP976" s="367"/>
      <c r="AQ976" s="367"/>
      <c r="AR976" s="367"/>
      <c r="AS976" s="367"/>
      <c r="AT976" s="368"/>
      <c r="AU976" s="367"/>
    </row>
    <row r="977" spans="1:47" ht="12.75">
      <c r="A977" s="367"/>
      <c r="B977" s="367"/>
      <c r="C977" s="367"/>
      <c r="D977" s="367"/>
      <c r="E977" s="367"/>
      <c r="F977" s="367"/>
      <c r="G977" s="367"/>
      <c r="H977" s="367"/>
      <c r="I977" s="367"/>
      <c r="J977" s="367"/>
      <c r="K977" s="367"/>
      <c r="L977" s="367"/>
      <c r="M977" s="367"/>
      <c r="N977" s="367"/>
      <c r="O977" s="367"/>
      <c r="P977" s="364"/>
      <c r="Q977" s="365"/>
      <c r="R977" s="365"/>
      <c r="S977" s="365"/>
      <c r="T977" s="365"/>
      <c r="U977" s="366"/>
      <c r="V977" s="367"/>
      <c r="W977" s="367"/>
      <c r="X977" s="367"/>
      <c r="Y977" s="367"/>
      <c r="Z977" s="367"/>
      <c r="AA977" s="367"/>
      <c r="AB977" s="367"/>
      <c r="AC977" s="367"/>
      <c r="AD977" s="367"/>
      <c r="AE977" s="367"/>
      <c r="AF977" s="367"/>
      <c r="AG977" s="367"/>
      <c r="AH977" s="367"/>
      <c r="AI977" s="367"/>
      <c r="AJ977" s="367"/>
      <c r="AK977" s="367"/>
      <c r="AL977" s="367"/>
      <c r="AM977" s="367"/>
      <c r="AN977" s="367"/>
      <c r="AO977" s="367"/>
      <c r="AP977" s="367"/>
      <c r="AQ977" s="367"/>
      <c r="AR977" s="367"/>
      <c r="AS977" s="367"/>
      <c r="AT977" s="368"/>
      <c r="AU977" s="367"/>
    </row>
    <row r="978" spans="1:47" ht="12.75">
      <c r="A978" s="367"/>
      <c r="B978" s="367"/>
      <c r="C978" s="367"/>
      <c r="D978" s="367"/>
      <c r="E978" s="367"/>
      <c r="F978" s="367"/>
      <c r="G978" s="367"/>
      <c r="H978" s="367"/>
      <c r="I978" s="367"/>
      <c r="J978" s="367"/>
      <c r="K978" s="367"/>
      <c r="L978" s="367"/>
      <c r="M978" s="367"/>
      <c r="N978" s="367"/>
      <c r="O978" s="367"/>
      <c r="P978" s="364"/>
      <c r="Q978" s="365"/>
      <c r="R978" s="365"/>
      <c r="S978" s="365"/>
      <c r="T978" s="365"/>
      <c r="U978" s="366"/>
      <c r="V978" s="367"/>
      <c r="W978" s="367"/>
      <c r="X978" s="367"/>
      <c r="Y978" s="367"/>
      <c r="Z978" s="367"/>
      <c r="AA978" s="367"/>
      <c r="AB978" s="367"/>
      <c r="AC978" s="367"/>
      <c r="AD978" s="367"/>
      <c r="AE978" s="367"/>
      <c r="AF978" s="367"/>
      <c r="AG978" s="367"/>
      <c r="AH978" s="367"/>
      <c r="AI978" s="367"/>
      <c r="AJ978" s="367"/>
      <c r="AK978" s="367"/>
      <c r="AL978" s="367"/>
      <c r="AM978" s="367"/>
      <c r="AN978" s="367"/>
      <c r="AO978" s="367"/>
      <c r="AP978" s="367"/>
      <c r="AQ978" s="367"/>
      <c r="AR978" s="367"/>
      <c r="AS978" s="367"/>
      <c r="AT978" s="368"/>
      <c r="AU978" s="367"/>
    </row>
    <row r="979" spans="1:47" ht="12.75">
      <c r="A979" s="367"/>
      <c r="B979" s="367"/>
      <c r="C979" s="367"/>
      <c r="D979" s="367"/>
      <c r="E979" s="367"/>
      <c r="F979" s="367"/>
      <c r="G979" s="367"/>
      <c r="H979" s="367"/>
      <c r="I979" s="367"/>
      <c r="J979" s="367"/>
      <c r="K979" s="367"/>
      <c r="L979" s="367"/>
      <c r="M979" s="367"/>
      <c r="N979" s="367"/>
      <c r="O979" s="367"/>
      <c r="P979" s="364"/>
      <c r="Q979" s="365"/>
      <c r="R979" s="365"/>
      <c r="S979" s="365"/>
      <c r="T979" s="365"/>
      <c r="U979" s="366"/>
      <c r="V979" s="367"/>
      <c r="W979" s="367"/>
      <c r="X979" s="367"/>
      <c r="Y979" s="367"/>
      <c r="Z979" s="367"/>
      <c r="AA979" s="367"/>
      <c r="AB979" s="367"/>
      <c r="AC979" s="367"/>
      <c r="AD979" s="367"/>
      <c r="AE979" s="367"/>
      <c r="AF979" s="367"/>
      <c r="AG979" s="367"/>
      <c r="AH979" s="367"/>
      <c r="AI979" s="367"/>
      <c r="AJ979" s="367"/>
      <c r="AK979" s="367"/>
      <c r="AL979" s="367"/>
      <c r="AM979" s="367"/>
      <c r="AN979" s="367"/>
      <c r="AO979" s="367"/>
      <c r="AP979" s="367"/>
      <c r="AQ979" s="367"/>
      <c r="AR979" s="367"/>
      <c r="AS979" s="367"/>
      <c r="AT979" s="368"/>
      <c r="AU979" s="367"/>
    </row>
    <row r="980" spans="1:47" ht="12.75">
      <c r="A980" s="367"/>
      <c r="B980" s="367"/>
      <c r="C980" s="367"/>
      <c r="D980" s="367"/>
      <c r="E980" s="367"/>
      <c r="F980" s="367"/>
      <c r="G980" s="367"/>
      <c r="H980" s="367"/>
      <c r="I980" s="367"/>
      <c r="J980" s="367"/>
      <c r="K980" s="367"/>
      <c r="L980" s="367"/>
      <c r="M980" s="367"/>
      <c r="N980" s="367"/>
      <c r="O980" s="367"/>
      <c r="P980" s="364"/>
      <c r="Q980" s="365"/>
      <c r="R980" s="365"/>
      <c r="S980" s="365"/>
      <c r="T980" s="365"/>
      <c r="U980" s="366"/>
      <c r="V980" s="367"/>
      <c r="W980" s="367"/>
      <c r="X980" s="367"/>
      <c r="Y980" s="367"/>
      <c r="Z980" s="367"/>
      <c r="AA980" s="367"/>
      <c r="AB980" s="367"/>
      <c r="AC980" s="367"/>
      <c r="AD980" s="367"/>
      <c r="AE980" s="367"/>
      <c r="AF980" s="367"/>
      <c r="AG980" s="367"/>
      <c r="AH980" s="367"/>
      <c r="AI980" s="367"/>
      <c r="AJ980" s="367"/>
      <c r="AK980" s="367"/>
      <c r="AL980" s="367"/>
      <c r="AM980" s="367"/>
      <c r="AN980" s="367"/>
      <c r="AO980" s="367"/>
      <c r="AP980" s="367"/>
      <c r="AQ980" s="367"/>
      <c r="AR980" s="367"/>
      <c r="AS980" s="367"/>
      <c r="AT980" s="368"/>
      <c r="AU980" s="367"/>
    </row>
    <row r="981" spans="1:47" ht="12.75">
      <c r="A981" s="367"/>
      <c r="B981" s="367"/>
      <c r="C981" s="367"/>
      <c r="D981" s="367"/>
      <c r="E981" s="367"/>
      <c r="F981" s="367"/>
      <c r="G981" s="367"/>
      <c r="H981" s="367"/>
      <c r="I981" s="367"/>
      <c r="J981" s="367"/>
      <c r="K981" s="367"/>
      <c r="L981" s="367"/>
      <c r="M981" s="367"/>
      <c r="N981" s="367"/>
      <c r="O981" s="367"/>
      <c r="P981" s="364"/>
      <c r="Q981" s="365"/>
      <c r="R981" s="365"/>
      <c r="S981" s="365"/>
      <c r="T981" s="365"/>
      <c r="U981" s="366"/>
      <c r="V981" s="367"/>
      <c r="W981" s="367"/>
      <c r="X981" s="367"/>
      <c r="Y981" s="367"/>
      <c r="Z981" s="367"/>
      <c r="AA981" s="367"/>
      <c r="AB981" s="367"/>
      <c r="AC981" s="367"/>
      <c r="AD981" s="367"/>
      <c r="AE981" s="367"/>
      <c r="AF981" s="367"/>
      <c r="AG981" s="367"/>
      <c r="AH981" s="367"/>
      <c r="AI981" s="367"/>
      <c r="AJ981" s="367"/>
      <c r="AK981" s="367"/>
      <c r="AL981" s="367"/>
      <c r="AM981" s="367"/>
      <c r="AN981" s="367"/>
      <c r="AO981" s="367"/>
      <c r="AP981" s="367"/>
      <c r="AQ981" s="367"/>
      <c r="AR981" s="367"/>
      <c r="AS981" s="367"/>
      <c r="AT981" s="368"/>
      <c r="AU981" s="367"/>
    </row>
    <row r="982" spans="1:47" ht="12.75">
      <c r="A982" s="367"/>
      <c r="B982" s="367"/>
      <c r="C982" s="367"/>
      <c r="D982" s="367"/>
      <c r="E982" s="367"/>
      <c r="F982" s="367"/>
      <c r="G982" s="367"/>
      <c r="H982" s="367"/>
      <c r="I982" s="367"/>
      <c r="J982" s="367"/>
      <c r="K982" s="367"/>
      <c r="L982" s="367"/>
      <c r="M982" s="367"/>
      <c r="N982" s="367"/>
      <c r="O982" s="367"/>
      <c r="P982" s="364"/>
      <c r="Q982" s="365"/>
      <c r="R982" s="365"/>
      <c r="S982" s="365"/>
      <c r="T982" s="365"/>
      <c r="U982" s="366"/>
      <c r="V982" s="367"/>
      <c r="W982" s="367"/>
      <c r="X982" s="367"/>
      <c r="Y982" s="367"/>
      <c r="Z982" s="367"/>
      <c r="AA982" s="367"/>
      <c r="AB982" s="367"/>
      <c r="AC982" s="367"/>
      <c r="AD982" s="367"/>
      <c r="AE982" s="367"/>
      <c r="AF982" s="367"/>
      <c r="AG982" s="367"/>
      <c r="AH982" s="367"/>
      <c r="AI982" s="367"/>
      <c r="AJ982" s="367"/>
      <c r="AK982" s="367"/>
      <c r="AL982" s="367"/>
      <c r="AM982" s="367"/>
      <c r="AN982" s="367"/>
      <c r="AO982" s="367"/>
      <c r="AP982" s="367"/>
      <c r="AQ982" s="367"/>
      <c r="AR982" s="367"/>
      <c r="AS982" s="367"/>
      <c r="AT982" s="368"/>
      <c r="AU982" s="367"/>
    </row>
    <row r="983" spans="1:47" ht="12.75">
      <c r="A983" s="367"/>
      <c r="B983" s="367"/>
      <c r="C983" s="367"/>
      <c r="D983" s="367"/>
      <c r="E983" s="367"/>
      <c r="F983" s="367"/>
      <c r="G983" s="367"/>
      <c r="H983" s="367"/>
      <c r="I983" s="367"/>
      <c r="J983" s="367"/>
      <c r="K983" s="367"/>
      <c r="L983" s="367"/>
      <c r="M983" s="367"/>
      <c r="N983" s="367"/>
      <c r="O983" s="367"/>
      <c r="P983" s="364"/>
      <c r="Q983" s="365"/>
      <c r="R983" s="365"/>
      <c r="S983" s="365"/>
      <c r="T983" s="365"/>
      <c r="U983" s="366"/>
      <c r="V983" s="367"/>
      <c r="W983" s="367"/>
      <c r="X983" s="367"/>
      <c r="Y983" s="367"/>
      <c r="Z983" s="367"/>
      <c r="AA983" s="367"/>
      <c r="AB983" s="367"/>
      <c r="AC983" s="367"/>
      <c r="AD983" s="367"/>
      <c r="AE983" s="367"/>
      <c r="AF983" s="367"/>
      <c r="AG983" s="367"/>
      <c r="AH983" s="367"/>
      <c r="AI983" s="367"/>
      <c r="AJ983" s="367"/>
      <c r="AK983" s="367"/>
      <c r="AL983" s="367"/>
      <c r="AM983" s="367"/>
      <c r="AN983" s="367"/>
      <c r="AO983" s="367"/>
      <c r="AP983" s="367"/>
      <c r="AQ983" s="367"/>
      <c r="AR983" s="367"/>
      <c r="AS983" s="367"/>
      <c r="AT983" s="368"/>
      <c r="AU983" s="367"/>
    </row>
    <row r="984" spans="1:47" ht="12.75">
      <c r="A984" s="367"/>
      <c r="B984" s="367"/>
      <c r="C984" s="367"/>
      <c r="D984" s="367"/>
      <c r="E984" s="367"/>
      <c r="F984" s="367"/>
      <c r="G984" s="367"/>
      <c r="H984" s="367"/>
      <c r="I984" s="367"/>
      <c r="J984" s="367"/>
      <c r="K984" s="367"/>
      <c r="L984" s="367"/>
      <c r="M984" s="367"/>
      <c r="N984" s="367"/>
      <c r="O984" s="367"/>
      <c r="P984" s="364"/>
      <c r="Q984" s="365"/>
      <c r="R984" s="365"/>
      <c r="S984" s="365"/>
      <c r="T984" s="365"/>
      <c r="U984" s="366"/>
      <c r="V984" s="367"/>
      <c r="W984" s="367"/>
      <c r="X984" s="367"/>
      <c r="Y984" s="367"/>
      <c r="Z984" s="367"/>
      <c r="AA984" s="367"/>
      <c r="AB984" s="367"/>
      <c r="AC984" s="367"/>
      <c r="AD984" s="367"/>
      <c r="AE984" s="367"/>
      <c r="AF984" s="367"/>
      <c r="AG984" s="367"/>
      <c r="AH984" s="367"/>
      <c r="AI984" s="367"/>
      <c r="AJ984" s="367"/>
      <c r="AK984" s="367"/>
      <c r="AL984" s="367"/>
      <c r="AM984" s="367"/>
      <c r="AN984" s="367"/>
      <c r="AO984" s="367"/>
      <c r="AP984" s="367"/>
      <c r="AQ984" s="367"/>
      <c r="AR984" s="367"/>
      <c r="AS984" s="367"/>
      <c r="AT984" s="368"/>
      <c r="AU984" s="367"/>
    </row>
    <row r="985" spans="1:47" ht="12.75">
      <c r="A985" s="367"/>
      <c r="B985" s="367"/>
      <c r="C985" s="367"/>
      <c r="D985" s="367"/>
      <c r="E985" s="367"/>
      <c r="F985" s="367"/>
      <c r="G985" s="367"/>
      <c r="H985" s="367"/>
      <c r="I985" s="367"/>
      <c r="J985" s="367"/>
      <c r="K985" s="367"/>
      <c r="L985" s="367"/>
      <c r="M985" s="367"/>
      <c r="N985" s="367"/>
      <c r="O985" s="367"/>
      <c r="P985" s="364"/>
      <c r="Q985" s="365"/>
      <c r="R985" s="365"/>
      <c r="S985" s="365"/>
      <c r="T985" s="365"/>
      <c r="U985" s="366"/>
      <c r="V985" s="367"/>
      <c r="W985" s="367"/>
      <c r="X985" s="367"/>
      <c r="Y985" s="367"/>
      <c r="Z985" s="367"/>
      <c r="AA985" s="367"/>
      <c r="AB985" s="367"/>
      <c r="AC985" s="367"/>
      <c r="AD985" s="367"/>
      <c r="AE985" s="367"/>
      <c r="AF985" s="367"/>
      <c r="AG985" s="367"/>
      <c r="AH985" s="367"/>
      <c r="AI985" s="367"/>
      <c r="AJ985" s="367"/>
      <c r="AK985" s="367"/>
      <c r="AL985" s="367"/>
      <c r="AM985" s="367"/>
      <c r="AN985" s="367"/>
      <c r="AO985" s="367"/>
      <c r="AP985" s="367"/>
      <c r="AQ985" s="367"/>
      <c r="AR985" s="367"/>
      <c r="AS985" s="367"/>
      <c r="AT985" s="368"/>
      <c r="AU985" s="367"/>
    </row>
  </sheetData>
  <mergeCells count="20">
    <mergeCell ref="R62:T62"/>
    <mergeCell ref="R78:Z78"/>
    <mergeCell ref="R79:Z79"/>
    <mergeCell ref="P5:P6"/>
    <mergeCell ref="Q5:R5"/>
    <mergeCell ref="U5:U6"/>
    <mergeCell ref="V5:W5"/>
    <mergeCell ref="S6:S7"/>
    <mergeCell ref="T6:T7"/>
    <mergeCell ref="X6:X7"/>
    <mergeCell ref="A11:A15"/>
    <mergeCell ref="A31:A48"/>
    <mergeCell ref="A55:A56"/>
    <mergeCell ref="A1:M1"/>
    <mergeCell ref="A2:M2"/>
    <mergeCell ref="A4:A6"/>
    <mergeCell ref="B4:B6"/>
    <mergeCell ref="C4:C6"/>
    <mergeCell ref="D4:D6"/>
    <mergeCell ref="E4:E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82"/>
  <sheetViews>
    <sheetView workbookViewId="0">
      <selection sqref="A1:M2"/>
    </sheetView>
  </sheetViews>
  <sheetFormatPr defaultColWidth="12.5703125" defaultRowHeight="15.75" customHeight="1"/>
  <cols>
    <col min="1" max="1" width="4.7109375" customWidth="1"/>
    <col min="2" max="2" width="5.140625" customWidth="1"/>
    <col min="3" max="3" width="5.42578125" customWidth="1"/>
    <col min="4" max="4" width="41.5703125" customWidth="1"/>
    <col min="9" max="9" width="8.5703125" customWidth="1"/>
    <col min="10" max="10" width="19.42578125" customWidth="1"/>
    <col min="13" max="13" width="12.42578125" customWidth="1"/>
    <col min="14" max="14" width="0.42578125" hidden="1" customWidth="1"/>
    <col min="15" max="15" width="16.85546875" customWidth="1"/>
    <col min="24" max="24" width="22.28515625" customWidth="1"/>
  </cols>
  <sheetData>
    <row r="1" spans="1:24" ht="15">
      <c r="A1" s="888" t="s">
        <v>246</v>
      </c>
      <c r="B1" s="865"/>
      <c r="C1" s="865"/>
      <c r="D1" s="865"/>
      <c r="E1" s="865"/>
      <c r="F1" s="865"/>
      <c r="G1" s="865"/>
      <c r="H1" s="865"/>
      <c r="I1" s="865"/>
      <c r="J1" s="865"/>
      <c r="K1" s="865"/>
      <c r="L1" s="865"/>
      <c r="M1" s="865"/>
      <c r="N1" s="1"/>
      <c r="O1" s="1"/>
    </row>
    <row r="2" spans="1:24" ht="15">
      <c r="A2" s="864" t="str">
        <f>'01.07.26 гос.язык'!A2</f>
        <v xml:space="preserve">  2026 жылдың 30 маусым айының жағдайы бойынша</v>
      </c>
      <c r="B2" s="865"/>
      <c r="C2" s="865"/>
      <c r="D2" s="865"/>
      <c r="E2" s="865"/>
      <c r="F2" s="865"/>
      <c r="G2" s="865"/>
      <c r="H2" s="865"/>
      <c r="I2" s="865"/>
      <c r="J2" s="865"/>
      <c r="K2" s="865"/>
      <c r="L2" s="865"/>
      <c r="M2" s="865"/>
      <c r="N2" s="1"/>
      <c r="O2" s="1"/>
    </row>
    <row r="3" spans="1:24" ht="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24" ht="15">
      <c r="A4" s="889" t="s">
        <v>1</v>
      </c>
      <c r="B4" s="889" t="s">
        <v>2</v>
      </c>
      <c r="C4" s="889" t="s">
        <v>3</v>
      </c>
      <c r="D4" s="890" t="s">
        <v>4</v>
      </c>
      <c r="E4" s="891" t="s">
        <v>5</v>
      </c>
      <c r="F4" s="9"/>
      <c r="G4" s="9"/>
      <c r="H4" s="9"/>
      <c r="I4" s="9"/>
      <c r="J4" s="9"/>
      <c r="K4" s="9"/>
      <c r="L4" s="9"/>
      <c r="M4" s="9"/>
      <c r="N4" s="9"/>
      <c r="O4" s="9"/>
    </row>
    <row r="5" spans="1:24" ht="15">
      <c r="A5" s="863"/>
      <c r="B5" s="863"/>
      <c r="C5" s="863"/>
      <c r="D5" s="863"/>
      <c r="E5" s="863"/>
      <c r="F5" s="892" t="s">
        <v>6</v>
      </c>
      <c r="G5" s="867"/>
      <c r="H5" s="868"/>
      <c r="I5" s="9"/>
      <c r="J5" s="9"/>
      <c r="K5" s="892" t="s">
        <v>7</v>
      </c>
      <c r="L5" s="867"/>
      <c r="M5" s="868"/>
      <c r="N5" s="9"/>
      <c r="O5" s="9"/>
    </row>
    <row r="6" spans="1:24" ht="156.75">
      <c r="A6" s="862"/>
      <c r="B6" s="862"/>
      <c r="C6" s="862"/>
      <c r="D6" s="862"/>
      <c r="E6" s="862"/>
      <c r="F6" s="295" t="s">
        <v>8</v>
      </c>
      <c r="G6" s="295" t="s">
        <v>9</v>
      </c>
      <c r="H6" s="8" t="s">
        <v>10</v>
      </c>
      <c r="I6" s="295" t="s">
        <v>11</v>
      </c>
      <c r="J6" s="295" t="s">
        <v>12</v>
      </c>
      <c r="K6" s="295" t="s">
        <v>8</v>
      </c>
      <c r="L6" s="295" t="s">
        <v>13</v>
      </c>
      <c r="M6" s="8" t="s">
        <v>10</v>
      </c>
      <c r="N6" s="295" t="s">
        <v>11</v>
      </c>
      <c r="O6" s="295" t="s">
        <v>12</v>
      </c>
    </row>
    <row r="7" spans="1:24" ht="15">
      <c r="A7" s="7">
        <v>1</v>
      </c>
      <c r="B7" s="7">
        <v>2</v>
      </c>
      <c r="C7" s="8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9"/>
    </row>
    <row r="8" spans="1:24" ht="15">
      <c r="A8" s="4"/>
      <c r="B8" s="4"/>
      <c r="C8" s="4"/>
      <c r="D8" s="10" t="s">
        <v>14</v>
      </c>
      <c r="E8" s="11">
        <f t="shared" ref="E8:G8" si="0">E9+E53+E60</f>
        <v>4378631.5999999996</v>
      </c>
      <c r="F8" s="11">
        <f t="shared" si="0"/>
        <v>733720.19999999984</v>
      </c>
      <c r="G8" s="11">
        <f t="shared" si="0"/>
        <v>731296.58300999994</v>
      </c>
      <c r="H8" s="11">
        <f t="shared" ref="H8:H9" si="1">F8-G8</f>
        <v>2423.6169899998931</v>
      </c>
      <c r="I8" s="11">
        <f t="shared" ref="I8:I12" si="2">G8/F8*100</f>
        <v>99.669681032360856</v>
      </c>
      <c r="J8" s="544"/>
      <c r="K8" s="11">
        <f t="shared" ref="K8:L8" si="3">K9+K53+K60</f>
        <v>526003.30000000005</v>
      </c>
      <c r="L8" s="11">
        <f t="shared" si="3"/>
        <v>526002.81961000001</v>
      </c>
      <c r="M8" s="11">
        <f t="shared" ref="M8:M9" si="4">K8-L8</f>
        <v>0.48039000004064292</v>
      </c>
      <c r="N8" s="545">
        <f t="shared" ref="N8:N12" si="5">L8/K8*100</f>
        <v>99.999908671675627</v>
      </c>
      <c r="O8" s="4">
        <f>L8/K8*100</f>
        <v>99.999908671675627</v>
      </c>
      <c r="P8" s="545"/>
      <c r="Q8" s="4"/>
      <c r="R8" s="545"/>
      <c r="S8" s="4"/>
      <c r="T8" s="545"/>
      <c r="U8" s="4"/>
      <c r="V8" s="545"/>
      <c r="W8" s="4"/>
      <c r="X8" s="545"/>
    </row>
    <row r="9" spans="1:24" ht="30">
      <c r="A9" s="15">
        <v>1</v>
      </c>
      <c r="B9" s="16"/>
      <c r="C9" s="16"/>
      <c r="D9" s="17" t="s">
        <v>15</v>
      </c>
      <c r="E9" s="18">
        <f t="shared" ref="E9:G9" si="6">E10+E19+E23+E30</f>
        <v>2317201</v>
      </c>
      <c r="F9" s="18">
        <f t="shared" si="6"/>
        <v>732121.59999999986</v>
      </c>
      <c r="G9" s="18">
        <f t="shared" si="6"/>
        <v>729697.98300999997</v>
      </c>
      <c r="H9" s="18">
        <f t="shared" si="1"/>
        <v>2423.6169899998931</v>
      </c>
      <c r="I9" s="18">
        <f t="shared" si="2"/>
        <v>99.668959775261385</v>
      </c>
      <c r="J9" s="546"/>
      <c r="K9" s="18">
        <f t="shared" ref="K9:L9" si="7">K10+K19+K23+K30</f>
        <v>525393.9</v>
      </c>
      <c r="L9" s="18">
        <f t="shared" si="7"/>
        <v>525393.41960999998</v>
      </c>
      <c r="M9" s="18">
        <f t="shared" si="4"/>
        <v>0.48039000004064292</v>
      </c>
      <c r="N9" s="547">
        <f t="shared" si="5"/>
        <v>99.999908565744661</v>
      </c>
      <c r="O9" s="548"/>
    </row>
    <row r="10" spans="1:24" ht="45">
      <c r="A10" s="9"/>
      <c r="B10" s="20">
        <v>100</v>
      </c>
      <c r="C10" s="20"/>
      <c r="D10" s="21" t="s">
        <v>16</v>
      </c>
      <c r="E10" s="22">
        <f t="shared" ref="E10:H10" si="8">SUM(E11:E18)</f>
        <v>33577.799999999996</v>
      </c>
      <c r="F10" s="22">
        <f t="shared" si="8"/>
        <v>16182.6</v>
      </c>
      <c r="G10" s="22">
        <f t="shared" si="8"/>
        <v>16182.504000000001</v>
      </c>
      <c r="H10" s="22">
        <f t="shared" si="8"/>
        <v>9.6000000000003638E-2</v>
      </c>
      <c r="I10" s="22">
        <f t="shared" si="2"/>
        <v>99.9994067702347</v>
      </c>
      <c r="J10" s="22">
        <f t="shared" ref="J10:M10" si="9">SUM(J11:J18)</f>
        <v>0</v>
      </c>
      <c r="K10" s="22">
        <f t="shared" si="9"/>
        <v>14749.800000000001</v>
      </c>
      <c r="L10" s="22">
        <f t="shared" si="9"/>
        <v>14749.704000000002</v>
      </c>
      <c r="M10" s="22">
        <f t="shared" si="9"/>
        <v>9.6000000000003638E-2</v>
      </c>
      <c r="N10" s="549">
        <f t="shared" si="5"/>
        <v>99.999349143717211</v>
      </c>
      <c r="O10" s="9"/>
    </row>
    <row r="11" spans="1:24" ht="15">
      <c r="A11" s="861"/>
      <c r="B11" s="4"/>
      <c r="C11" s="4">
        <v>131</v>
      </c>
      <c r="D11" s="4" t="s">
        <v>17</v>
      </c>
      <c r="E11" s="550">
        <v>22026.5</v>
      </c>
      <c r="F11" s="550">
        <v>12702.5</v>
      </c>
      <c r="G11" s="550">
        <v>12702.5</v>
      </c>
      <c r="H11" s="551">
        <f t="shared" ref="H11:H16" si="10">F11-G11</f>
        <v>0</v>
      </c>
      <c r="I11" s="22">
        <f t="shared" si="2"/>
        <v>100</v>
      </c>
      <c r="J11" s="551"/>
      <c r="K11" s="550">
        <f t="shared" ref="K11:L11" si="11">F11</f>
        <v>12702.5</v>
      </c>
      <c r="L11" s="550">
        <f t="shared" si="11"/>
        <v>12702.5</v>
      </c>
      <c r="M11" s="551">
        <f t="shared" ref="M11:M16" si="12">K11-L11</f>
        <v>0</v>
      </c>
      <c r="N11" s="549">
        <f t="shared" si="5"/>
        <v>100</v>
      </c>
      <c r="O11" s="551"/>
    </row>
    <row r="12" spans="1:24" ht="15">
      <c r="A12" s="863"/>
      <c r="B12" s="4"/>
      <c r="C12" s="4">
        <v>135</v>
      </c>
      <c r="D12" s="4" t="s">
        <v>18</v>
      </c>
      <c r="E12" s="550">
        <v>2873.1</v>
      </c>
      <c r="F12" s="550">
        <v>1548.1</v>
      </c>
      <c r="G12" s="550">
        <v>1548.1</v>
      </c>
      <c r="H12" s="551">
        <f t="shared" si="10"/>
        <v>0</v>
      </c>
      <c r="I12" s="22">
        <f t="shared" si="2"/>
        <v>100</v>
      </c>
      <c r="J12" s="551"/>
      <c r="K12" s="550">
        <f t="shared" ref="K12:L12" si="13">F12</f>
        <v>1548.1</v>
      </c>
      <c r="L12" s="550">
        <f t="shared" si="13"/>
        <v>1548.1</v>
      </c>
      <c r="M12" s="551">
        <f t="shared" si="12"/>
        <v>0</v>
      </c>
      <c r="N12" s="549">
        <f t="shared" si="5"/>
        <v>100</v>
      </c>
      <c r="O12" s="291"/>
    </row>
    <row r="13" spans="1:24" ht="30">
      <c r="A13" s="863"/>
      <c r="B13" s="4"/>
      <c r="C13" s="4">
        <v>136</v>
      </c>
      <c r="D13" s="24" t="s">
        <v>19</v>
      </c>
      <c r="E13" s="551"/>
      <c r="F13" s="551"/>
      <c r="G13" s="551"/>
      <c r="H13" s="551">
        <f t="shared" si="10"/>
        <v>0</v>
      </c>
      <c r="I13" s="22"/>
      <c r="J13" s="551"/>
      <c r="K13" s="551"/>
      <c r="L13" s="551"/>
      <c r="M13" s="551">
        <f t="shared" si="12"/>
        <v>0</v>
      </c>
      <c r="N13" s="549"/>
      <c r="O13" s="291"/>
      <c r="X13" s="552"/>
    </row>
    <row r="14" spans="1:24" ht="30">
      <c r="A14" s="863"/>
      <c r="B14" s="4"/>
      <c r="C14" s="25">
        <v>165</v>
      </c>
      <c r="D14" s="26" t="s">
        <v>20</v>
      </c>
      <c r="E14" s="550">
        <v>0</v>
      </c>
      <c r="F14" s="550">
        <v>0</v>
      </c>
      <c r="G14" s="550">
        <v>0</v>
      </c>
      <c r="H14" s="551">
        <f t="shared" si="10"/>
        <v>0</v>
      </c>
      <c r="I14" s="22"/>
      <c r="J14" s="551"/>
      <c r="K14" s="550">
        <v>0</v>
      </c>
      <c r="L14" s="550">
        <v>0</v>
      </c>
      <c r="M14" s="551">
        <f t="shared" si="12"/>
        <v>0</v>
      </c>
      <c r="N14" s="549"/>
      <c r="O14" s="291"/>
    </row>
    <row r="15" spans="1:24" ht="15">
      <c r="A15" s="862"/>
      <c r="B15" s="4"/>
      <c r="C15" s="4">
        <v>159</v>
      </c>
      <c r="D15" s="4" t="s">
        <v>21</v>
      </c>
      <c r="E15" s="550">
        <v>8678</v>
      </c>
      <c r="F15" s="550">
        <v>1931.8</v>
      </c>
      <c r="G15" s="550">
        <v>1931.704</v>
      </c>
      <c r="H15" s="551">
        <f t="shared" si="10"/>
        <v>9.6000000000003638E-2</v>
      </c>
      <c r="I15" s="22"/>
      <c r="J15" s="551"/>
      <c r="K15" s="550">
        <v>499</v>
      </c>
      <c r="L15" s="550">
        <v>498.904</v>
      </c>
      <c r="M15" s="551">
        <f t="shared" si="12"/>
        <v>9.6000000000003638E-2</v>
      </c>
      <c r="N15" s="549"/>
      <c r="O15" s="291"/>
    </row>
    <row r="16" spans="1:24" ht="15">
      <c r="A16" s="4"/>
      <c r="B16" s="4"/>
      <c r="C16" s="4">
        <v>169</v>
      </c>
      <c r="D16" s="4" t="s">
        <v>22</v>
      </c>
      <c r="E16" s="550">
        <v>0.2</v>
      </c>
      <c r="F16" s="550">
        <v>0.2</v>
      </c>
      <c r="G16" s="550">
        <v>0.2</v>
      </c>
      <c r="H16" s="551">
        <f t="shared" si="10"/>
        <v>0</v>
      </c>
      <c r="I16" s="22">
        <f>G16/F16*100</f>
        <v>100</v>
      </c>
      <c r="J16" s="551"/>
      <c r="K16" s="550">
        <v>0.2</v>
      </c>
      <c r="L16" s="550">
        <v>0.2</v>
      </c>
      <c r="M16" s="551">
        <f t="shared" si="12"/>
        <v>0</v>
      </c>
      <c r="N16" s="549">
        <f>L16/K16*100</f>
        <v>100</v>
      </c>
      <c r="O16" s="291"/>
    </row>
    <row r="17" spans="1:15" ht="15">
      <c r="A17" s="4"/>
      <c r="B17" s="4"/>
      <c r="C17" s="4">
        <v>322</v>
      </c>
      <c r="D17" s="4" t="s">
        <v>23</v>
      </c>
      <c r="E17" s="551"/>
      <c r="F17" s="551"/>
      <c r="G17" s="551"/>
      <c r="H17" s="551"/>
      <c r="I17" s="22"/>
      <c r="J17" s="551"/>
      <c r="K17" s="551"/>
      <c r="L17" s="551"/>
      <c r="M17" s="551"/>
      <c r="N17" s="549"/>
      <c r="O17" s="291"/>
    </row>
    <row r="18" spans="1:15" ht="45">
      <c r="A18" s="4"/>
      <c r="B18" s="4"/>
      <c r="C18" s="27">
        <v>414</v>
      </c>
      <c r="D18" s="28" t="s">
        <v>24</v>
      </c>
      <c r="E18" s="551"/>
      <c r="F18" s="551"/>
      <c r="G18" s="551"/>
      <c r="H18" s="551"/>
      <c r="I18" s="22"/>
      <c r="J18" s="551"/>
      <c r="K18" s="551"/>
      <c r="L18" s="551"/>
      <c r="M18" s="551"/>
      <c r="N18" s="549"/>
      <c r="O18" s="291"/>
    </row>
    <row r="19" spans="1:15" ht="57.75">
      <c r="A19" s="9"/>
      <c r="B19" s="20">
        <v>104</v>
      </c>
      <c r="C19" s="8"/>
      <c r="D19" s="29" t="s">
        <v>25</v>
      </c>
      <c r="E19" s="553">
        <f t="shared" ref="E19:H19" si="14">SUM(E20:E22)</f>
        <v>725359</v>
      </c>
      <c r="F19" s="553">
        <f t="shared" si="14"/>
        <v>261863.39999999997</v>
      </c>
      <c r="G19" s="553">
        <f t="shared" si="14"/>
        <v>259440.14600000001</v>
      </c>
      <c r="H19" s="553">
        <f t="shared" si="14"/>
        <v>2423.2539999999885</v>
      </c>
      <c r="I19" s="22">
        <f t="shared" ref="I19:I23" si="15">G19/F19*100</f>
        <v>99.074611419541654</v>
      </c>
      <c r="J19" s="553"/>
      <c r="K19" s="553">
        <f t="shared" ref="K19:M19" si="16">SUM(K20:K22)</f>
        <v>71875.8</v>
      </c>
      <c r="L19" s="553">
        <f t="shared" si="16"/>
        <v>71875.627999999997</v>
      </c>
      <c r="M19" s="553">
        <f t="shared" si="16"/>
        <v>0.17200000000093496</v>
      </c>
      <c r="N19" s="549">
        <f t="shared" ref="N19:N23" si="17">L19/K19*100</f>
        <v>99.999760698315697</v>
      </c>
      <c r="O19" s="554"/>
    </row>
    <row r="20" spans="1:15" ht="15">
      <c r="A20" s="4"/>
      <c r="B20" s="4"/>
      <c r="C20" s="4">
        <v>149</v>
      </c>
      <c r="D20" s="4" t="s">
        <v>26</v>
      </c>
      <c r="E20" s="550">
        <v>286391</v>
      </c>
      <c r="F20" s="550">
        <v>1611.9</v>
      </c>
      <c r="G20" s="550">
        <v>1611.8209999999999</v>
      </c>
      <c r="H20" s="551">
        <f t="shared" ref="H20:H22" si="18">F20-G20</f>
        <v>7.9000000000178261E-2</v>
      </c>
      <c r="I20" s="22">
        <f t="shared" si="15"/>
        <v>99.99509895154786</v>
      </c>
      <c r="J20" s="551"/>
      <c r="K20" s="550">
        <v>1611.9</v>
      </c>
      <c r="L20" s="550">
        <v>1611.8209999999999</v>
      </c>
      <c r="M20" s="551">
        <f t="shared" ref="M20:M22" si="19">K20-L20</f>
        <v>7.9000000000178261E-2</v>
      </c>
      <c r="N20" s="549">
        <f t="shared" si="17"/>
        <v>99.99509895154786</v>
      </c>
      <c r="O20" s="291"/>
    </row>
    <row r="21" spans="1:15" ht="15">
      <c r="A21" s="4"/>
      <c r="B21" s="4"/>
      <c r="C21" s="4">
        <v>152</v>
      </c>
      <c r="D21" s="4" t="s">
        <v>28</v>
      </c>
      <c r="E21" s="550">
        <v>194738</v>
      </c>
      <c r="F21" s="550">
        <v>133290.29999999999</v>
      </c>
      <c r="G21" s="550">
        <v>130867.15</v>
      </c>
      <c r="H21" s="551">
        <f t="shared" si="18"/>
        <v>2423.1499999999942</v>
      </c>
      <c r="I21" s="22">
        <f t="shared" si="15"/>
        <v>98.182050756881793</v>
      </c>
      <c r="J21" s="550" t="s">
        <v>247</v>
      </c>
      <c r="K21" s="550">
        <v>41191.300000000003</v>
      </c>
      <c r="L21" s="550">
        <v>41191.207000000002</v>
      </c>
      <c r="M21" s="551">
        <f t="shared" si="19"/>
        <v>9.30000000007567E-2</v>
      </c>
      <c r="N21" s="549">
        <f t="shared" si="17"/>
        <v>99.999774224168689</v>
      </c>
      <c r="O21" s="555"/>
    </row>
    <row r="22" spans="1:15" ht="15">
      <c r="A22" s="4"/>
      <c r="B22" s="4"/>
      <c r="C22" s="4">
        <v>159</v>
      </c>
      <c r="D22" s="4" t="s">
        <v>29</v>
      </c>
      <c r="E22" s="550">
        <v>244230</v>
      </c>
      <c r="F22" s="550">
        <v>126961.2</v>
      </c>
      <c r="G22" s="550">
        <v>126961.175</v>
      </c>
      <c r="H22" s="551">
        <f t="shared" si="18"/>
        <v>2.4999999994179234E-2</v>
      </c>
      <c r="I22" s="22">
        <f t="shared" si="15"/>
        <v>99.999980308944785</v>
      </c>
      <c r="J22" s="551"/>
      <c r="K22" s="550">
        <v>29072.6</v>
      </c>
      <c r="L22" s="550">
        <v>29072.6</v>
      </c>
      <c r="M22" s="551">
        <f t="shared" si="19"/>
        <v>0</v>
      </c>
      <c r="N22" s="549">
        <f t="shared" si="17"/>
        <v>100</v>
      </c>
      <c r="O22" s="555"/>
    </row>
    <row r="23" spans="1:15" ht="43.5">
      <c r="A23" s="30"/>
      <c r="B23" s="31">
        <v>111</v>
      </c>
      <c r="C23" s="30"/>
      <c r="D23" s="32" t="s">
        <v>30</v>
      </c>
      <c r="E23" s="556">
        <f t="shared" ref="E23:H23" si="20">SUM(E24:E29)</f>
        <v>775000</v>
      </c>
      <c r="F23" s="556">
        <f t="shared" si="20"/>
        <v>0</v>
      </c>
      <c r="G23" s="556">
        <f t="shared" si="20"/>
        <v>0</v>
      </c>
      <c r="H23" s="556">
        <f t="shared" si="20"/>
        <v>0</v>
      </c>
      <c r="I23" s="33" t="e">
        <f t="shared" si="15"/>
        <v>#DIV/0!</v>
      </c>
      <c r="J23" s="556"/>
      <c r="K23" s="556">
        <f t="shared" ref="K23:M23" si="21">SUM(K24:K29)</f>
        <v>0</v>
      </c>
      <c r="L23" s="556">
        <f t="shared" si="21"/>
        <v>0</v>
      </c>
      <c r="M23" s="556">
        <f t="shared" si="21"/>
        <v>0</v>
      </c>
      <c r="N23" s="549" t="e">
        <f t="shared" si="17"/>
        <v>#DIV/0!</v>
      </c>
      <c r="O23" s="557"/>
    </row>
    <row r="24" spans="1:15" ht="30">
      <c r="A24" s="4"/>
      <c r="B24" s="4"/>
      <c r="C24" s="4">
        <v>412</v>
      </c>
      <c r="D24" s="24" t="s">
        <v>31</v>
      </c>
      <c r="E24" s="551"/>
      <c r="F24" s="551"/>
      <c r="G24" s="551"/>
      <c r="H24" s="551"/>
      <c r="I24" s="22"/>
      <c r="J24" s="551"/>
      <c r="K24" s="551"/>
      <c r="L24" s="551"/>
      <c r="M24" s="551"/>
      <c r="N24" s="549"/>
      <c r="O24" s="291"/>
    </row>
    <row r="25" spans="1:15" ht="15">
      <c r="A25" s="4"/>
      <c r="B25" s="4"/>
      <c r="C25" s="4">
        <v>413</v>
      </c>
      <c r="D25" s="4" t="s">
        <v>32</v>
      </c>
      <c r="E25" s="550">
        <v>420000</v>
      </c>
      <c r="F25" s="550">
        <v>0</v>
      </c>
      <c r="G25" s="550">
        <v>0</v>
      </c>
      <c r="H25" s="551">
        <f t="shared" ref="H25:H26" si="22">F25-G25</f>
        <v>0</v>
      </c>
      <c r="I25" s="22" t="e">
        <f t="shared" ref="I25:I26" si="23">G25/F25*100</f>
        <v>#DIV/0!</v>
      </c>
      <c r="J25" s="551"/>
      <c r="K25" s="550">
        <v>0</v>
      </c>
      <c r="L25" s="550">
        <v>0</v>
      </c>
      <c r="M25" s="551">
        <f t="shared" ref="M25:M26" si="24">K25-L25</f>
        <v>0</v>
      </c>
      <c r="N25" s="549" t="e">
        <f t="shared" ref="N25:N26" si="25">L25/K25*100</f>
        <v>#DIV/0!</v>
      </c>
      <c r="O25" s="291"/>
    </row>
    <row r="26" spans="1:15" ht="45">
      <c r="A26" s="4"/>
      <c r="B26" s="4"/>
      <c r="C26" s="4">
        <v>414</v>
      </c>
      <c r="D26" s="24" t="s">
        <v>24</v>
      </c>
      <c r="E26" s="550">
        <v>355000</v>
      </c>
      <c r="F26" s="550">
        <v>0</v>
      </c>
      <c r="G26" s="550">
        <v>0</v>
      </c>
      <c r="H26" s="551">
        <f t="shared" si="22"/>
        <v>0</v>
      </c>
      <c r="I26" s="22" t="e">
        <f t="shared" si="23"/>
        <v>#DIV/0!</v>
      </c>
      <c r="J26" s="558"/>
      <c r="K26" s="550">
        <v>0</v>
      </c>
      <c r="L26" s="550">
        <v>0</v>
      </c>
      <c r="M26" s="551">
        <f t="shared" si="24"/>
        <v>0</v>
      </c>
      <c r="N26" s="549" t="e">
        <f t="shared" si="25"/>
        <v>#DIV/0!</v>
      </c>
      <c r="O26" s="291"/>
    </row>
    <row r="27" spans="1:15" ht="15">
      <c r="A27" s="4"/>
      <c r="B27" s="4"/>
      <c r="C27" s="4">
        <v>416</v>
      </c>
      <c r="D27" s="4" t="s">
        <v>33</v>
      </c>
      <c r="E27" s="551"/>
      <c r="F27" s="551"/>
      <c r="G27" s="551"/>
      <c r="H27" s="551"/>
      <c r="I27" s="22"/>
      <c r="J27" s="551"/>
      <c r="K27" s="551"/>
      <c r="L27" s="551"/>
      <c r="M27" s="551"/>
      <c r="N27" s="549"/>
      <c r="O27" s="291"/>
    </row>
    <row r="28" spans="1:15" ht="15">
      <c r="A28" s="4"/>
      <c r="B28" s="4"/>
      <c r="C28" s="4">
        <v>419</v>
      </c>
      <c r="D28" s="4" t="s">
        <v>34</v>
      </c>
      <c r="E28" s="551"/>
      <c r="F28" s="551"/>
      <c r="G28" s="551"/>
      <c r="H28" s="551"/>
      <c r="I28" s="22"/>
      <c r="J28" s="551"/>
      <c r="K28" s="551"/>
      <c r="L28" s="551"/>
      <c r="M28" s="551"/>
      <c r="N28" s="549"/>
      <c r="O28" s="291"/>
    </row>
    <row r="29" spans="1:15" ht="30">
      <c r="A29" s="4"/>
      <c r="B29" s="4"/>
      <c r="C29" s="4">
        <v>421</v>
      </c>
      <c r="D29" s="24" t="s">
        <v>35</v>
      </c>
      <c r="E29" s="551"/>
      <c r="F29" s="551"/>
      <c r="G29" s="551"/>
      <c r="H29" s="551"/>
      <c r="I29" s="22"/>
      <c r="J29" s="551"/>
      <c r="K29" s="551"/>
      <c r="L29" s="551"/>
      <c r="M29" s="551"/>
      <c r="N29" s="549"/>
      <c r="O29" s="291"/>
    </row>
    <row r="30" spans="1:15" ht="15">
      <c r="A30" s="9"/>
      <c r="B30" s="20">
        <v>123</v>
      </c>
      <c r="C30" s="20"/>
      <c r="D30" s="34" t="s">
        <v>36</v>
      </c>
      <c r="E30" s="553">
        <f t="shared" ref="E30:H30" si="26">SUM(E31:E52)</f>
        <v>783264.2</v>
      </c>
      <c r="F30" s="553">
        <f t="shared" si="26"/>
        <v>454075.6</v>
      </c>
      <c r="G30" s="553">
        <f t="shared" si="26"/>
        <v>454075.33300999994</v>
      </c>
      <c r="H30" s="553">
        <f t="shared" si="26"/>
        <v>0.26699000000326123</v>
      </c>
      <c r="I30" s="22">
        <f t="shared" ref="I30:I33" si="27">G30/F30*100</f>
        <v>99.99994120142108</v>
      </c>
      <c r="J30" s="553"/>
      <c r="K30" s="553">
        <f t="shared" ref="K30:M30" si="28">SUM(K31:K52)</f>
        <v>438768.30000000005</v>
      </c>
      <c r="L30" s="553">
        <f t="shared" si="28"/>
        <v>438768.08760999999</v>
      </c>
      <c r="M30" s="553">
        <f t="shared" si="28"/>
        <v>0.21239000000264241</v>
      </c>
      <c r="N30" s="553">
        <f t="shared" ref="N30:N33" si="29">L30/K30*100</f>
        <v>99.999951594041761</v>
      </c>
      <c r="O30" s="554"/>
    </row>
    <row r="31" spans="1:15" ht="15">
      <c r="A31" s="861"/>
      <c r="B31" s="4"/>
      <c r="C31" s="4">
        <v>111</v>
      </c>
      <c r="D31" s="4" t="s">
        <v>37</v>
      </c>
      <c r="E31" s="550">
        <v>418460.9</v>
      </c>
      <c r="F31" s="550">
        <v>184905.5</v>
      </c>
      <c r="G31" s="550">
        <v>184905.5</v>
      </c>
      <c r="H31" s="550">
        <f t="shared" ref="H31:H33" si="30">F31-G31</f>
        <v>0</v>
      </c>
      <c r="I31" s="22">
        <f t="shared" si="27"/>
        <v>100</v>
      </c>
      <c r="J31" s="551"/>
      <c r="K31" s="550">
        <f t="shared" ref="K31:L31" si="31">F31</f>
        <v>184905.5</v>
      </c>
      <c r="L31" s="550">
        <f t="shared" si="31"/>
        <v>184905.5</v>
      </c>
      <c r="M31" s="551">
        <f t="shared" ref="M31:M33" si="32">K31-L31</f>
        <v>0</v>
      </c>
      <c r="N31" s="549">
        <f t="shared" si="29"/>
        <v>100</v>
      </c>
      <c r="O31" s="550"/>
    </row>
    <row r="32" spans="1:15" ht="15">
      <c r="A32" s="863"/>
      <c r="B32" s="4"/>
      <c r="C32" s="4">
        <v>112</v>
      </c>
      <c r="D32" s="4" t="s">
        <v>38</v>
      </c>
      <c r="E32" s="550">
        <v>151820.9</v>
      </c>
      <c r="F32" s="550">
        <v>151820.9</v>
      </c>
      <c r="G32" s="550">
        <v>151820.9</v>
      </c>
      <c r="H32" s="551">
        <f t="shared" si="30"/>
        <v>0</v>
      </c>
      <c r="I32" s="22">
        <f t="shared" si="27"/>
        <v>100</v>
      </c>
      <c r="J32" s="551"/>
      <c r="K32" s="551">
        <f t="shared" ref="K32:L32" si="33">F32</f>
        <v>151820.9</v>
      </c>
      <c r="L32" s="550">
        <f t="shared" si="33"/>
        <v>151820.9</v>
      </c>
      <c r="M32" s="551">
        <f t="shared" si="32"/>
        <v>0</v>
      </c>
      <c r="N32" s="549">
        <f t="shared" si="29"/>
        <v>100</v>
      </c>
      <c r="O32" s="555"/>
    </row>
    <row r="33" spans="1:15" ht="15">
      <c r="A33" s="863"/>
      <c r="B33" s="4"/>
      <c r="C33" s="4">
        <v>113</v>
      </c>
      <c r="D33" s="4" t="s">
        <v>39</v>
      </c>
      <c r="E33" s="550">
        <v>74207</v>
      </c>
      <c r="F33" s="550">
        <v>36819</v>
      </c>
      <c r="G33" s="559">
        <v>36818.896999999997</v>
      </c>
      <c r="H33" s="551">
        <f t="shared" si="30"/>
        <v>0.10300000000279397</v>
      </c>
      <c r="I33" s="22">
        <f t="shared" si="27"/>
        <v>99.999720253130164</v>
      </c>
      <c r="J33" s="551"/>
      <c r="K33" s="551">
        <f t="shared" ref="K33:L33" si="34">F33</f>
        <v>36819</v>
      </c>
      <c r="L33" s="550">
        <f t="shared" si="34"/>
        <v>36818.896999999997</v>
      </c>
      <c r="M33" s="551">
        <f t="shared" si="32"/>
        <v>0.10300000000279397</v>
      </c>
      <c r="N33" s="549">
        <f t="shared" si="29"/>
        <v>99.999720253130164</v>
      </c>
      <c r="O33" s="291"/>
    </row>
    <row r="34" spans="1:15" ht="15">
      <c r="A34" s="863"/>
      <c r="B34" s="4"/>
      <c r="C34" s="25">
        <v>116</v>
      </c>
      <c r="D34" s="25" t="s">
        <v>248</v>
      </c>
      <c r="E34" s="550"/>
      <c r="F34" s="550"/>
      <c r="G34" s="550"/>
      <c r="H34" s="551"/>
      <c r="I34" s="22"/>
      <c r="J34" s="551"/>
      <c r="K34" s="550"/>
      <c r="L34" s="550">
        <f>G34</f>
        <v>0</v>
      </c>
      <c r="M34" s="551"/>
      <c r="N34" s="549"/>
      <c r="O34" s="291"/>
    </row>
    <row r="35" spans="1:15" ht="15">
      <c r="A35" s="863"/>
      <c r="B35" s="4"/>
      <c r="C35" s="4">
        <v>121</v>
      </c>
      <c r="D35" s="4" t="s">
        <v>41</v>
      </c>
      <c r="E35" s="550">
        <v>33716.1</v>
      </c>
      <c r="F35" s="550">
        <v>21128.1</v>
      </c>
      <c r="G35" s="550">
        <v>21128.1</v>
      </c>
      <c r="H35" s="551">
        <f t="shared" ref="H35:H38" si="35">F35-G35</f>
        <v>0</v>
      </c>
      <c r="I35" s="22">
        <f t="shared" ref="I35:I39" si="36">G35/F35*100</f>
        <v>100</v>
      </c>
      <c r="J35" s="551"/>
      <c r="K35" s="550">
        <f t="shared" ref="K35:L35" si="37">F35</f>
        <v>21128.1</v>
      </c>
      <c r="L35" s="550">
        <f t="shared" si="37"/>
        <v>21128.1</v>
      </c>
      <c r="M35" s="551">
        <f t="shared" ref="M35:M38" si="38">K35-L35</f>
        <v>0</v>
      </c>
      <c r="N35" s="549">
        <f t="shared" ref="N35:N36" si="39">L35/K35*100</f>
        <v>100</v>
      </c>
      <c r="O35" s="291"/>
    </row>
    <row r="36" spans="1:15" ht="15">
      <c r="A36" s="863"/>
      <c r="B36" s="4"/>
      <c r="C36" s="4">
        <v>122</v>
      </c>
      <c r="D36" s="4" t="s">
        <v>42</v>
      </c>
      <c r="E36" s="550">
        <v>15250.7</v>
      </c>
      <c r="F36" s="550">
        <v>7738.7</v>
      </c>
      <c r="G36" s="550">
        <v>7738.7</v>
      </c>
      <c r="H36" s="551">
        <f t="shared" si="35"/>
        <v>0</v>
      </c>
      <c r="I36" s="22">
        <f t="shared" si="36"/>
        <v>100</v>
      </c>
      <c r="J36" s="551"/>
      <c r="K36" s="550">
        <f t="shared" ref="K36:L36" si="40">F36</f>
        <v>7738.7</v>
      </c>
      <c r="L36" s="550">
        <f t="shared" si="40"/>
        <v>7738.7</v>
      </c>
      <c r="M36" s="551">
        <f t="shared" si="38"/>
        <v>0</v>
      </c>
      <c r="N36" s="549">
        <f t="shared" si="39"/>
        <v>100</v>
      </c>
      <c r="O36" s="291"/>
    </row>
    <row r="37" spans="1:15" ht="15">
      <c r="A37" s="863"/>
      <c r="B37" s="4"/>
      <c r="C37" s="4">
        <v>123</v>
      </c>
      <c r="D37" s="4" t="s">
        <v>43</v>
      </c>
      <c r="E37" s="551">
        <v>0</v>
      </c>
      <c r="F37" s="551">
        <v>0</v>
      </c>
      <c r="G37" s="551">
        <v>0</v>
      </c>
      <c r="H37" s="551">
        <f t="shared" si="35"/>
        <v>0</v>
      </c>
      <c r="I37" s="22" t="e">
        <f t="shared" si="36"/>
        <v>#DIV/0!</v>
      </c>
      <c r="J37" s="551"/>
      <c r="K37" s="551">
        <f t="shared" ref="K37:L37" si="41">F37</f>
        <v>0</v>
      </c>
      <c r="L37" s="550">
        <f t="shared" si="41"/>
        <v>0</v>
      </c>
      <c r="M37" s="551">
        <f t="shared" si="38"/>
        <v>0</v>
      </c>
      <c r="N37" s="549"/>
      <c r="O37" s="291"/>
    </row>
    <row r="38" spans="1:15" ht="30">
      <c r="A38" s="863"/>
      <c r="B38" s="4"/>
      <c r="C38" s="4">
        <v>124</v>
      </c>
      <c r="D38" s="24" t="s">
        <v>44</v>
      </c>
      <c r="E38" s="550">
        <v>15459.6</v>
      </c>
      <c r="F38" s="550">
        <v>8307.6</v>
      </c>
      <c r="G38" s="550">
        <v>8307.6</v>
      </c>
      <c r="H38" s="551">
        <f t="shared" si="35"/>
        <v>0</v>
      </c>
      <c r="I38" s="22">
        <f t="shared" si="36"/>
        <v>100</v>
      </c>
      <c r="J38" s="551"/>
      <c r="K38" s="551">
        <f t="shared" ref="K38:L38" si="42">F38</f>
        <v>8307.6</v>
      </c>
      <c r="L38" s="550">
        <f t="shared" si="42"/>
        <v>8307.6</v>
      </c>
      <c r="M38" s="551">
        <f t="shared" si="38"/>
        <v>0</v>
      </c>
      <c r="N38" s="549">
        <f>L38/K38*100</f>
        <v>100</v>
      </c>
      <c r="O38" s="291"/>
    </row>
    <row r="39" spans="1:15" ht="30">
      <c r="A39" s="863"/>
      <c r="B39" s="4"/>
      <c r="C39" s="4">
        <v>142</v>
      </c>
      <c r="D39" s="24" t="s">
        <v>45</v>
      </c>
      <c r="E39" s="560"/>
      <c r="F39" s="560"/>
      <c r="G39" s="561"/>
      <c r="H39" s="551"/>
      <c r="I39" s="22" t="e">
        <f t="shared" si="36"/>
        <v>#DIV/0!</v>
      </c>
      <c r="J39" s="560"/>
      <c r="K39" s="551"/>
      <c r="L39" s="560"/>
      <c r="M39" s="551"/>
      <c r="N39" s="549"/>
      <c r="O39" s="562"/>
    </row>
    <row r="40" spans="1:15" ht="15">
      <c r="A40" s="863"/>
      <c r="B40" s="4"/>
      <c r="C40" s="4"/>
      <c r="D40" s="24"/>
      <c r="E40" s="551"/>
      <c r="F40" s="551"/>
      <c r="G40" s="551"/>
      <c r="H40" s="551"/>
      <c r="I40" s="22"/>
      <c r="J40" s="551"/>
      <c r="K40" s="551"/>
      <c r="L40" s="551"/>
      <c r="M40" s="551"/>
      <c r="N40" s="549"/>
      <c r="O40" s="291"/>
    </row>
    <row r="41" spans="1:15" ht="30">
      <c r="A41" s="863"/>
      <c r="B41" s="4"/>
      <c r="C41" s="4">
        <v>144</v>
      </c>
      <c r="D41" s="24" t="s">
        <v>46</v>
      </c>
      <c r="E41" s="551"/>
      <c r="F41" s="551"/>
      <c r="G41" s="551"/>
      <c r="H41" s="551"/>
      <c r="I41" s="22" t="e">
        <f t="shared" ref="I41:I58" si="43">G41/F41*100</f>
        <v>#DIV/0!</v>
      </c>
      <c r="J41" s="551"/>
      <c r="K41" s="551"/>
      <c r="L41" s="551"/>
      <c r="M41" s="551"/>
      <c r="N41" s="549"/>
      <c r="O41" s="291"/>
    </row>
    <row r="42" spans="1:15" ht="15">
      <c r="A42" s="863"/>
      <c r="B42" s="4"/>
      <c r="C42" s="4">
        <v>149</v>
      </c>
      <c r="D42" s="4" t="s">
        <v>26</v>
      </c>
      <c r="E42" s="550">
        <v>7718</v>
      </c>
      <c r="F42" s="550">
        <v>5746.9</v>
      </c>
      <c r="G42" s="550">
        <v>5746.8379999999997</v>
      </c>
      <c r="H42" s="551">
        <f>F42-G42</f>
        <v>6.1999999999898137E-2</v>
      </c>
      <c r="I42" s="22">
        <f t="shared" si="43"/>
        <v>99.998921157493598</v>
      </c>
      <c r="J42" s="551"/>
      <c r="K42" s="550">
        <v>5746.9</v>
      </c>
      <c r="L42" s="550">
        <v>5746.8379999999997</v>
      </c>
      <c r="M42" s="551">
        <f>K42-L42</f>
        <v>6.1999999999898137E-2</v>
      </c>
      <c r="N42" s="549">
        <f>L42/K42*100</f>
        <v>99.998921157493598</v>
      </c>
      <c r="O42" s="291"/>
    </row>
    <row r="43" spans="1:15" ht="15">
      <c r="A43" s="863"/>
      <c r="B43" s="4"/>
      <c r="C43" s="4">
        <v>151</v>
      </c>
      <c r="D43" s="4" t="s">
        <v>47</v>
      </c>
      <c r="E43" s="551"/>
      <c r="F43" s="551"/>
      <c r="G43" s="551"/>
      <c r="H43" s="551"/>
      <c r="I43" s="22" t="e">
        <f t="shared" si="43"/>
        <v>#DIV/0!</v>
      </c>
      <c r="J43" s="551"/>
      <c r="K43" s="551"/>
      <c r="L43" s="551"/>
      <c r="M43" s="551"/>
      <c r="N43" s="549"/>
      <c r="O43" s="291"/>
    </row>
    <row r="44" spans="1:15" ht="15">
      <c r="A44" s="863"/>
      <c r="B44" s="4"/>
      <c r="C44" s="4">
        <v>152</v>
      </c>
      <c r="D44" s="4" t="s">
        <v>28</v>
      </c>
      <c r="E44" s="550">
        <v>9202</v>
      </c>
      <c r="F44" s="550">
        <v>2823.8</v>
      </c>
      <c r="G44" s="550">
        <v>2823.75801</v>
      </c>
      <c r="H44" s="551">
        <f t="shared" ref="H44:H45" si="44">F44-G44</f>
        <v>4.1990000000168948E-2</v>
      </c>
      <c r="I44" s="22">
        <f t="shared" si="43"/>
        <v>99.998512996671153</v>
      </c>
      <c r="J44" s="551"/>
      <c r="K44" s="550">
        <v>600.4</v>
      </c>
      <c r="L44" s="550">
        <v>600.35261000000003</v>
      </c>
      <c r="M44" s="551">
        <f t="shared" ref="M44:M45" si="45">K44-L44</f>
        <v>4.7389999999950305E-2</v>
      </c>
      <c r="N44" s="549">
        <f t="shared" ref="N44:N45" si="46">L44/K44*100</f>
        <v>99.992106928714193</v>
      </c>
      <c r="O44" s="291"/>
    </row>
    <row r="45" spans="1:15" ht="15">
      <c r="A45" s="863"/>
      <c r="B45" s="4"/>
      <c r="C45" s="4">
        <v>153</v>
      </c>
      <c r="D45" s="4" t="s">
        <v>48</v>
      </c>
      <c r="E45" s="550">
        <v>7553</v>
      </c>
      <c r="F45" s="550">
        <v>7551.1</v>
      </c>
      <c r="G45" s="550">
        <v>7551.04</v>
      </c>
      <c r="H45" s="551">
        <f t="shared" si="44"/>
        <v>6.0000000000400178E-2</v>
      </c>
      <c r="I45" s="22">
        <f t="shared" si="43"/>
        <v>99.999205413780771</v>
      </c>
      <c r="J45" s="551"/>
      <c r="K45" s="550">
        <v>3150</v>
      </c>
      <c r="L45" s="559">
        <v>3150</v>
      </c>
      <c r="M45" s="551">
        <f t="shared" si="45"/>
        <v>0</v>
      </c>
      <c r="N45" s="549">
        <f t="shared" si="46"/>
        <v>100</v>
      </c>
      <c r="O45" s="291"/>
    </row>
    <row r="46" spans="1:15" ht="15">
      <c r="A46" s="863"/>
      <c r="B46" s="4"/>
      <c r="C46" s="4">
        <v>154</v>
      </c>
      <c r="D46" s="4" t="s">
        <v>49</v>
      </c>
      <c r="E46" s="551"/>
      <c r="F46" s="551"/>
      <c r="G46" s="551"/>
      <c r="H46" s="551"/>
      <c r="I46" s="22" t="e">
        <f t="shared" si="43"/>
        <v>#DIV/0!</v>
      </c>
      <c r="J46" s="551"/>
      <c r="K46" s="551"/>
      <c r="L46" s="551"/>
      <c r="M46" s="551"/>
      <c r="N46" s="549"/>
      <c r="O46" s="291"/>
    </row>
    <row r="47" spans="1:15" ht="15">
      <c r="A47" s="863"/>
      <c r="B47" s="4"/>
      <c r="C47" s="4">
        <v>159</v>
      </c>
      <c r="D47" s="4" t="s">
        <v>21</v>
      </c>
      <c r="E47" s="550">
        <v>18974</v>
      </c>
      <c r="F47" s="550">
        <v>18974</v>
      </c>
      <c r="G47" s="550">
        <v>18974</v>
      </c>
      <c r="H47" s="551">
        <f t="shared" ref="H47:H48" si="47">F47-G47</f>
        <v>0</v>
      </c>
      <c r="I47" s="22">
        <f t="shared" si="43"/>
        <v>100</v>
      </c>
      <c r="J47" s="551"/>
      <c r="K47" s="550">
        <v>10291.200000000001</v>
      </c>
      <c r="L47" s="550">
        <v>10291.200000000001</v>
      </c>
      <c r="M47" s="551">
        <f t="shared" ref="M47:M48" si="48">K47-L47</f>
        <v>0</v>
      </c>
      <c r="N47" s="549">
        <f t="shared" ref="N47:N48" si="49">L47/K47*100</f>
        <v>100</v>
      </c>
      <c r="O47" s="555"/>
    </row>
    <row r="48" spans="1:15" ht="15">
      <c r="A48" s="862"/>
      <c r="B48" s="4"/>
      <c r="C48" s="4">
        <v>161</v>
      </c>
      <c r="D48" s="4" t="s">
        <v>50</v>
      </c>
      <c r="E48" s="550">
        <v>30902</v>
      </c>
      <c r="F48" s="550">
        <v>8260</v>
      </c>
      <c r="G48" s="550">
        <v>8260</v>
      </c>
      <c r="H48" s="551">
        <f t="shared" si="47"/>
        <v>0</v>
      </c>
      <c r="I48" s="22">
        <f t="shared" si="43"/>
        <v>100</v>
      </c>
      <c r="J48" s="563"/>
      <c r="K48" s="550">
        <f t="shared" ref="K48:L48" si="50">F48</f>
        <v>8260</v>
      </c>
      <c r="L48" s="550">
        <f t="shared" si="50"/>
        <v>8260</v>
      </c>
      <c r="M48" s="551">
        <f t="shared" si="48"/>
        <v>0</v>
      </c>
      <c r="N48" s="549">
        <f t="shared" si="49"/>
        <v>100</v>
      </c>
      <c r="O48" s="291"/>
    </row>
    <row r="49" spans="1:24" ht="30">
      <c r="A49" s="36"/>
      <c r="B49" s="4"/>
      <c r="C49" s="4">
        <v>165</v>
      </c>
      <c r="D49" s="24" t="s">
        <v>20</v>
      </c>
      <c r="E49" s="551"/>
      <c r="F49" s="551"/>
      <c r="G49" s="551"/>
      <c r="H49" s="551"/>
      <c r="I49" s="22" t="e">
        <f t="shared" si="43"/>
        <v>#DIV/0!</v>
      </c>
      <c r="J49" s="551"/>
      <c r="K49" s="551"/>
      <c r="L49" s="551"/>
      <c r="M49" s="551"/>
      <c r="N49" s="549"/>
      <c r="O49" s="291"/>
    </row>
    <row r="50" spans="1:24" ht="15">
      <c r="A50" s="4"/>
      <c r="B50" s="4"/>
      <c r="C50" s="4">
        <v>169</v>
      </c>
      <c r="D50" s="4" t="s">
        <v>22</v>
      </c>
      <c r="E50" s="551"/>
      <c r="F50" s="551"/>
      <c r="G50" s="551"/>
      <c r="H50" s="551"/>
      <c r="I50" s="22" t="e">
        <f t="shared" si="43"/>
        <v>#DIV/0!</v>
      </c>
      <c r="J50" s="551"/>
      <c r="K50" s="551"/>
      <c r="L50" s="551"/>
      <c r="M50" s="551"/>
      <c r="N50" s="549"/>
      <c r="O50" s="291"/>
    </row>
    <row r="51" spans="1:24" ht="15">
      <c r="A51" s="4"/>
      <c r="B51" s="4"/>
      <c r="C51" s="4">
        <v>322</v>
      </c>
      <c r="D51" s="4" t="s">
        <v>23</v>
      </c>
      <c r="E51" s="551"/>
      <c r="F51" s="551"/>
      <c r="G51" s="551"/>
      <c r="H51" s="551"/>
      <c r="I51" s="22" t="e">
        <f t="shared" si="43"/>
        <v>#DIV/0!</v>
      </c>
      <c r="J51" s="551"/>
      <c r="K51" s="551"/>
      <c r="L51" s="551"/>
      <c r="M51" s="551"/>
      <c r="N51" s="549"/>
      <c r="O51" s="291"/>
    </row>
    <row r="52" spans="1:24" ht="45">
      <c r="A52" s="4"/>
      <c r="B52" s="4"/>
      <c r="C52" s="4">
        <v>414</v>
      </c>
      <c r="D52" s="24" t="s">
        <v>24</v>
      </c>
      <c r="E52" s="551"/>
      <c r="F52" s="551"/>
      <c r="G52" s="551"/>
      <c r="H52" s="551"/>
      <c r="I52" s="22" t="e">
        <f t="shared" si="43"/>
        <v>#DIV/0!</v>
      </c>
      <c r="J52" s="551"/>
      <c r="K52" s="551"/>
      <c r="L52" s="551"/>
      <c r="M52" s="551"/>
      <c r="N52" s="549"/>
      <c r="O52" s="291"/>
    </row>
    <row r="53" spans="1:24" ht="15">
      <c r="A53" s="37">
        <v>70</v>
      </c>
      <c r="B53" s="38"/>
      <c r="C53" s="38"/>
      <c r="D53" s="39" t="s">
        <v>51</v>
      </c>
      <c r="E53" s="564">
        <f t="shared" ref="E53:H53" si="51">E54+E57</f>
        <v>2060194</v>
      </c>
      <c r="F53" s="564">
        <f t="shared" si="51"/>
        <v>362</v>
      </c>
      <c r="G53" s="564">
        <f t="shared" si="51"/>
        <v>362</v>
      </c>
      <c r="H53" s="564">
        <f t="shared" si="51"/>
        <v>0</v>
      </c>
      <c r="I53" s="22">
        <f t="shared" si="43"/>
        <v>100</v>
      </c>
      <c r="J53" s="564"/>
      <c r="K53" s="564">
        <f t="shared" ref="K53:L53" si="52">K54+K57</f>
        <v>362</v>
      </c>
      <c r="L53" s="564">
        <f t="shared" si="52"/>
        <v>362</v>
      </c>
      <c r="M53" s="564">
        <f>M54+P59</f>
        <v>0</v>
      </c>
      <c r="N53" s="549">
        <f t="shared" ref="N53:N58" si="53">L53/K53*100</f>
        <v>100</v>
      </c>
      <c r="O53" s="565"/>
    </row>
    <row r="54" spans="1:24" ht="45">
      <c r="A54" s="41"/>
      <c r="B54" s="42">
        <v>100</v>
      </c>
      <c r="C54" s="41"/>
      <c r="D54" s="43" t="s">
        <v>52</v>
      </c>
      <c r="E54" s="566">
        <f t="shared" ref="E54:H54" si="54">SUM(E55:E56)</f>
        <v>906371</v>
      </c>
      <c r="F54" s="566">
        <f t="shared" si="54"/>
        <v>362</v>
      </c>
      <c r="G54" s="566">
        <f t="shared" si="54"/>
        <v>362</v>
      </c>
      <c r="H54" s="566">
        <f t="shared" si="54"/>
        <v>0</v>
      </c>
      <c r="I54" s="22">
        <f t="shared" si="43"/>
        <v>100</v>
      </c>
      <c r="J54" s="566"/>
      <c r="K54" s="566">
        <f t="shared" ref="K54:M54" si="55">SUM(K55:K56)</f>
        <v>362</v>
      </c>
      <c r="L54" s="566">
        <f t="shared" si="55"/>
        <v>362</v>
      </c>
      <c r="M54" s="566">
        <f t="shared" si="55"/>
        <v>0</v>
      </c>
      <c r="N54" s="549">
        <f t="shared" si="53"/>
        <v>100</v>
      </c>
      <c r="O54" s="314"/>
    </row>
    <row r="55" spans="1:24" ht="15">
      <c r="A55" s="861"/>
      <c r="B55" s="4"/>
      <c r="C55" s="4">
        <v>159</v>
      </c>
      <c r="D55" s="4" t="s">
        <v>21</v>
      </c>
      <c r="E55" s="550">
        <v>872659</v>
      </c>
      <c r="F55" s="550">
        <v>0</v>
      </c>
      <c r="G55" s="551">
        <v>0</v>
      </c>
      <c r="H55" s="551">
        <f t="shared" ref="H55:H56" si="56">F55-G55</f>
        <v>0</v>
      </c>
      <c r="I55" s="22" t="e">
        <f t="shared" si="43"/>
        <v>#DIV/0!</v>
      </c>
      <c r="J55" s="558"/>
      <c r="K55" s="550">
        <v>0</v>
      </c>
      <c r="L55" s="551">
        <v>0</v>
      </c>
      <c r="M55" s="551">
        <f t="shared" ref="M55:M56" si="57">K55-L55</f>
        <v>0</v>
      </c>
      <c r="N55" s="549" t="e">
        <f t="shared" si="53"/>
        <v>#DIV/0!</v>
      </c>
      <c r="O55" s="291"/>
    </row>
    <row r="56" spans="1:24" ht="15">
      <c r="A56" s="862"/>
      <c r="B56" s="4"/>
      <c r="C56" s="4">
        <v>161</v>
      </c>
      <c r="D56" s="4" t="s">
        <v>50</v>
      </c>
      <c r="E56" s="550">
        <v>33712</v>
      </c>
      <c r="F56" s="550">
        <v>362</v>
      </c>
      <c r="G56" s="550">
        <v>362</v>
      </c>
      <c r="H56" s="551">
        <f t="shared" si="56"/>
        <v>0</v>
      </c>
      <c r="I56" s="22">
        <f t="shared" si="43"/>
        <v>100</v>
      </c>
      <c r="J56" s="551"/>
      <c r="K56" s="550">
        <f t="shared" ref="K56:L56" si="58">F56</f>
        <v>362</v>
      </c>
      <c r="L56" s="550">
        <f t="shared" si="58"/>
        <v>362</v>
      </c>
      <c r="M56" s="551">
        <f t="shared" si="57"/>
        <v>0</v>
      </c>
      <c r="N56" s="549">
        <f t="shared" si="53"/>
        <v>100</v>
      </c>
      <c r="O56" s="291"/>
    </row>
    <row r="57" spans="1:24" ht="75">
      <c r="A57" s="41"/>
      <c r="B57" s="42">
        <v>112</v>
      </c>
      <c r="C57" s="41"/>
      <c r="D57" s="43" t="s">
        <v>53</v>
      </c>
      <c r="E57" s="566">
        <f>SUM(E58+E59)</f>
        <v>1153823</v>
      </c>
      <c r="F57" s="566">
        <f t="shared" ref="F57:H57" si="59">SUM(F58)</f>
        <v>0</v>
      </c>
      <c r="G57" s="566">
        <f t="shared" si="59"/>
        <v>0</v>
      </c>
      <c r="H57" s="566">
        <f t="shared" si="59"/>
        <v>0</v>
      </c>
      <c r="I57" s="22" t="e">
        <f t="shared" si="43"/>
        <v>#DIV/0!</v>
      </c>
      <c r="J57" s="566"/>
      <c r="K57" s="566">
        <f t="shared" ref="K57:L57" si="60">SUM(K58)</f>
        <v>0</v>
      </c>
      <c r="L57" s="566">
        <f t="shared" si="60"/>
        <v>0</v>
      </c>
      <c r="N57" s="549" t="e">
        <f t="shared" si="53"/>
        <v>#DIV/0!</v>
      </c>
      <c r="O57" s="314"/>
    </row>
    <row r="58" spans="1:24" ht="30">
      <c r="A58" s="4"/>
      <c r="B58" s="4"/>
      <c r="C58" s="4">
        <v>418</v>
      </c>
      <c r="D58" s="24" t="s">
        <v>54</v>
      </c>
      <c r="E58" s="550">
        <v>967869</v>
      </c>
      <c r="F58" s="550">
        <v>0</v>
      </c>
      <c r="G58" s="550">
        <v>0</v>
      </c>
      <c r="H58" s="551">
        <f t="shared" ref="H58:H59" si="61">F58-G58</f>
        <v>0</v>
      </c>
      <c r="I58" s="22" t="e">
        <f t="shared" si="43"/>
        <v>#DIV/0!</v>
      </c>
      <c r="J58" s="551"/>
      <c r="K58" s="550">
        <f t="shared" ref="K58:L58" si="62">F58</f>
        <v>0</v>
      </c>
      <c r="L58" s="550">
        <f t="shared" si="62"/>
        <v>0</v>
      </c>
      <c r="M58" s="551">
        <f t="shared" ref="M58:M59" si="63">K58-L58</f>
        <v>0</v>
      </c>
      <c r="N58" s="549" t="e">
        <f t="shared" si="53"/>
        <v>#DIV/0!</v>
      </c>
      <c r="O58" s="291"/>
    </row>
    <row r="59" spans="1:24" ht="30">
      <c r="A59" s="4"/>
      <c r="B59" s="4"/>
      <c r="C59" s="25">
        <v>423</v>
      </c>
      <c r="D59" s="26" t="s">
        <v>35</v>
      </c>
      <c r="E59" s="550">
        <v>185954</v>
      </c>
      <c r="F59" s="550">
        <v>0</v>
      </c>
      <c r="G59" s="550">
        <v>0</v>
      </c>
      <c r="H59" s="551">
        <f t="shared" si="61"/>
        <v>0</v>
      </c>
      <c r="I59" s="22"/>
      <c r="J59" s="551"/>
      <c r="K59" s="550">
        <v>0</v>
      </c>
      <c r="L59" s="550">
        <v>0</v>
      </c>
      <c r="M59" s="551">
        <f t="shared" si="63"/>
        <v>0</v>
      </c>
      <c r="N59" s="549"/>
      <c r="O59" s="291"/>
      <c r="P59" s="566">
        <f>SUM(M58)</f>
        <v>0</v>
      </c>
    </row>
    <row r="60" spans="1:24" ht="43.5">
      <c r="A60" s="48">
        <v>138</v>
      </c>
      <c r="B60" s="567">
        <v>138</v>
      </c>
      <c r="C60" s="49"/>
      <c r="D60" s="50" t="s">
        <v>55</v>
      </c>
      <c r="E60" s="568">
        <f t="shared" ref="E60:H60" si="64">SUM(E61)</f>
        <v>1236.5999999999999</v>
      </c>
      <c r="F60" s="568">
        <f t="shared" si="64"/>
        <v>1236.5999999999999</v>
      </c>
      <c r="G60" s="568">
        <f t="shared" si="64"/>
        <v>1236.5999999999999</v>
      </c>
      <c r="H60" s="568">
        <f t="shared" si="64"/>
        <v>0</v>
      </c>
      <c r="I60" s="22">
        <f t="shared" ref="I60:I61" si="65">G60/F60*100</f>
        <v>100</v>
      </c>
      <c r="J60" s="568"/>
      <c r="K60" s="568">
        <f t="shared" ref="K60:M60" si="66">K61</f>
        <v>247.4</v>
      </c>
      <c r="L60" s="568">
        <f t="shared" si="66"/>
        <v>247.4</v>
      </c>
      <c r="M60" s="568">
        <f t="shared" si="66"/>
        <v>0</v>
      </c>
      <c r="N60" s="549">
        <f t="shared" ref="N60:N61" si="67">L60/K60*100</f>
        <v>100</v>
      </c>
      <c r="O60" s="325"/>
    </row>
    <row r="61" spans="1:24" ht="15">
      <c r="A61" s="4"/>
      <c r="B61" s="4"/>
      <c r="C61" s="4">
        <v>159</v>
      </c>
      <c r="D61" s="4" t="s">
        <v>29</v>
      </c>
      <c r="E61" s="550">
        <v>1236.5999999999999</v>
      </c>
      <c r="F61" s="550">
        <v>1236.5999999999999</v>
      </c>
      <c r="G61" s="550">
        <v>1236.5999999999999</v>
      </c>
      <c r="H61" s="551">
        <f>F61-G61</f>
        <v>0</v>
      </c>
      <c r="I61" s="22">
        <f t="shared" si="65"/>
        <v>100</v>
      </c>
      <c r="J61" s="551"/>
      <c r="K61" s="550">
        <v>247.4</v>
      </c>
      <c r="L61" s="550">
        <v>247.4</v>
      </c>
      <c r="M61" s="551">
        <f>K61-L61</f>
        <v>0</v>
      </c>
      <c r="N61" s="549">
        <f t="shared" si="67"/>
        <v>100</v>
      </c>
      <c r="O61" s="291"/>
    </row>
    <row r="62" spans="1:24" ht="27.75" customHeight="1">
      <c r="K62" s="921" t="s">
        <v>249</v>
      </c>
      <c r="L62" s="865"/>
      <c r="M62" s="865"/>
      <c r="N62" s="865"/>
      <c r="O62" s="290"/>
      <c r="P62" s="569"/>
      <c r="Q62" s="569"/>
      <c r="R62" s="569"/>
      <c r="S62" s="569"/>
      <c r="T62" s="569"/>
      <c r="U62" s="569"/>
      <c r="V62" s="569"/>
      <c r="W62" s="570"/>
      <c r="X62" s="571"/>
    </row>
    <row r="63" spans="1:24" ht="27" customHeight="1">
      <c r="K63" s="922" t="s">
        <v>57</v>
      </c>
      <c r="L63" s="867"/>
      <c r="M63" s="867"/>
      <c r="N63" s="868"/>
      <c r="O63" s="323">
        <f>SUM(O64:O81)</f>
        <v>0.48039000000358101</v>
      </c>
      <c r="P63" s="323"/>
      <c r="Q63" s="323"/>
      <c r="R63" s="323"/>
      <c r="S63" s="323"/>
      <c r="T63" s="323"/>
      <c r="U63" s="323"/>
      <c r="V63" s="323"/>
      <c r="W63" s="323"/>
      <c r="X63" s="53"/>
    </row>
    <row r="64" spans="1:24" ht="19.5" customHeight="1">
      <c r="K64" s="882" t="s">
        <v>58</v>
      </c>
      <c r="L64" s="867"/>
      <c r="M64" s="867"/>
      <c r="N64" s="868"/>
      <c r="O64" s="406">
        <f>M11+M12+M17+M31+M32+M33+M35+M36+M38+M51</f>
        <v>0.10300000000279397</v>
      </c>
      <c r="P64" s="572"/>
      <c r="Q64" s="406"/>
      <c r="R64" s="406"/>
      <c r="S64" s="406"/>
      <c r="T64" s="406"/>
      <c r="U64" s="406"/>
      <c r="V64" s="316"/>
      <c r="W64" s="316"/>
      <c r="X64" s="573"/>
    </row>
    <row r="65" spans="11:24" ht="19.5" customHeight="1">
      <c r="K65" s="882" t="s">
        <v>59</v>
      </c>
      <c r="L65" s="867"/>
      <c r="M65" s="867"/>
      <c r="N65" s="868"/>
      <c r="O65" s="406">
        <f>M13+M48+M56</f>
        <v>0</v>
      </c>
      <c r="P65" s="572"/>
      <c r="Q65" s="574"/>
      <c r="R65" s="406"/>
      <c r="S65" s="406"/>
      <c r="T65" s="406"/>
      <c r="U65" s="406"/>
      <c r="V65" s="316"/>
      <c r="W65" s="316"/>
      <c r="X65" s="573"/>
    </row>
    <row r="66" spans="11:24" ht="19.5" hidden="1" customHeight="1">
      <c r="K66" s="882" t="s">
        <v>60</v>
      </c>
      <c r="L66" s="867"/>
      <c r="M66" s="867"/>
      <c r="N66" s="868"/>
      <c r="O66" s="406">
        <f>M43</f>
        <v>0</v>
      </c>
      <c r="P66" s="572"/>
      <c r="Q66" s="406"/>
      <c r="R66" s="406"/>
      <c r="S66" s="406"/>
      <c r="T66" s="406"/>
      <c r="U66" s="406"/>
      <c r="V66" s="316"/>
      <c r="W66" s="316"/>
      <c r="X66" s="573"/>
    </row>
    <row r="67" spans="11:24" ht="19.5" customHeight="1">
      <c r="K67" s="882" t="s">
        <v>61</v>
      </c>
      <c r="L67" s="867"/>
      <c r="M67" s="867"/>
      <c r="N67" s="868"/>
      <c r="O67" s="406">
        <f t="shared" ref="O67:O68" si="68">M25</f>
        <v>0</v>
      </c>
      <c r="P67" s="572"/>
      <c r="Q67" s="574"/>
      <c r="R67" s="406"/>
      <c r="S67" s="406"/>
      <c r="T67" s="406"/>
      <c r="U67" s="406"/>
      <c r="V67" s="316"/>
      <c r="W67" s="316"/>
      <c r="X67" s="573"/>
    </row>
    <row r="68" spans="11:24" ht="69.75" customHeight="1">
      <c r="K68" s="882" t="s">
        <v>62</v>
      </c>
      <c r="L68" s="867"/>
      <c r="M68" s="867"/>
      <c r="N68" s="868"/>
      <c r="O68" s="406">
        <f t="shared" si="68"/>
        <v>0</v>
      </c>
      <c r="P68" s="574"/>
      <c r="Q68" s="574"/>
      <c r="R68" s="575"/>
      <c r="S68" s="406"/>
      <c r="T68" s="406"/>
      <c r="U68" s="406"/>
      <c r="V68" s="316"/>
      <c r="W68" s="316"/>
      <c r="X68" s="573"/>
    </row>
    <row r="69" spans="11:24" ht="19.5" hidden="1" customHeight="1">
      <c r="K69" s="882" t="s">
        <v>63</v>
      </c>
      <c r="L69" s="867"/>
      <c r="M69" s="867"/>
      <c r="N69" s="868"/>
      <c r="O69" s="406">
        <f>M29</f>
        <v>0</v>
      </c>
      <c r="P69" s="574"/>
      <c r="Q69" s="574"/>
      <c r="R69" s="575"/>
      <c r="S69" s="406"/>
      <c r="T69" s="406"/>
      <c r="U69" s="406"/>
      <c r="V69" s="316"/>
      <c r="W69" s="316"/>
      <c r="X69" s="573"/>
    </row>
    <row r="70" spans="11:24" ht="19.5" hidden="1" customHeight="1">
      <c r="K70" s="882" t="s">
        <v>64</v>
      </c>
      <c r="L70" s="867"/>
      <c r="M70" s="867"/>
      <c r="N70" s="868"/>
      <c r="O70" s="406">
        <f>M41</f>
        <v>0</v>
      </c>
      <c r="P70" s="574"/>
      <c r="Q70" s="574"/>
      <c r="R70" s="406"/>
      <c r="S70" s="406"/>
      <c r="T70" s="406"/>
      <c r="U70" s="406"/>
      <c r="V70" s="316"/>
      <c r="W70" s="316"/>
      <c r="X70" s="573"/>
    </row>
    <row r="71" spans="11:24" ht="27.75" customHeight="1">
      <c r="K71" s="882" t="s">
        <v>65</v>
      </c>
      <c r="L71" s="867"/>
      <c r="M71" s="867"/>
      <c r="N71" s="868"/>
      <c r="O71" s="406">
        <f>M20+M42</f>
        <v>0.1410000000000764</v>
      </c>
      <c r="P71" s="574"/>
      <c r="Q71" s="574"/>
      <c r="R71" s="406"/>
      <c r="S71" s="406"/>
      <c r="T71" s="406"/>
      <c r="U71" s="406"/>
      <c r="V71" s="316"/>
      <c r="W71" s="316"/>
      <c r="X71" s="573"/>
    </row>
    <row r="72" spans="11:24" ht="19.5" hidden="1" customHeight="1">
      <c r="K72" s="882" t="s">
        <v>235</v>
      </c>
      <c r="L72" s="867"/>
      <c r="M72" s="867"/>
      <c r="N72" s="868"/>
      <c r="O72" s="406">
        <f>M39</f>
        <v>0</v>
      </c>
      <c r="P72" s="572"/>
      <c r="Q72" s="406"/>
      <c r="R72" s="406"/>
      <c r="S72" s="406"/>
      <c r="T72" s="406"/>
      <c r="U72" s="406"/>
      <c r="V72" s="316"/>
      <c r="W72" s="316"/>
      <c r="X72" s="573"/>
    </row>
    <row r="73" spans="11:24" ht="19.5" customHeight="1">
      <c r="K73" s="882" t="s">
        <v>66</v>
      </c>
      <c r="L73" s="867"/>
      <c r="M73" s="867"/>
      <c r="N73" s="868"/>
      <c r="O73" s="406">
        <f>M45</f>
        <v>0</v>
      </c>
      <c r="P73" s="572"/>
      <c r="Q73" s="574"/>
      <c r="R73" s="406"/>
      <c r="S73" s="406"/>
      <c r="T73" s="406"/>
      <c r="U73" s="406"/>
      <c r="V73" s="316"/>
      <c r="W73" s="316"/>
      <c r="X73" s="573"/>
    </row>
    <row r="74" spans="11:24" ht="12.75">
      <c r="K74" s="882" t="s">
        <v>67</v>
      </c>
      <c r="L74" s="867"/>
      <c r="M74" s="867"/>
      <c r="N74" s="868"/>
      <c r="O74" s="406">
        <f>M15+M22+M47</f>
        <v>9.6000000000003638E-2</v>
      </c>
      <c r="P74" s="572"/>
      <c r="Q74" s="406"/>
      <c r="R74" s="406"/>
      <c r="S74" s="406"/>
      <c r="T74" s="406"/>
      <c r="U74" s="406"/>
      <c r="V74" s="316"/>
      <c r="W74" s="316"/>
      <c r="X74" s="573"/>
    </row>
    <row r="75" spans="11:24" ht="39.75" customHeight="1">
      <c r="K75" s="882" t="s">
        <v>68</v>
      </c>
      <c r="L75" s="867"/>
      <c r="M75" s="867"/>
      <c r="N75" s="868"/>
      <c r="O75" s="406">
        <f>M21+M44</f>
        <v>0.140390000000707</v>
      </c>
      <c r="P75" s="572"/>
      <c r="Q75" s="406"/>
      <c r="R75" s="406"/>
      <c r="S75" s="406"/>
      <c r="T75" s="406"/>
      <c r="U75" s="406"/>
      <c r="V75" s="316"/>
      <c r="W75" s="316"/>
      <c r="X75" s="573"/>
    </row>
    <row r="76" spans="11:24" ht="19.5" customHeight="1">
      <c r="K76" s="882" t="s">
        <v>69</v>
      </c>
      <c r="L76" s="867"/>
      <c r="M76" s="867"/>
      <c r="N76" s="868"/>
      <c r="O76" s="406"/>
      <c r="P76" s="572"/>
      <c r="Q76" s="406"/>
      <c r="R76" s="406"/>
      <c r="S76" s="574"/>
      <c r="T76" s="574"/>
      <c r="U76" s="406"/>
      <c r="V76" s="316"/>
      <c r="W76" s="316"/>
      <c r="X76" s="573"/>
    </row>
    <row r="77" spans="11:24" ht="19.5" customHeight="1">
      <c r="K77" s="882" t="s">
        <v>70</v>
      </c>
      <c r="L77" s="867"/>
      <c r="M77" s="867"/>
      <c r="N77" s="868"/>
      <c r="O77" s="406">
        <f>M16+M37+M49+M50</f>
        <v>0</v>
      </c>
      <c r="P77" s="572"/>
      <c r="Q77" s="574"/>
      <c r="R77" s="368"/>
      <c r="S77" s="406"/>
      <c r="T77" s="406"/>
      <c r="U77" s="406"/>
      <c r="V77" s="316"/>
      <c r="W77" s="316"/>
      <c r="X77" s="573"/>
    </row>
    <row r="78" spans="11:24" ht="19.5" hidden="1" customHeight="1">
      <c r="K78" s="882" t="s">
        <v>71</v>
      </c>
      <c r="L78" s="867"/>
      <c r="M78" s="867"/>
      <c r="N78" s="868"/>
      <c r="O78" s="406">
        <f>M61</f>
        <v>0</v>
      </c>
      <c r="P78" s="574"/>
      <c r="Q78" s="406"/>
      <c r="R78" s="406"/>
      <c r="S78" s="406"/>
      <c r="T78" s="406"/>
      <c r="U78" s="406"/>
      <c r="V78" s="316"/>
      <c r="W78" s="316"/>
      <c r="X78" s="576"/>
    </row>
    <row r="79" spans="11:24" ht="12.75">
      <c r="K79" s="882" t="s">
        <v>72</v>
      </c>
      <c r="L79" s="867"/>
      <c r="M79" s="867"/>
      <c r="N79" s="868"/>
      <c r="O79" s="406">
        <f>M58</f>
        <v>0</v>
      </c>
      <c r="P79" s="574"/>
      <c r="Q79" s="406"/>
      <c r="R79" s="406"/>
      <c r="S79" s="406"/>
      <c r="T79" s="406"/>
      <c r="U79" s="406"/>
      <c r="V79" s="316"/>
      <c r="W79" s="577"/>
      <c r="X79" s="573"/>
    </row>
    <row r="80" spans="11:24" ht="12.75">
      <c r="K80" s="882" t="s">
        <v>71</v>
      </c>
      <c r="L80" s="867"/>
      <c r="M80" s="867"/>
      <c r="N80" s="868"/>
      <c r="O80" s="406">
        <f>M60</f>
        <v>0</v>
      </c>
      <c r="P80" s="574"/>
      <c r="Q80" s="406"/>
      <c r="R80" s="406"/>
      <c r="S80" s="406"/>
      <c r="T80" s="406"/>
      <c r="U80" s="406"/>
      <c r="V80" s="316"/>
      <c r="W80" s="316"/>
      <c r="X80" s="57"/>
    </row>
    <row r="81" spans="11:24" ht="12.75">
      <c r="K81" s="882"/>
      <c r="L81" s="867"/>
      <c r="M81" s="867"/>
      <c r="N81" s="868"/>
      <c r="O81" s="316"/>
      <c r="P81" s="577"/>
      <c r="Q81" s="316"/>
      <c r="R81" s="316"/>
      <c r="S81" s="316"/>
      <c r="T81" s="316"/>
      <c r="U81" s="316"/>
      <c r="V81" s="316"/>
      <c r="W81" s="316"/>
      <c r="X81" s="57"/>
    </row>
    <row r="82" spans="11:24" ht="12.75">
      <c r="K82" s="893" t="s">
        <v>73</v>
      </c>
      <c r="L82" s="865"/>
      <c r="M82" s="865"/>
      <c r="N82" s="865"/>
      <c r="O82" s="578">
        <v>94</v>
      </c>
      <c r="P82" s="60"/>
      <c r="Q82" s="60"/>
      <c r="X82" s="60"/>
    </row>
  </sheetData>
  <mergeCells count="33">
    <mergeCell ref="K72:N72"/>
    <mergeCell ref="K73:N73"/>
    <mergeCell ref="K81:N81"/>
    <mergeCell ref="K82:N82"/>
    <mergeCell ref="K74:N74"/>
    <mergeCell ref="K75:N75"/>
    <mergeCell ref="K76:N76"/>
    <mergeCell ref="K77:N77"/>
    <mergeCell ref="K78:N78"/>
    <mergeCell ref="K79:N79"/>
    <mergeCell ref="K80:N80"/>
    <mergeCell ref="K67:N67"/>
    <mergeCell ref="K68:N68"/>
    <mergeCell ref="K69:N69"/>
    <mergeCell ref="K70:N70"/>
    <mergeCell ref="K71:N71"/>
    <mergeCell ref="K62:N62"/>
    <mergeCell ref="K63:N63"/>
    <mergeCell ref="K64:N64"/>
    <mergeCell ref="K65:N65"/>
    <mergeCell ref="K66:N66"/>
    <mergeCell ref="A11:A15"/>
    <mergeCell ref="A31:A48"/>
    <mergeCell ref="A55:A56"/>
    <mergeCell ref="A1:M1"/>
    <mergeCell ref="A2:M2"/>
    <mergeCell ref="A4:A6"/>
    <mergeCell ref="B4:B6"/>
    <mergeCell ref="C4:C6"/>
    <mergeCell ref="D4:D6"/>
    <mergeCell ref="E4:E6"/>
    <mergeCell ref="F5:H5"/>
    <mergeCell ref="K5:M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200"/>
  <sheetViews>
    <sheetView workbookViewId="0">
      <pane ySplit="12" topLeftCell="A13" activePane="bottomLeft" state="frozen"/>
      <selection sqref="A1:M2"/>
      <selection pane="bottomLeft" sqref="A1:M2"/>
    </sheetView>
  </sheetViews>
  <sheetFormatPr defaultColWidth="12.5703125" defaultRowHeight="15.75" customHeight="1"/>
  <cols>
    <col min="1" max="1" width="4.7109375" customWidth="1"/>
    <col min="2" max="2" width="5" customWidth="1"/>
    <col min="3" max="4" width="5.7109375" customWidth="1"/>
    <col min="5" max="5" width="3.5703125" customWidth="1"/>
    <col min="6" max="6" width="33.28515625" customWidth="1"/>
  </cols>
  <sheetData>
    <row r="1" spans="1:22" ht="12.75">
      <c r="A1" s="579"/>
      <c r="B1" s="579"/>
      <c r="C1" s="924" t="s">
        <v>250</v>
      </c>
      <c r="D1" s="865"/>
      <c r="E1" s="865"/>
      <c r="F1" s="865"/>
      <c r="G1" s="865"/>
      <c r="H1" s="865"/>
      <c r="I1" s="865"/>
      <c r="J1" s="865"/>
      <c r="K1" s="865"/>
      <c r="L1" s="865"/>
      <c r="M1" s="865"/>
      <c r="N1" s="865"/>
      <c r="O1" s="865"/>
      <c r="P1" s="865"/>
      <c r="Q1" s="865"/>
      <c r="R1" s="579"/>
      <c r="S1" s="579"/>
      <c r="T1" s="580"/>
      <c r="U1" s="580"/>
      <c r="V1" s="580"/>
    </row>
    <row r="2" spans="1:22" ht="12.75" hidden="1">
      <c r="A2" s="581"/>
      <c r="B2" s="581"/>
      <c r="C2" s="581"/>
      <c r="D2" s="581"/>
      <c r="E2" s="581"/>
      <c r="F2" s="581"/>
      <c r="G2" s="581"/>
      <c r="H2" s="581"/>
      <c r="I2" s="581"/>
      <c r="J2" s="581"/>
      <c r="K2" s="581"/>
      <c r="L2" s="581"/>
      <c r="M2" s="581"/>
      <c r="N2" s="581"/>
      <c r="O2" s="581"/>
      <c r="P2" s="581"/>
      <c r="Q2" s="581"/>
      <c r="R2" s="581"/>
      <c r="S2" s="581"/>
      <c r="T2" s="580"/>
      <c r="U2" s="580"/>
      <c r="V2" s="580"/>
    </row>
    <row r="3" spans="1:22" ht="12.75" hidden="1">
      <c r="A3" s="581"/>
      <c r="B3" s="582" t="s">
        <v>251</v>
      </c>
      <c r="C3" s="581"/>
      <c r="D3" s="581"/>
      <c r="E3" s="581"/>
      <c r="F3" s="581"/>
      <c r="G3" s="582" t="s">
        <v>252</v>
      </c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0"/>
      <c r="U3" s="580"/>
      <c r="V3" s="580"/>
    </row>
    <row r="4" spans="1:22" ht="12.75" hidden="1">
      <c r="A4" s="583"/>
      <c r="B4" s="923" t="s">
        <v>253</v>
      </c>
      <c r="C4" s="865"/>
      <c r="D4" s="583"/>
      <c r="E4" s="583"/>
      <c r="F4" s="583"/>
      <c r="G4" s="582" t="s">
        <v>254</v>
      </c>
      <c r="H4" s="583"/>
      <c r="I4" s="583"/>
      <c r="J4" s="583"/>
      <c r="K4" s="583"/>
      <c r="L4" s="583"/>
      <c r="M4" s="583"/>
      <c r="N4" s="583"/>
      <c r="O4" s="583"/>
      <c r="P4" s="583"/>
      <c r="Q4" s="583"/>
      <c r="R4" s="583"/>
      <c r="S4" s="583"/>
      <c r="T4" s="583"/>
      <c r="U4" s="583"/>
      <c r="V4" s="583"/>
    </row>
    <row r="5" spans="1:22" ht="12.75" hidden="1">
      <c r="A5" s="583"/>
      <c r="B5" s="582" t="s">
        <v>255</v>
      </c>
      <c r="C5" s="583"/>
      <c r="D5" s="583"/>
      <c r="E5" s="583"/>
      <c r="F5" s="583"/>
      <c r="G5" s="582" t="s">
        <v>256</v>
      </c>
      <c r="H5" s="583"/>
      <c r="I5" s="583"/>
      <c r="J5" s="583"/>
      <c r="K5" s="583"/>
      <c r="L5" s="583"/>
      <c r="M5" s="583"/>
      <c r="N5" s="583"/>
      <c r="O5" s="583"/>
      <c r="P5" s="583"/>
      <c r="Q5" s="583"/>
      <c r="R5" s="583"/>
      <c r="S5" s="583"/>
      <c r="T5" s="583"/>
      <c r="U5" s="583"/>
      <c r="V5" s="583"/>
    </row>
    <row r="6" spans="1:22" ht="12.75" hidden="1">
      <c r="A6" s="583"/>
      <c r="B6" s="923" t="s">
        <v>257</v>
      </c>
      <c r="C6" s="865"/>
      <c r="D6" s="583"/>
      <c r="E6" s="583"/>
      <c r="F6" s="583"/>
      <c r="G6" s="582" t="s">
        <v>258</v>
      </c>
      <c r="H6" s="583"/>
      <c r="I6" s="583"/>
      <c r="J6" s="583"/>
      <c r="K6" s="583"/>
      <c r="L6" s="583"/>
      <c r="M6" s="583"/>
      <c r="N6" s="583"/>
      <c r="O6" s="583"/>
      <c r="P6" s="583"/>
      <c r="Q6" s="583"/>
      <c r="R6" s="583"/>
      <c r="S6" s="583"/>
      <c r="T6" s="583"/>
      <c r="U6" s="583"/>
      <c r="V6" s="583"/>
    </row>
    <row r="7" spans="1:22" ht="12.75" hidden="1">
      <c r="A7" s="583"/>
      <c r="B7" s="923" t="s">
        <v>259</v>
      </c>
      <c r="C7" s="865"/>
      <c r="D7" s="865"/>
      <c r="E7" s="865"/>
      <c r="F7" s="583"/>
      <c r="G7" s="923" t="s">
        <v>260</v>
      </c>
      <c r="H7" s="865"/>
      <c r="I7" s="865"/>
      <c r="J7" s="865"/>
      <c r="K7" s="865"/>
      <c r="L7" s="865"/>
      <c r="M7" s="865"/>
      <c r="N7" s="865"/>
      <c r="O7" s="865"/>
      <c r="P7" s="865"/>
      <c r="Q7" s="865"/>
      <c r="R7" s="865"/>
      <c r="S7" s="583"/>
      <c r="T7" s="583"/>
      <c r="U7" s="583"/>
      <c r="V7" s="583"/>
    </row>
    <row r="8" spans="1:22" ht="12.75" hidden="1">
      <c r="A8" s="583"/>
      <c r="B8" s="923" t="s">
        <v>261</v>
      </c>
      <c r="C8" s="865"/>
      <c r="D8" s="865"/>
      <c r="E8" s="583"/>
      <c r="F8" s="583"/>
      <c r="G8" s="584"/>
      <c r="H8" s="585"/>
      <c r="I8" s="585"/>
      <c r="J8" s="585"/>
      <c r="K8" s="585"/>
      <c r="L8" s="585"/>
      <c r="M8" s="585"/>
      <c r="N8" s="585"/>
      <c r="O8" s="585"/>
      <c r="P8" s="585"/>
      <c r="Q8" s="585"/>
      <c r="R8" s="585"/>
      <c r="S8" s="585"/>
      <c r="T8" s="583"/>
      <c r="U8" s="583"/>
      <c r="V8" s="583"/>
    </row>
    <row r="9" spans="1:22" ht="12.75" hidden="1">
      <c r="A9" s="586"/>
      <c r="B9" s="586"/>
      <c r="C9" s="586"/>
      <c r="D9" s="586"/>
      <c r="E9" s="586"/>
      <c r="F9" s="586"/>
      <c r="G9" s="587"/>
      <c r="H9" s="587"/>
      <c r="I9" s="587"/>
      <c r="J9" s="587"/>
      <c r="K9" s="587"/>
      <c r="L9" s="587"/>
      <c r="M9" s="587"/>
      <c r="N9" s="587"/>
      <c r="O9" s="587"/>
      <c r="P9" s="587"/>
      <c r="Q9" s="587"/>
      <c r="R9" s="587"/>
      <c r="S9" s="587"/>
      <c r="T9" s="586"/>
      <c r="U9" s="586"/>
      <c r="V9" s="586"/>
    </row>
    <row r="10" spans="1:22" ht="12.75">
      <c r="A10" s="925" t="s">
        <v>262</v>
      </c>
      <c r="B10" s="925" t="s">
        <v>263</v>
      </c>
      <c r="C10" s="925" t="s">
        <v>1</v>
      </c>
      <c r="D10" s="925" t="s">
        <v>264</v>
      </c>
      <c r="E10" s="925" t="s">
        <v>3</v>
      </c>
      <c r="F10" s="925" t="s">
        <v>265</v>
      </c>
      <c r="G10" s="927" t="s">
        <v>266</v>
      </c>
      <c r="H10" s="926" t="s">
        <v>267</v>
      </c>
      <c r="I10" s="867"/>
      <c r="J10" s="867"/>
      <c r="K10" s="867"/>
      <c r="L10" s="867"/>
      <c r="M10" s="867"/>
      <c r="N10" s="867"/>
      <c r="O10" s="867"/>
      <c r="P10" s="867"/>
      <c r="Q10" s="867"/>
      <c r="R10" s="867"/>
      <c r="S10" s="868"/>
      <c r="T10" s="588"/>
      <c r="U10" s="588"/>
      <c r="V10" s="588"/>
    </row>
    <row r="11" spans="1:22" ht="12.75">
      <c r="A11" s="862"/>
      <c r="B11" s="862"/>
      <c r="C11" s="862"/>
      <c r="D11" s="862"/>
      <c r="E11" s="862"/>
      <c r="F11" s="862"/>
      <c r="G11" s="862"/>
      <c r="H11" s="589" t="s">
        <v>268</v>
      </c>
      <c r="I11" s="589" t="s">
        <v>269</v>
      </c>
      <c r="J11" s="589" t="s">
        <v>270</v>
      </c>
      <c r="K11" s="589" t="s">
        <v>271</v>
      </c>
      <c r="L11" s="589" t="s">
        <v>272</v>
      </c>
      <c r="M11" s="589" t="s">
        <v>273</v>
      </c>
      <c r="N11" s="589" t="s">
        <v>274</v>
      </c>
      <c r="O11" s="589" t="s">
        <v>275</v>
      </c>
      <c r="P11" s="589" t="s">
        <v>276</v>
      </c>
      <c r="Q11" s="589" t="s">
        <v>277</v>
      </c>
      <c r="R11" s="589" t="s">
        <v>278</v>
      </c>
      <c r="S11" s="589" t="s">
        <v>279</v>
      </c>
      <c r="T11" s="588"/>
      <c r="U11" s="588"/>
      <c r="V11" s="588"/>
    </row>
    <row r="12" spans="1:22" ht="12.75">
      <c r="A12" s="590">
        <v>1</v>
      </c>
      <c r="B12" s="591">
        <v>2</v>
      </c>
      <c r="C12" s="591">
        <v>3</v>
      </c>
      <c r="D12" s="591">
        <v>4</v>
      </c>
      <c r="E12" s="591">
        <v>5</v>
      </c>
      <c r="F12" s="591">
        <v>6</v>
      </c>
      <c r="G12" s="591">
        <v>7</v>
      </c>
      <c r="H12" s="591">
        <v>8</v>
      </c>
      <c r="I12" s="591">
        <v>9</v>
      </c>
      <c r="J12" s="591">
        <v>10</v>
      </c>
      <c r="K12" s="591">
        <v>11</v>
      </c>
      <c r="L12" s="591">
        <v>12</v>
      </c>
      <c r="M12" s="591">
        <v>13</v>
      </c>
      <c r="N12" s="591">
        <v>14</v>
      </c>
      <c r="O12" s="591">
        <v>15</v>
      </c>
      <c r="P12" s="591">
        <v>16</v>
      </c>
      <c r="Q12" s="591">
        <v>17</v>
      </c>
      <c r="R12" s="591">
        <v>18</v>
      </c>
      <c r="S12" s="591">
        <v>19</v>
      </c>
      <c r="T12" s="588"/>
      <c r="U12" s="588"/>
      <c r="V12" s="588"/>
    </row>
    <row r="13" spans="1:22" ht="12.75">
      <c r="A13" s="592"/>
      <c r="B13" s="593"/>
      <c r="C13" s="593"/>
      <c r="D13" s="593"/>
      <c r="E13" s="593"/>
      <c r="F13" s="593"/>
      <c r="G13" s="593"/>
      <c r="H13" s="593"/>
      <c r="I13" s="593"/>
      <c r="J13" s="593"/>
      <c r="K13" s="593"/>
      <c r="L13" s="593"/>
      <c r="M13" s="593"/>
      <c r="N13" s="593"/>
      <c r="O13" s="593"/>
      <c r="P13" s="593"/>
      <c r="Q13" s="593"/>
      <c r="R13" s="593"/>
      <c r="S13" s="593"/>
      <c r="T13" s="588"/>
      <c r="U13" s="588"/>
      <c r="V13" s="588"/>
    </row>
    <row r="14" spans="1:22" ht="12.75">
      <c r="A14" s="594"/>
      <c r="B14" s="595"/>
      <c r="C14" s="596"/>
      <c r="D14" s="596"/>
      <c r="E14" s="596"/>
      <c r="F14" s="597" t="s">
        <v>280</v>
      </c>
      <c r="G14" s="598">
        <f>G15+G84+G97</f>
        <v>4356631.5999999996</v>
      </c>
      <c r="H14" s="598" t="s">
        <v>281</v>
      </c>
      <c r="I14" s="598" t="s">
        <v>282</v>
      </c>
      <c r="J14" s="598" t="s">
        <v>283</v>
      </c>
      <c r="K14" s="598" t="s">
        <v>284</v>
      </c>
      <c r="L14" s="598" t="s">
        <v>285</v>
      </c>
      <c r="M14" s="598" t="s">
        <v>286</v>
      </c>
      <c r="N14" s="598" t="s">
        <v>287</v>
      </c>
      <c r="O14" s="598" t="s">
        <v>288</v>
      </c>
      <c r="P14" s="598" t="s">
        <v>289</v>
      </c>
      <c r="Q14" s="598" t="s">
        <v>290</v>
      </c>
      <c r="R14" s="598" t="s">
        <v>291</v>
      </c>
      <c r="S14" s="598" t="s">
        <v>292</v>
      </c>
      <c r="T14" s="599"/>
      <c r="U14" s="599"/>
      <c r="V14" s="599"/>
    </row>
    <row r="15" spans="1:22" ht="12.75">
      <c r="A15" s="600"/>
      <c r="B15" s="601"/>
      <c r="C15" s="602">
        <v>1</v>
      </c>
      <c r="D15" s="601"/>
      <c r="E15" s="601"/>
      <c r="F15" s="602" t="s">
        <v>15</v>
      </c>
      <c r="G15" s="603">
        <f t="shared" ref="G15:S15" si="0">G16+G30+G46+G53</f>
        <v>2295201</v>
      </c>
      <c r="H15" s="603">
        <f t="shared" si="0"/>
        <v>145551</v>
      </c>
      <c r="I15" s="603">
        <f t="shared" si="0"/>
        <v>147397</v>
      </c>
      <c r="J15" s="603">
        <f t="shared" si="0"/>
        <v>536906.5</v>
      </c>
      <c r="K15" s="603">
        <f t="shared" si="0"/>
        <v>601591.5</v>
      </c>
      <c r="L15" s="603">
        <f t="shared" si="0"/>
        <v>61954.9</v>
      </c>
      <c r="M15" s="603">
        <f t="shared" si="0"/>
        <v>68952.100000000006</v>
      </c>
      <c r="N15" s="603">
        <f t="shared" si="0"/>
        <v>429919</v>
      </c>
      <c r="O15" s="603">
        <f t="shared" si="0"/>
        <v>51661</v>
      </c>
      <c r="P15" s="603">
        <f t="shared" si="0"/>
        <v>48712</v>
      </c>
      <c r="Q15" s="603">
        <f t="shared" si="0"/>
        <v>48573</v>
      </c>
      <c r="R15" s="603">
        <f t="shared" si="0"/>
        <v>52066</v>
      </c>
      <c r="S15" s="603">
        <f t="shared" si="0"/>
        <v>101917</v>
      </c>
      <c r="T15" s="599"/>
      <c r="U15" s="599"/>
      <c r="V15" s="599"/>
    </row>
    <row r="16" spans="1:22" ht="12.75">
      <c r="A16" s="604"/>
      <c r="B16" s="605"/>
      <c r="C16" s="605"/>
      <c r="D16" s="606">
        <v>100</v>
      </c>
      <c r="E16" s="605"/>
      <c r="F16" s="607" t="s">
        <v>16</v>
      </c>
      <c r="G16" s="608">
        <f t="shared" ref="G16:S16" si="1">G17+G18+G19+G20+G28</f>
        <v>33316.799999999996</v>
      </c>
      <c r="H16" s="608">
        <f t="shared" si="1"/>
        <v>3132</v>
      </c>
      <c r="I16" s="608">
        <f t="shared" si="1"/>
        <v>3361</v>
      </c>
      <c r="J16" s="608">
        <f t="shared" si="1"/>
        <v>2897</v>
      </c>
      <c r="K16" s="608">
        <f t="shared" si="1"/>
        <v>2627</v>
      </c>
      <c r="L16" s="608">
        <f t="shared" si="1"/>
        <v>2785.7999999999997</v>
      </c>
      <c r="M16" s="608">
        <f t="shared" si="1"/>
        <v>1776</v>
      </c>
      <c r="N16" s="608">
        <f t="shared" si="1"/>
        <v>1776</v>
      </c>
      <c r="O16" s="608">
        <f t="shared" si="1"/>
        <v>2901</v>
      </c>
      <c r="P16" s="608">
        <f t="shared" si="1"/>
        <v>1775</v>
      </c>
      <c r="Q16" s="608">
        <f t="shared" si="1"/>
        <v>1775</v>
      </c>
      <c r="R16" s="608">
        <f t="shared" si="1"/>
        <v>1775</v>
      </c>
      <c r="S16" s="608">
        <f t="shared" si="1"/>
        <v>6736</v>
      </c>
      <c r="T16" s="609">
        <v>31893</v>
      </c>
      <c r="U16" s="609" t="s">
        <v>293</v>
      </c>
      <c r="V16" s="599"/>
    </row>
    <row r="17" spans="1:26" ht="12.75">
      <c r="A17" s="610"/>
      <c r="B17" s="611"/>
      <c r="C17" s="611"/>
      <c r="D17" s="611"/>
      <c r="E17" s="612">
        <v>131</v>
      </c>
      <c r="F17" s="613" t="s">
        <v>294</v>
      </c>
      <c r="G17" s="614">
        <f t="shared" ref="G17:G19" si="2">H17+I17+J17+K17+L17+M17+N17+O17+P17+Q17+R17+S17</f>
        <v>21437.5</v>
      </c>
      <c r="H17" s="614">
        <v>1555</v>
      </c>
      <c r="I17" s="614">
        <v>1555</v>
      </c>
      <c r="J17" s="614">
        <v>2675</v>
      </c>
      <c r="K17" s="614">
        <v>2365</v>
      </c>
      <c r="L17" s="614">
        <v>2409.5</v>
      </c>
      <c r="M17" s="614">
        <v>1554</v>
      </c>
      <c r="N17" s="614">
        <v>1554</v>
      </c>
      <c r="O17" s="614">
        <v>1554</v>
      </c>
      <c r="P17" s="614">
        <v>1554</v>
      </c>
      <c r="Q17" s="614">
        <v>1554</v>
      </c>
      <c r="R17" s="614">
        <v>1554</v>
      </c>
      <c r="S17" s="614">
        <v>1554</v>
      </c>
      <c r="T17" s="615">
        <v>18653</v>
      </c>
      <c r="U17" s="615">
        <v>0</v>
      </c>
      <c r="V17" s="588"/>
    </row>
    <row r="18" spans="1:26" ht="12.75">
      <c r="A18" s="610"/>
      <c r="B18" s="611"/>
      <c r="C18" s="611"/>
      <c r="D18" s="611"/>
      <c r="E18" s="612">
        <v>135</v>
      </c>
      <c r="F18" s="613" t="s">
        <v>18</v>
      </c>
      <c r="G18" s="614">
        <f t="shared" si="2"/>
        <v>2851.1</v>
      </c>
      <c r="H18" s="614">
        <v>222</v>
      </c>
      <c r="I18" s="614">
        <v>222</v>
      </c>
      <c r="J18" s="614">
        <v>222</v>
      </c>
      <c r="K18" s="614">
        <v>262</v>
      </c>
      <c r="L18" s="614">
        <v>376.1</v>
      </c>
      <c r="M18" s="614">
        <v>222</v>
      </c>
      <c r="N18" s="614">
        <v>222</v>
      </c>
      <c r="O18" s="614">
        <v>222</v>
      </c>
      <c r="P18" s="614">
        <v>221</v>
      </c>
      <c r="Q18" s="614">
        <v>221</v>
      </c>
      <c r="R18" s="614">
        <v>221</v>
      </c>
      <c r="S18" s="614">
        <v>218</v>
      </c>
      <c r="T18" s="615">
        <v>2936</v>
      </c>
      <c r="U18" s="615">
        <v>0</v>
      </c>
      <c r="V18" s="588"/>
    </row>
    <row r="19" spans="1:26" ht="12.75">
      <c r="A19" s="610"/>
      <c r="B19" s="611"/>
      <c r="C19" s="611"/>
      <c r="D19" s="611"/>
      <c r="E19" s="612">
        <v>136</v>
      </c>
      <c r="F19" s="613" t="s">
        <v>19</v>
      </c>
      <c r="G19" s="614">
        <f t="shared" si="2"/>
        <v>0</v>
      </c>
      <c r="H19" s="616"/>
      <c r="I19" s="616"/>
      <c r="J19" s="616"/>
      <c r="K19" s="616"/>
      <c r="L19" s="616"/>
      <c r="M19" s="616"/>
      <c r="N19" s="616"/>
      <c r="O19" s="616"/>
      <c r="P19" s="616"/>
      <c r="Q19" s="616"/>
      <c r="R19" s="616"/>
      <c r="S19" s="616"/>
      <c r="T19" s="588"/>
      <c r="U19" s="588"/>
      <c r="V19" s="588"/>
    </row>
    <row r="20" spans="1:26" ht="12.75">
      <c r="A20" s="610"/>
      <c r="B20" s="611"/>
      <c r="C20" s="611"/>
      <c r="D20" s="611"/>
      <c r="E20" s="612">
        <v>159</v>
      </c>
      <c r="F20" s="617" t="s">
        <v>29</v>
      </c>
      <c r="G20" s="614">
        <f t="shared" ref="G20:S20" si="3">G21+G22+G23+G24+G25+G26+G27</f>
        <v>9028</v>
      </c>
      <c r="H20" s="614">
        <f t="shared" si="3"/>
        <v>1355</v>
      </c>
      <c r="I20" s="614">
        <f t="shared" si="3"/>
        <v>1584</v>
      </c>
      <c r="J20" s="614">
        <f t="shared" si="3"/>
        <v>0</v>
      </c>
      <c r="K20" s="614">
        <f t="shared" si="3"/>
        <v>0</v>
      </c>
      <c r="L20" s="614">
        <f t="shared" si="3"/>
        <v>0</v>
      </c>
      <c r="M20" s="614">
        <f t="shared" si="3"/>
        <v>0</v>
      </c>
      <c r="N20" s="614">
        <f t="shared" si="3"/>
        <v>0</v>
      </c>
      <c r="O20" s="614">
        <f t="shared" si="3"/>
        <v>1125</v>
      </c>
      <c r="P20" s="614">
        <f t="shared" si="3"/>
        <v>0</v>
      </c>
      <c r="Q20" s="614">
        <f t="shared" si="3"/>
        <v>0</v>
      </c>
      <c r="R20" s="614">
        <f t="shared" si="3"/>
        <v>0</v>
      </c>
      <c r="S20" s="614">
        <f t="shared" si="3"/>
        <v>4964</v>
      </c>
      <c r="T20" s="615">
        <v>10304</v>
      </c>
      <c r="U20" s="615" t="s">
        <v>295</v>
      </c>
      <c r="V20" s="618"/>
    </row>
    <row r="21" spans="1:26" ht="12.75">
      <c r="A21" s="619"/>
      <c r="B21" s="620"/>
      <c r="C21" s="620"/>
      <c r="D21" s="620"/>
      <c r="E21" s="620"/>
      <c r="F21" s="621" t="s">
        <v>296</v>
      </c>
      <c r="G21" s="614">
        <f t="shared" ref="G21:G29" si="4">H21+I21+J21+K21+L21+M21+N21+O21+$P$20+$Q$20+$R$20+S21</f>
        <v>1584</v>
      </c>
      <c r="H21" s="622"/>
      <c r="I21" s="623">
        <v>1584</v>
      </c>
      <c r="J21" s="622"/>
      <c r="K21" s="622"/>
      <c r="L21" s="622"/>
      <c r="M21" s="622"/>
      <c r="N21" s="622"/>
      <c r="O21" s="622"/>
      <c r="P21" s="622"/>
      <c r="Q21" s="622"/>
      <c r="R21" s="622"/>
      <c r="S21" s="623"/>
      <c r="T21" s="624">
        <v>1584</v>
      </c>
      <c r="U21" s="615">
        <v>0</v>
      </c>
      <c r="V21" s="625"/>
    </row>
    <row r="22" spans="1:26" ht="25.5">
      <c r="A22" s="619"/>
      <c r="B22" s="620"/>
      <c r="C22" s="620"/>
      <c r="D22" s="620"/>
      <c r="E22" s="620"/>
      <c r="F22" s="621" t="s">
        <v>297</v>
      </c>
      <c r="G22" s="614">
        <f t="shared" si="4"/>
        <v>4964</v>
      </c>
      <c r="H22" s="622"/>
      <c r="I22" s="622"/>
      <c r="J22" s="622"/>
      <c r="K22" s="622"/>
      <c r="L22" s="622"/>
      <c r="M22" s="622"/>
      <c r="N22" s="622"/>
      <c r="O22" s="622"/>
      <c r="P22" s="622"/>
      <c r="Q22" s="622"/>
      <c r="R22" s="622"/>
      <c r="S22" s="623">
        <v>4964</v>
      </c>
      <c r="T22" s="624">
        <v>6240</v>
      </c>
      <c r="U22" s="615" t="s">
        <v>295</v>
      </c>
      <c r="V22" s="625"/>
    </row>
    <row r="23" spans="1:26" ht="25.5">
      <c r="A23" s="619"/>
      <c r="B23" s="620"/>
      <c r="C23" s="620"/>
      <c r="D23" s="620"/>
      <c r="E23" s="620"/>
      <c r="F23" s="621" t="s">
        <v>298</v>
      </c>
      <c r="G23" s="614">
        <f t="shared" si="4"/>
        <v>1125</v>
      </c>
      <c r="H23" s="622"/>
      <c r="I23" s="622"/>
      <c r="J23" s="622"/>
      <c r="K23" s="622"/>
      <c r="L23" s="622"/>
      <c r="M23" s="622"/>
      <c r="N23" s="622"/>
      <c r="O23" s="623">
        <v>1125</v>
      </c>
      <c r="P23" s="622"/>
      <c r="Q23" s="622"/>
      <c r="R23" s="622"/>
      <c r="S23" s="622"/>
      <c r="T23" s="624">
        <v>1125</v>
      </c>
      <c r="U23" s="615">
        <v>0</v>
      </c>
      <c r="V23" s="625"/>
    </row>
    <row r="24" spans="1:26" ht="12.75">
      <c r="A24" s="619"/>
      <c r="B24" s="620"/>
      <c r="C24" s="620"/>
      <c r="D24" s="620"/>
      <c r="E24" s="620"/>
      <c r="F24" s="621" t="s">
        <v>299</v>
      </c>
      <c r="G24" s="614">
        <f t="shared" si="4"/>
        <v>84</v>
      </c>
      <c r="H24" s="623">
        <v>84</v>
      </c>
      <c r="I24" s="622"/>
      <c r="J24" s="622"/>
      <c r="K24" s="622"/>
      <c r="L24" s="622"/>
      <c r="M24" s="622"/>
      <c r="N24" s="622"/>
      <c r="O24" s="622"/>
      <c r="P24" s="622"/>
      <c r="Q24" s="622"/>
      <c r="R24" s="622"/>
      <c r="S24" s="622"/>
      <c r="T24" s="624">
        <v>84</v>
      </c>
      <c r="U24" s="615">
        <v>0</v>
      </c>
      <c r="V24" s="625"/>
    </row>
    <row r="25" spans="1:26" ht="38.25">
      <c r="A25" s="619"/>
      <c r="B25" s="620"/>
      <c r="C25" s="620"/>
      <c r="D25" s="620"/>
      <c r="E25" s="620"/>
      <c r="F25" s="621" t="s">
        <v>300</v>
      </c>
      <c r="G25" s="614">
        <f t="shared" si="4"/>
        <v>822</v>
      </c>
      <c r="H25" s="623">
        <v>822</v>
      </c>
      <c r="I25" s="622"/>
      <c r="J25" s="622"/>
      <c r="K25" s="622"/>
      <c r="L25" s="622"/>
      <c r="M25" s="622"/>
      <c r="N25" s="622"/>
      <c r="O25" s="622"/>
      <c r="P25" s="622"/>
      <c r="Q25" s="622"/>
      <c r="R25" s="622"/>
      <c r="S25" s="622"/>
      <c r="T25" s="624">
        <v>822</v>
      </c>
      <c r="U25" s="615">
        <v>0</v>
      </c>
      <c r="V25" s="625"/>
    </row>
    <row r="26" spans="1:26" ht="25.5">
      <c r="A26" s="619"/>
      <c r="B26" s="620"/>
      <c r="C26" s="620"/>
      <c r="D26" s="620"/>
      <c r="E26" s="620"/>
      <c r="F26" s="621" t="s">
        <v>301</v>
      </c>
      <c r="G26" s="614">
        <f t="shared" si="4"/>
        <v>146</v>
      </c>
      <c r="H26" s="623">
        <v>146</v>
      </c>
      <c r="I26" s="622"/>
      <c r="J26" s="622"/>
      <c r="K26" s="622"/>
      <c r="L26" s="622"/>
      <c r="M26" s="622"/>
      <c r="N26" s="622"/>
      <c r="O26" s="622"/>
      <c r="P26" s="622"/>
      <c r="Q26" s="622"/>
      <c r="R26" s="622"/>
      <c r="S26" s="622"/>
      <c r="T26" s="624">
        <v>146</v>
      </c>
      <c r="U26" s="615">
        <v>0</v>
      </c>
      <c r="V26" s="625"/>
    </row>
    <row r="27" spans="1:26" ht="25.5">
      <c r="A27" s="619"/>
      <c r="B27" s="620"/>
      <c r="C27" s="620"/>
      <c r="D27" s="620"/>
      <c r="E27" s="620"/>
      <c r="F27" s="621" t="s">
        <v>302</v>
      </c>
      <c r="G27" s="614">
        <f t="shared" si="4"/>
        <v>303</v>
      </c>
      <c r="H27" s="623">
        <v>303</v>
      </c>
      <c r="I27" s="622"/>
      <c r="J27" s="622"/>
      <c r="K27" s="622"/>
      <c r="L27" s="622"/>
      <c r="M27" s="622"/>
      <c r="N27" s="622"/>
      <c r="O27" s="622"/>
      <c r="P27" s="622"/>
      <c r="Q27" s="622"/>
      <c r="R27" s="622"/>
      <c r="S27" s="622"/>
      <c r="T27" s="624">
        <v>303</v>
      </c>
      <c r="U27" s="615">
        <v>0</v>
      </c>
      <c r="V27" s="625"/>
    </row>
    <row r="28" spans="1:26" ht="12.75">
      <c r="A28" s="626"/>
      <c r="B28" s="627"/>
      <c r="C28" s="627"/>
      <c r="D28" s="628"/>
      <c r="E28" s="628">
        <v>169</v>
      </c>
      <c r="F28" s="629" t="s">
        <v>22</v>
      </c>
      <c r="G28" s="598">
        <f t="shared" si="4"/>
        <v>0.2</v>
      </c>
      <c r="H28" s="630">
        <f t="shared" ref="H28:S28" si="5">H29</f>
        <v>0</v>
      </c>
      <c r="I28" s="630">
        <f t="shared" si="5"/>
        <v>0</v>
      </c>
      <c r="J28" s="630">
        <f t="shared" si="5"/>
        <v>0</v>
      </c>
      <c r="K28" s="630">
        <f t="shared" si="5"/>
        <v>0</v>
      </c>
      <c r="L28" s="630">
        <f t="shared" si="5"/>
        <v>0.2</v>
      </c>
      <c r="M28" s="630">
        <f t="shared" si="5"/>
        <v>0</v>
      </c>
      <c r="N28" s="630">
        <f t="shared" si="5"/>
        <v>0</v>
      </c>
      <c r="O28" s="630">
        <f t="shared" si="5"/>
        <v>0</v>
      </c>
      <c r="P28" s="630">
        <f t="shared" si="5"/>
        <v>0</v>
      </c>
      <c r="Q28" s="630">
        <f t="shared" si="5"/>
        <v>0</v>
      </c>
      <c r="R28" s="630">
        <f t="shared" si="5"/>
        <v>0</v>
      </c>
      <c r="S28" s="630">
        <f t="shared" si="5"/>
        <v>0</v>
      </c>
      <c r="T28" s="631"/>
      <c r="U28" s="631"/>
      <c r="V28" s="632"/>
      <c r="W28" s="47"/>
      <c r="X28" s="47"/>
      <c r="Y28" s="47"/>
      <c r="Z28" s="47"/>
    </row>
    <row r="29" spans="1:26" ht="12.75">
      <c r="A29" s="626"/>
      <c r="B29" s="627"/>
      <c r="C29" s="627"/>
      <c r="D29" s="628"/>
      <c r="E29" s="627"/>
      <c r="F29" s="633" t="s">
        <v>303</v>
      </c>
      <c r="G29" s="614">
        <f t="shared" si="4"/>
        <v>0.2</v>
      </c>
      <c r="H29" s="630"/>
      <c r="I29" s="630"/>
      <c r="J29" s="630"/>
      <c r="K29" s="630"/>
      <c r="L29" s="623">
        <v>0.2</v>
      </c>
      <c r="M29" s="630"/>
      <c r="N29" s="630"/>
      <c r="O29" s="630"/>
      <c r="P29" s="630"/>
      <c r="Q29" s="630"/>
      <c r="R29" s="630"/>
      <c r="S29" s="630"/>
      <c r="T29" s="631"/>
      <c r="U29" s="631"/>
      <c r="V29" s="632"/>
      <c r="W29" s="47"/>
      <c r="X29" s="47"/>
      <c r="Y29" s="47"/>
      <c r="Z29" s="47"/>
    </row>
    <row r="30" spans="1:26" ht="12.75">
      <c r="A30" s="604"/>
      <c r="B30" s="605"/>
      <c r="C30" s="605"/>
      <c r="D30" s="606">
        <v>104</v>
      </c>
      <c r="E30" s="605"/>
      <c r="F30" s="607" t="s">
        <v>25</v>
      </c>
      <c r="G30" s="608">
        <f t="shared" ref="G30:S30" si="6">G31+G37+G41</f>
        <v>728631</v>
      </c>
      <c r="H30" s="608">
        <f t="shared" si="6"/>
        <v>65518</v>
      </c>
      <c r="I30" s="608">
        <f t="shared" si="6"/>
        <v>0</v>
      </c>
      <c r="J30" s="608">
        <f t="shared" si="6"/>
        <v>497333</v>
      </c>
      <c r="K30" s="608">
        <f t="shared" si="6"/>
        <v>116820</v>
      </c>
      <c r="L30" s="608">
        <f t="shared" si="6"/>
        <v>0</v>
      </c>
      <c r="M30" s="608">
        <f t="shared" si="6"/>
        <v>12420</v>
      </c>
      <c r="N30" s="608">
        <f t="shared" si="6"/>
        <v>0</v>
      </c>
      <c r="O30" s="608">
        <f t="shared" si="6"/>
        <v>0</v>
      </c>
      <c r="P30" s="608">
        <f t="shared" si="6"/>
        <v>0</v>
      </c>
      <c r="Q30" s="608">
        <f t="shared" si="6"/>
        <v>0</v>
      </c>
      <c r="R30" s="608">
        <f t="shared" si="6"/>
        <v>0</v>
      </c>
      <c r="S30" s="608">
        <f t="shared" si="6"/>
        <v>36540</v>
      </c>
      <c r="T30" s="609">
        <v>679671</v>
      </c>
      <c r="U30" s="609">
        <v>0</v>
      </c>
      <c r="V30" s="599"/>
    </row>
    <row r="31" spans="1:26" ht="12.75">
      <c r="A31" s="610"/>
      <c r="B31" s="611"/>
      <c r="C31" s="611"/>
      <c r="D31" s="611"/>
      <c r="E31" s="612">
        <v>149</v>
      </c>
      <c r="F31" s="613" t="s">
        <v>304</v>
      </c>
      <c r="G31" s="614">
        <f t="shared" ref="G31:J31" si="7">G32+G33+G34+G35+G36</f>
        <v>286391</v>
      </c>
      <c r="H31" s="614">
        <f t="shared" si="7"/>
        <v>0</v>
      </c>
      <c r="I31" s="614">
        <f t="shared" si="7"/>
        <v>0</v>
      </c>
      <c r="J31" s="614">
        <f t="shared" si="7"/>
        <v>286391</v>
      </c>
      <c r="K31" s="614">
        <v>0</v>
      </c>
      <c r="L31" s="614">
        <v>0</v>
      </c>
      <c r="M31" s="614">
        <v>0</v>
      </c>
      <c r="N31" s="614">
        <v>0</v>
      </c>
      <c r="O31" s="614">
        <v>0</v>
      </c>
      <c r="P31" s="614">
        <v>0</v>
      </c>
      <c r="Q31" s="614">
        <v>0</v>
      </c>
      <c r="R31" s="614">
        <v>0</v>
      </c>
      <c r="S31" s="614">
        <v>0</v>
      </c>
      <c r="T31" s="615">
        <v>286391</v>
      </c>
      <c r="U31" s="615">
        <v>0</v>
      </c>
      <c r="V31" s="588"/>
    </row>
    <row r="32" spans="1:26" ht="12.75">
      <c r="A32" s="619"/>
      <c r="B32" s="620"/>
      <c r="C32" s="620"/>
      <c r="D32" s="620"/>
      <c r="E32" s="620"/>
      <c r="F32" s="634" t="s">
        <v>305</v>
      </c>
      <c r="G32" s="614">
        <f t="shared" ref="G32:G36" si="8">H32+I32+J32+K32+L32+M32+N32+O32+$P$20+$Q$20+$R$20+S32</f>
        <v>144917.6</v>
      </c>
      <c r="H32" s="635"/>
      <c r="I32" s="635"/>
      <c r="J32" s="636">
        <v>144917.6</v>
      </c>
      <c r="K32" s="635"/>
      <c r="L32" s="635"/>
      <c r="M32" s="635"/>
      <c r="N32" s="635"/>
      <c r="O32" s="635"/>
      <c r="P32" s="635"/>
      <c r="Q32" s="635"/>
      <c r="R32" s="635"/>
      <c r="S32" s="635"/>
      <c r="T32" s="624">
        <v>144917.6</v>
      </c>
      <c r="U32" s="615">
        <v>0</v>
      </c>
      <c r="V32" s="637"/>
    </row>
    <row r="33" spans="1:26" ht="12.75">
      <c r="A33" s="619"/>
      <c r="B33" s="620"/>
      <c r="C33" s="620"/>
      <c r="D33" s="620"/>
      <c r="E33" s="620"/>
      <c r="F33" s="634" t="s">
        <v>306</v>
      </c>
      <c r="G33" s="614">
        <f t="shared" si="8"/>
        <v>97721.4</v>
      </c>
      <c r="H33" s="635"/>
      <c r="I33" s="635"/>
      <c r="J33" s="636">
        <v>97721.4</v>
      </c>
      <c r="K33" s="635"/>
      <c r="L33" s="635"/>
      <c r="M33" s="635"/>
      <c r="N33" s="635"/>
      <c r="O33" s="635"/>
      <c r="P33" s="635"/>
      <c r="Q33" s="635"/>
      <c r="R33" s="635"/>
      <c r="S33" s="635"/>
      <c r="T33" s="624">
        <v>97721.4</v>
      </c>
      <c r="U33" s="615">
        <v>0</v>
      </c>
      <c r="V33" s="637"/>
    </row>
    <row r="34" spans="1:26" ht="12.75">
      <c r="A34" s="619"/>
      <c r="B34" s="620"/>
      <c r="C34" s="620"/>
      <c r="D34" s="620"/>
      <c r="E34" s="620"/>
      <c r="F34" s="634" t="s">
        <v>307</v>
      </c>
      <c r="G34" s="614">
        <f t="shared" si="8"/>
        <v>17352</v>
      </c>
      <c r="H34" s="635"/>
      <c r="I34" s="635"/>
      <c r="J34" s="636">
        <v>17352</v>
      </c>
      <c r="K34" s="635"/>
      <c r="L34" s="635"/>
      <c r="M34" s="635"/>
      <c r="N34" s="635"/>
      <c r="O34" s="635"/>
      <c r="P34" s="635"/>
      <c r="Q34" s="635"/>
      <c r="R34" s="635"/>
      <c r="S34" s="635"/>
      <c r="T34" s="624">
        <v>17352</v>
      </c>
      <c r="U34" s="615">
        <v>0</v>
      </c>
      <c r="V34" s="637"/>
    </row>
    <row r="35" spans="1:26" ht="12.75">
      <c r="A35" s="619"/>
      <c r="B35" s="620"/>
      <c r="C35" s="620"/>
      <c r="D35" s="620"/>
      <c r="E35" s="620"/>
      <c r="F35" s="634" t="s">
        <v>308</v>
      </c>
      <c r="G35" s="614">
        <f t="shared" si="8"/>
        <v>21385</v>
      </c>
      <c r="H35" s="635"/>
      <c r="I35" s="635"/>
      <c r="J35" s="636">
        <v>21385</v>
      </c>
      <c r="K35" s="635"/>
      <c r="L35" s="635"/>
      <c r="M35" s="635"/>
      <c r="N35" s="635"/>
      <c r="O35" s="635"/>
      <c r="P35" s="635"/>
      <c r="Q35" s="635"/>
      <c r="R35" s="635"/>
      <c r="S35" s="635"/>
      <c r="T35" s="624">
        <v>21385</v>
      </c>
      <c r="U35" s="615">
        <v>0</v>
      </c>
      <c r="V35" s="637"/>
    </row>
    <row r="36" spans="1:26" ht="12.75">
      <c r="A36" s="619"/>
      <c r="B36" s="620"/>
      <c r="C36" s="620"/>
      <c r="D36" s="620"/>
      <c r="E36" s="620"/>
      <c r="F36" s="634" t="s">
        <v>309</v>
      </c>
      <c r="G36" s="614">
        <f t="shared" si="8"/>
        <v>5015</v>
      </c>
      <c r="H36" s="635"/>
      <c r="I36" s="635"/>
      <c r="J36" s="636">
        <v>5015</v>
      </c>
      <c r="K36" s="635"/>
      <c r="L36" s="635"/>
      <c r="M36" s="635"/>
      <c r="N36" s="635"/>
      <c r="O36" s="635"/>
      <c r="P36" s="635"/>
      <c r="Q36" s="635"/>
      <c r="R36" s="635"/>
      <c r="S36" s="635"/>
      <c r="T36" s="624">
        <v>5015</v>
      </c>
      <c r="U36" s="615">
        <v>0</v>
      </c>
      <c r="V36" s="637"/>
    </row>
    <row r="37" spans="1:26" ht="12.75">
      <c r="A37" s="610"/>
      <c r="B37" s="611"/>
      <c r="C37" s="611"/>
      <c r="D37" s="611"/>
      <c r="E37" s="612">
        <v>152</v>
      </c>
      <c r="F37" s="613" t="s">
        <v>28</v>
      </c>
      <c r="G37" s="614">
        <f>H37+I37+J37+K37+L37+M37+N37+O37+P37+Q37+R37+S37</f>
        <v>196010</v>
      </c>
      <c r="H37" s="614">
        <f>H38+H39</f>
        <v>24508</v>
      </c>
      <c r="I37" s="614">
        <v>0</v>
      </c>
      <c r="J37" s="614">
        <f t="shared" ref="J37:S37" si="9">J38+J39+J40</f>
        <v>122542</v>
      </c>
      <c r="K37" s="614">
        <f t="shared" si="9"/>
        <v>0</v>
      </c>
      <c r="L37" s="614">
        <f t="shared" si="9"/>
        <v>0</v>
      </c>
      <c r="M37" s="614">
        <f t="shared" si="9"/>
        <v>12420</v>
      </c>
      <c r="N37" s="614">
        <f t="shared" si="9"/>
        <v>0</v>
      </c>
      <c r="O37" s="614">
        <f t="shared" si="9"/>
        <v>0</v>
      </c>
      <c r="P37" s="614">
        <f t="shared" si="9"/>
        <v>0</v>
      </c>
      <c r="Q37" s="614">
        <f t="shared" si="9"/>
        <v>0</v>
      </c>
      <c r="R37" s="614">
        <f t="shared" si="9"/>
        <v>0</v>
      </c>
      <c r="S37" s="614">
        <f t="shared" si="9"/>
        <v>36540</v>
      </c>
      <c r="T37" s="615">
        <v>147050</v>
      </c>
      <c r="U37" s="615">
        <v>0</v>
      </c>
      <c r="V37" s="588"/>
    </row>
    <row r="38" spans="1:26" ht="12.75">
      <c r="A38" s="619"/>
      <c r="B38" s="620"/>
      <c r="C38" s="620"/>
      <c r="D38" s="620"/>
      <c r="E38" s="620"/>
      <c r="F38" s="634" t="s">
        <v>310</v>
      </c>
      <c r="G38" s="614">
        <f t="shared" ref="G38:G45" si="10">H38+I38+J38+K38+L38+M38+N38+O38+$P$20+$Q$20+$R$20+S38</f>
        <v>71786</v>
      </c>
      <c r="H38" s="636">
        <v>11964</v>
      </c>
      <c r="I38" s="635"/>
      <c r="J38" s="636">
        <v>59822</v>
      </c>
      <c r="K38" s="635"/>
      <c r="L38" s="635"/>
      <c r="M38" s="635"/>
      <c r="N38" s="635"/>
      <c r="O38" s="635"/>
      <c r="P38" s="635"/>
      <c r="Q38" s="635"/>
      <c r="R38" s="635"/>
      <c r="S38" s="635"/>
      <c r="T38" s="624">
        <v>71786</v>
      </c>
      <c r="U38" s="615">
        <v>0</v>
      </c>
      <c r="V38" s="637"/>
    </row>
    <row r="39" spans="1:26" ht="12.75">
      <c r="A39" s="619"/>
      <c r="B39" s="620"/>
      <c r="C39" s="620"/>
      <c r="D39" s="620"/>
      <c r="E39" s="620"/>
      <c r="F39" s="634" t="s">
        <v>311</v>
      </c>
      <c r="G39" s="614">
        <f t="shared" si="10"/>
        <v>75264</v>
      </c>
      <c r="H39" s="636">
        <v>12544</v>
      </c>
      <c r="I39" s="635"/>
      <c r="J39" s="636">
        <v>62720</v>
      </c>
      <c r="K39" s="635"/>
      <c r="L39" s="635"/>
      <c r="M39" s="635"/>
      <c r="N39" s="635"/>
      <c r="O39" s="635"/>
      <c r="P39" s="635"/>
      <c r="Q39" s="635"/>
      <c r="R39" s="635"/>
      <c r="S39" s="635"/>
      <c r="T39" s="624">
        <v>75264</v>
      </c>
      <c r="U39" s="615">
        <v>0</v>
      </c>
      <c r="V39" s="637"/>
    </row>
    <row r="40" spans="1:26" ht="12.75">
      <c r="A40" s="619"/>
      <c r="B40" s="620"/>
      <c r="C40" s="620"/>
      <c r="D40" s="620"/>
      <c r="E40" s="638"/>
      <c r="F40" s="634" t="s">
        <v>312</v>
      </c>
      <c r="G40" s="614">
        <f t="shared" si="10"/>
        <v>48960</v>
      </c>
      <c r="H40" s="636"/>
      <c r="I40" s="636"/>
      <c r="J40" s="636"/>
      <c r="K40" s="636"/>
      <c r="L40" s="636"/>
      <c r="M40" s="636">
        <v>12420</v>
      </c>
      <c r="N40" s="636"/>
      <c r="O40" s="636"/>
      <c r="P40" s="636"/>
      <c r="Q40" s="636"/>
      <c r="R40" s="636"/>
      <c r="S40" s="636">
        <v>36540</v>
      </c>
      <c r="T40" s="624"/>
      <c r="U40" s="624"/>
      <c r="V40" s="637"/>
      <c r="W40" s="639"/>
      <c r="X40" s="639"/>
      <c r="Y40" s="639"/>
      <c r="Z40" s="639"/>
    </row>
    <row r="41" spans="1:26" ht="12.75">
      <c r="A41" s="610"/>
      <c r="B41" s="611"/>
      <c r="C41" s="611"/>
      <c r="D41" s="611"/>
      <c r="E41" s="612">
        <v>159</v>
      </c>
      <c r="F41" s="613" t="s">
        <v>29</v>
      </c>
      <c r="G41" s="614">
        <f t="shared" si="10"/>
        <v>246230</v>
      </c>
      <c r="H41" s="614">
        <f t="shared" ref="H41:S41" si="11">H42+H43+H44+H45</f>
        <v>41010</v>
      </c>
      <c r="I41" s="614">
        <f t="shared" si="11"/>
        <v>0</v>
      </c>
      <c r="J41" s="614">
        <f t="shared" si="11"/>
        <v>88400</v>
      </c>
      <c r="K41" s="614">
        <f t="shared" si="11"/>
        <v>116820</v>
      </c>
      <c r="L41" s="614">
        <f t="shared" si="11"/>
        <v>0</v>
      </c>
      <c r="M41" s="614">
        <f t="shared" si="11"/>
        <v>0</v>
      </c>
      <c r="N41" s="614">
        <f t="shared" si="11"/>
        <v>0</v>
      </c>
      <c r="O41" s="614">
        <f t="shared" si="11"/>
        <v>0</v>
      </c>
      <c r="P41" s="614">
        <f t="shared" si="11"/>
        <v>0</v>
      </c>
      <c r="Q41" s="614">
        <f t="shared" si="11"/>
        <v>0</v>
      </c>
      <c r="R41" s="614">
        <f t="shared" si="11"/>
        <v>0</v>
      </c>
      <c r="S41" s="614">
        <f t="shared" si="11"/>
        <v>0</v>
      </c>
      <c r="T41" s="615">
        <v>246230</v>
      </c>
      <c r="U41" s="615">
        <v>0</v>
      </c>
      <c r="V41" s="588"/>
    </row>
    <row r="42" spans="1:26" ht="12.75">
      <c r="A42" s="619"/>
      <c r="B42" s="620"/>
      <c r="C42" s="620"/>
      <c r="D42" s="620"/>
      <c r="E42" s="620"/>
      <c r="F42" s="634" t="s">
        <v>313</v>
      </c>
      <c r="G42" s="636">
        <f t="shared" si="10"/>
        <v>107000</v>
      </c>
      <c r="H42" s="623">
        <v>18600</v>
      </c>
      <c r="I42" s="635"/>
      <c r="J42" s="636">
        <v>88400</v>
      </c>
      <c r="K42" s="635"/>
      <c r="L42" s="635"/>
      <c r="M42" s="635"/>
      <c r="N42" s="635"/>
      <c r="O42" s="635"/>
      <c r="P42" s="635"/>
      <c r="Q42" s="635"/>
      <c r="R42" s="635"/>
      <c r="S42" s="635"/>
      <c r="T42" s="624">
        <v>107000</v>
      </c>
      <c r="U42" s="624">
        <v>0</v>
      </c>
      <c r="V42" s="637"/>
      <c r="W42" s="639"/>
      <c r="X42" s="639"/>
      <c r="Y42" s="639"/>
      <c r="Z42" s="639"/>
    </row>
    <row r="43" spans="1:26" ht="12.75">
      <c r="A43" s="619"/>
      <c r="B43" s="620"/>
      <c r="C43" s="620"/>
      <c r="D43" s="620"/>
      <c r="E43" s="620"/>
      <c r="F43" s="634" t="s">
        <v>314</v>
      </c>
      <c r="G43" s="636">
        <f t="shared" si="10"/>
        <v>20610</v>
      </c>
      <c r="H43" s="636">
        <v>20610</v>
      </c>
      <c r="I43" s="635"/>
      <c r="J43" s="635"/>
      <c r="K43" s="635"/>
      <c r="L43" s="635"/>
      <c r="M43" s="635"/>
      <c r="N43" s="635"/>
      <c r="O43" s="635"/>
      <c r="P43" s="635"/>
      <c r="Q43" s="635"/>
      <c r="R43" s="635"/>
      <c r="S43" s="635"/>
      <c r="T43" s="624">
        <v>20610</v>
      </c>
      <c r="U43" s="624">
        <v>0</v>
      </c>
      <c r="V43" s="624" t="s">
        <v>315</v>
      </c>
      <c r="W43" s="639"/>
      <c r="X43" s="639"/>
      <c r="Y43" s="639"/>
      <c r="Z43" s="639"/>
    </row>
    <row r="44" spans="1:26" ht="12.75">
      <c r="A44" s="619"/>
      <c r="B44" s="620"/>
      <c r="C44" s="620"/>
      <c r="D44" s="620"/>
      <c r="E44" s="620"/>
      <c r="F44" s="634" t="s">
        <v>316</v>
      </c>
      <c r="G44" s="636">
        <f t="shared" si="10"/>
        <v>1800</v>
      </c>
      <c r="H44" s="636">
        <v>1800</v>
      </c>
      <c r="I44" s="635"/>
      <c r="J44" s="635"/>
      <c r="K44" s="635"/>
      <c r="L44" s="635"/>
      <c r="M44" s="635"/>
      <c r="N44" s="635"/>
      <c r="O44" s="635"/>
      <c r="P44" s="635"/>
      <c r="Q44" s="635"/>
      <c r="R44" s="635"/>
      <c r="S44" s="635"/>
      <c r="T44" s="624">
        <v>1800</v>
      </c>
      <c r="U44" s="624">
        <v>0</v>
      </c>
      <c r="V44" s="637"/>
      <c r="W44" s="639"/>
      <c r="X44" s="639"/>
      <c r="Y44" s="639"/>
      <c r="Z44" s="639"/>
    </row>
    <row r="45" spans="1:26" ht="12.75">
      <c r="A45" s="619"/>
      <c r="B45" s="620"/>
      <c r="C45" s="620"/>
      <c r="D45" s="620"/>
      <c r="E45" s="620"/>
      <c r="F45" s="640" t="s">
        <v>317</v>
      </c>
      <c r="G45" s="636">
        <f t="shared" si="10"/>
        <v>116820</v>
      </c>
      <c r="H45" s="635"/>
      <c r="I45" s="635"/>
      <c r="J45" s="635"/>
      <c r="K45" s="623">
        <v>116820</v>
      </c>
      <c r="L45" s="635"/>
      <c r="M45" s="635"/>
      <c r="N45" s="635"/>
      <c r="O45" s="635"/>
      <c r="P45" s="635"/>
      <c r="Q45" s="635"/>
      <c r="R45" s="635"/>
      <c r="S45" s="635"/>
      <c r="T45" s="624">
        <v>116820</v>
      </c>
      <c r="U45" s="624">
        <v>0</v>
      </c>
      <c r="V45" s="637"/>
      <c r="W45" s="639"/>
      <c r="X45" s="639"/>
      <c r="Y45" s="639"/>
      <c r="Z45" s="639"/>
    </row>
    <row r="46" spans="1:26" ht="12.75">
      <c r="A46" s="604"/>
      <c r="B46" s="605"/>
      <c r="C46" s="605"/>
      <c r="D46" s="606">
        <v>111</v>
      </c>
      <c r="E46" s="605"/>
      <c r="F46" s="607" t="s">
        <v>30</v>
      </c>
      <c r="G46" s="608">
        <f t="shared" ref="G46:S46" si="12">G47+G48</f>
        <v>775000</v>
      </c>
      <c r="H46" s="608">
        <f t="shared" si="12"/>
        <v>0</v>
      </c>
      <c r="I46" s="608">
        <f t="shared" si="12"/>
        <v>0</v>
      </c>
      <c r="J46" s="608">
        <f t="shared" si="12"/>
        <v>0</v>
      </c>
      <c r="K46" s="608">
        <f t="shared" si="12"/>
        <v>420000</v>
      </c>
      <c r="L46" s="608">
        <f t="shared" si="12"/>
        <v>0</v>
      </c>
      <c r="M46" s="608">
        <f t="shared" si="12"/>
        <v>0</v>
      </c>
      <c r="N46" s="608">
        <f t="shared" si="12"/>
        <v>355000</v>
      </c>
      <c r="O46" s="608">
        <f t="shared" si="12"/>
        <v>0</v>
      </c>
      <c r="P46" s="608">
        <f t="shared" si="12"/>
        <v>0</v>
      </c>
      <c r="Q46" s="608">
        <f t="shared" si="12"/>
        <v>0</v>
      </c>
      <c r="R46" s="608">
        <f t="shared" si="12"/>
        <v>0</v>
      </c>
      <c r="S46" s="608">
        <f t="shared" si="12"/>
        <v>0</v>
      </c>
      <c r="T46" s="609">
        <v>775000</v>
      </c>
      <c r="U46" s="609">
        <v>0</v>
      </c>
      <c r="V46" s="599"/>
    </row>
    <row r="47" spans="1:26" ht="12.75">
      <c r="A47" s="610"/>
      <c r="B47" s="611"/>
      <c r="C47" s="611"/>
      <c r="D47" s="611"/>
      <c r="E47" s="612">
        <v>413</v>
      </c>
      <c r="F47" s="641" t="s">
        <v>32</v>
      </c>
      <c r="G47" s="614">
        <f t="shared" ref="G47:G52" si="13">H47+I47+J47+K47+L47+M47+N47+O47+P47+Q47+R47+S47</f>
        <v>420000</v>
      </c>
      <c r="H47" s="614">
        <v>0</v>
      </c>
      <c r="I47" s="614">
        <v>0</v>
      </c>
      <c r="J47" s="614">
        <v>0</v>
      </c>
      <c r="K47" s="614">
        <v>420000</v>
      </c>
      <c r="L47" s="614">
        <v>0</v>
      </c>
      <c r="M47" s="614">
        <v>0</v>
      </c>
      <c r="N47" s="614">
        <v>0</v>
      </c>
      <c r="O47" s="614">
        <v>0</v>
      </c>
      <c r="P47" s="614">
        <v>0</v>
      </c>
      <c r="Q47" s="614">
        <v>0</v>
      </c>
      <c r="R47" s="614">
        <v>0</v>
      </c>
      <c r="S47" s="614">
        <v>0</v>
      </c>
      <c r="T47" s="615">
        <v>420000</v>
      </c>
      <c r="U47" s="615">
        <v>0</v>
      </c>
      <c r="V47" s="588"/>
    </row>
    <row r="48" spans="1:26" ht="12.75">
      <c r="A48" s="610"/>
      <c r="B48" s="611"/>
      <c r="C48" s="611"/>
      <c r="D48" s="611"/>
      <c r="E48" s="612">
        <v>414</v>
      </c>
      <c r="F48" s="613" t="s">
        <v>24</v>
      </c>
      <c r="G48" s="614">
        <f t="shared" si="13"/>
        <v>355000</v>
      </c>
      <c r="H48" s="614">
        <f t="shared" ref="H48:S48" si="14">H49+H50+H51+H52</f>
        <v>0</v>
      </c>
      <c r="I48" s="614">
        <f t="shared" si="14"/>
        <v>0</v>
      </c>
      <c r="J48" s="614">
        <f t="shared" si="14"/>
        <v>0</v>
      </c>
      <c r="K48" s="614">
        <f t="shared" si="14"/>
        <v>0</v>
      </c>
      <c r="L48" s="614">
        <f t="shared" si="14"/>
        <v>0</v>
      </c>
      <c r="M48" s="614">
        <f t="shared" si="14"/>
        <v>0</v>
      </c>
      <c r="N48" s="614">
        <f t="shared" si="14"/>
        <v>355000</v>
      </c>
      <c r="O48" s="614">
        <f t="shared" si="14"/>
        <v>0</v>
      </c>
      <c r="P48" s="614">
        <f t="shared" si="14"/>
        <v>0</v>
      </c>
      <c r="Q48" s="614">
        <f t="shared" si="14"/>
        <v>0</v>
      </c>
      <c r="R48" s="614">
        <f t="shared" si="14"/>
        <v>0</v>
      </c>
      <c r="S48" s="614">
        <f t="shared" si="14"/>
        <v>0</v>
      </c>
      <c r="T48" s="615">
        <v>355000</v>
      </c>
      <c r="U48" s="615">
        <v>0</v>
      </c>
      <c r="V48" s="588"/>
    </row>
    <row r="49" spans="1:22" ht="12.75">
      <c r="A49" s="619"/>
      <c r="B49" s="620"/>
      <c r="C49" s="620"/>
      <c r="D49" s="620"/>
      <c r="E49" s="620"/>
      <c r="F49" s="634" t="s">
        <v>318</v>
      </c>
      <c r="G49" s="614">
        <f t="shared" si="13"/>
        <v>247000</v>
      </c>
      <c r="H49" s="635"/>
      <c r="I49" s="635"/>
      <c r="J49" s="635"/>
      <c r="K49" s="635"/>
      <c r="L49" s="635"/>
      <c r="M49" s="635"/>
      <c r="N49" s="636">
        <v>247000</v>
      </c>
      <c r="O49" s="635"/>
      <c r="P49" s="635"/>
      <c r="Q49" s="635"/>
      <c r="R49" s="635"/>
      <c r="S49" s="635"/>
      <c r="T49" s="624">
        <v>247000</v>
      </c>
      <c r="U49" s="615">
        <v>0</v>
      </c>
      <c r="V49" s="637"/>
    </row>
    <row r="50" spans="1:22" ht="12.75">
      <c r="A50" s="619"/>
      <c r="B50" s="620"/>
      <c r="C50" s="620"/>
      <c r="D50" s="620"/>
      <c r="E50" s="620"/>
      <c r="F50" s="634" t="s">
        <v>319</v>
      </c>
      <c r="G50" s="614">
        <f t="shared" si="13"/>
        <v>28500</v>
      </c>
      <c r="H50" s="635"/>
      <c r="I50" s="635"/>
      <c r="J50" s="635"/>
      <c r="K50" s="635"/>
      <c r="L50" s="635"/>
      <c r="M50" s="635"/>
      <c r="N50" s="636">
        <v>28500</v>
      </c>
      <c r="O50" s="635"/>
      <c r="P50" s="635"/>
      <c r="Q50" s="635"/>
      <c r="R50" s="635"/>
      <c r="S50" s="635"/>
      <c r="T50" s="624">
        <v>28500</v>
      </c>
      <c r="U50" s="615">
        <v>0</v>
      </c>
      <c r="V50" s="637"/>
    </row>
    <row r="51" spans="1:22" ht="12.75">
      <c r="A51" s="619"/>
      <c r="B51" s="620"/>
      <c r="C51" s="620"/>
      <c r="D51" s="620"/>
      <c r="E51" s="620"/>
      <c r="F51" s="634" t="s">
        <v>320</v>
      </c>
      <c r="G51" s="614">
        <f t="shared" si="13"/>
        <v>75000</v>
      </c>
      <c r="H51" s="635"/>
      <c r="I51" s="635"/>
      <c r="J51" s="635"/>
      <c r="K51" s="635"/>
      <c r="L51" s="635"/>
      <c r="M51" s="635"/>
      <c r="N51" s="636">
        <v>75000</v>
      </c>
      <c r="O51" s="635"/>
      <c r="P51" s="635"/>
      <c r="Q51" s="635"/>
      <c r="R51" s="635"/>
      <c r="S51" s="635"/>
      <c r="T51" s="624">
        <v>75000</v>
      </c>
      <c r="U51" s="615">
        <v>0</v>
      </c>
      <c r="V51" s="637"/>
    </row>
    <row r="52" spans="1:22" ht="12.75">
      <c r="A52" s="619"/>
      <c r="B52" s="620"/>
      <c r="C52" s="620"/>
      <c r="D52" s="620"/>
      <c r="E52" s="620"/>
      <c r="F52" s="634" t="s">
        <v>321</v>
      </c>
      <c r="G52" s="614">
        <f t="shared" si="13"/>
        <v>4500</v>
      </c>
      <c r="H52" s="635"/>
      <c r="I52" s="635"/>
      <c r="J52" s="635"/>
      <c r="K52" s="635"/>
      <c r="L52" s="635"/>
      <c r="M52" s="635"/>
      <c r="N52" s="636">
        <v>4500</v>
      </c>
      <c r="O52" s="635"/>
      <c r="P52" s="635"/>
      <c r="Q52" s="635"/>
      <c r="R52" s="635"/>
      <c r="S52" s="635"/>
      <c r="T52" s="624">
        <v>4500</v>
      </c>
      <c r="U52" s="615">
        <v>0</v>
      </c>
      <c r="V52" s="637"/>
    </row>
    <row r="53" spans="1:22" ht="12.75">
      <c r="A53" s="604"/>
      <c r="B53" s="605"/>
      <c r="C53" s="605"/>
      <c r="D53" s="606">
        <v>123</v>
      </c>
      <c r="E53" s="605"/>
      <c r="F53" s="607" t="s">
        <v>36</v>
      </c>
      <c r="G53" s="608">
        <f t="shared" ref="G53:S53" si="15">G54+G55+G56+G58+G59+G60+G61+G75+G79+G80+G82+G83</f>
        <v>758253.2</v>
      </c>
      <c r="H53" s="608">
        <f t="shared" si="15"/>
        <v>76901</v>
      </c>
      <c r="I53" s="608">
        <f t="shared" si="15"/>
        <v>144036</v>
      </c>
      <c r="J53" s="608">
        <f t="shared" si="15"/>
        <v>36676.5</v>
      </c>
      <c r="K53" s="608">
        <f t="shared" si="15"/>
        <v>62144.5</v>
      </c>
      <c r="L53" s="608">
        <f t="shared" si="15"/>
        <v>59169.1</v>
      </c>
      <c r="M53" s="608">
        <f t="shared" si="15"/>
        <v>54756.1</v>
      </c>
      <c r="N53" s="608">
        <f t="shared" si="15"/>
        <v>73143</v>
      </c>
      <c r="O53" s="608">
        <f t="shared" si="15"/>
        <v>48760</v>
      </c>
      <c r="P53" s="608">
        <f t="shared" si="15"/>
        <v>46937</v>
      </c>
      <c r="Q53" s="608">
        <f t="shared" si="15"/>
        <v>46798</v>
      </c>
      <c r="R53" s="608">
        <f t="shared" si="15"/>
        <v>50291</v>
      </c>
      <c r="S53" s="608">
        <f t="shared" si="15"/>
        <v>58641</v>
      </c>
      <c r="T53" s="642" t="s">
        <v>322</v>
      </c>
      <c r="U53" s="615">
        <v>0</v>
      </c>
      <c r="V53" s="588"/>
    </row>
    <row r="54" spans="1:22" ht="12.75">
      <c r="A54" s="610"/>
      <c r="B54" s="611"/>
      <c r="C54" s="611"/>
      <c r="D54" s="611"/>
      <c r="E54" s="612">
        <v>111</v>
      </c>
      <c r="F54" s="617" t="s">
        <v>37</v>
      </c>
      <c r="G54" s="614">
        <f t="shared" ref="G54:G83" si="16">H54+I54+J54+K54+L54+M54+N54+O54+P54+Q54+R54+S54</f>
        <v>431712.6</v>
      </c>
      <c r="H54" s="614">
        <v>39749</v>
      </c>
      <c r="I54" s="614">
        <v>39749</v>
      </c>
      <c r="J54" s="614">
        <v>12584.1</v>
      </c>
      <c r="K54" s="614">
        <v>33943.9</v>
      </c>
      <c r="L54" s="614">
        <v>27444.6</v>
      </c>
      <c r="M54" s="614">
        <v>39749</v>
      </c>
      <c r="N54" s="614">
        <v>39749</v>
      </c>
      <c r="O54" s="614">
        <v>39749</v>
      </c>
      <c r="P54" s="614">
        <v>39749</v>
      </c>
      <c r="Q54" s="614">
        <v>39749</v>
      </c>
      <c r="R54" s="614">
        <v>39749</v>
      </c>
      <c r="S54" s="614">
        <v>39748</v>
      </c>
      <c r="T54" s="615">
        <v>445236</v>
      </c>
      <c r="U54" s="615">
        <v>0</v>
      </c>
      <c r="V54" s="588"/>
    </row>
    <row r="55" spans="1:22" ht="12.75">
      <c r="A55" s="610"/>
      <c r="B55" s="611"/>
      <c r="C55" s="611"/>
      <c r="D55" s="611"/>
      <c r="E55" s="612">
        <v>112</v>
      </c>
      <c r="F55" s="617" t="s">
        <v>38</v>
      </c>
      <c r="G55" s="614">
        <f t="shared" si="16"/>
        <v>114202.6</v>
      </c>
      <c r="H55" s="616"/>
      <c r="I55" s="614">
        <v>74207</v>
      </c>
      <c r="J55" s="614">
        <v>4200</v>
      </c>
      <c r="K55" s="614">
        <v>16200</v>
      </c>
      <c r="L55" s="614">
        <v>19595.599999999999</v>
      </c>
      <c r="M55" s="616"/>
      <c r="N55" s="616"/>
      <c r="O55" s="616"/>
      <c r="P55" s="616"/>
      <c r="Q55" s="616"/>
      <c r="R55" s="616"/>
      <c r="S55" s="616"/>
      <c r="T55" s="615">
        <v>74207</v>
      </c>
      <c r="U55" s="615">
        <v>0</v>
      </c>
      <c r="V55" s="588"/>
    </row>
    <row r="56" spans="1:22" ht="12.75">
      <c r="A56" s="610"/>
      <c r="B56" s="611"/>
      <c r="C56" s="611"/>
      <c r="D56" s="611"/>
      <c r="E56" s="612">
        <v>113</v>
      </c>
      <c r="F56" s="617" t="s">
        <v>39</v>
      </c>
      <c r="G56" s="614">
        <f t="shared" si="16"/>
        <v>74207</v>
      </c>
      <c r="H56" s="614">
        <v>9703</v>
      </c>
      <c r="I56" s="614">
        <v>8242</v>
      </c>
      <c r="J56" s="614">
        <v>3046</v>
      </c>
      <c r="K56" s="614">
        <v>4381</v>
      </c>
      <c r="L56" s="614">
        <v>4521</v>
      </c>
      <c r="M56" s="614">
        <v>6091</v>
      </c>
      <c r="N56" s="614">
        <v>25852</v>
      </c>
      <c r="O56" s="614">
        <v>3469</v>
      </c>
      <c r="P56" s="614">
        <v>646</v>
      </c>
      <c r="Q56" s="614">
        <v>507</v>
      </c>
      <c r="R56" s="614">
        <v>0</v>
      </c>
      <c r="S56" s="614">
        <v>7749</v>
      </c>
      <c r="T56" s="615">
        <v>74207</v>
      </c>
      <c r="U56" s="615">
        <v>0</v>
      </c>
      <c r="V56" s="588"/>
    </row>
    <row r="57" spans="1:22" ht="12.75">
      <c r="A57" s="610"/>
      <c r="B57" s="611"/>
      <c r="C57" s="611"/>
      <c r="D57" s="611"/>
      <c r="E57" s="612">
        <v>116</v>
      </c>
      <c r="F57" s="617" t="s">
        <v>40</v>
      </c>
      <c r="G57" s="614">
        <f t="shared" si="16"/>
        <v>0</v>
      </c>
      <c r="H57" s="616"/>
      <c r="I57" s="614"/>
      <c r="J57" s="614"/>
      <c r="K57" s="614"/>
      <c r="L57" s="614"/>
      <c r="M57" s="614"/>
      <c r="N57" s="614"/>
      <c r="O57" s="614"/>
      <c r="P57" s="614"/>
      <c r="Q57" s="614"/>
      <c r="R57" s="614"/>
      <c r="S57" s="614"/>
      <c r="T57" s="615">
        <v>7783</v>
      </c>
      <c r="U57" s="615">
        <v>0</v>
      </c>
      <c r="V57" s="588"/>
    </row>
    <row r="58" spans="1:22" ht="12.75">
      <c r="A58" s="610"/>
      <c r="B58" s="611"/>
      <c r="C58" s="611"/>
      <c r="D58" s="611"/>
      <c r="E58" s="612">
        <v>121</v>
      </c>
      <c r="F58" s="617" t="s">
        <v>41</v>
      </c>
      <c r="G58" s="614">
        <f t="shared" si="16"/>
        <v>31381.4</v>
      </c>
      <c r="H58" s="614">
        <v>2098</v>
      </c>
      <c r="I58" s="614">
        <v>4349</v>
      </c>
      <c r="J58" s="614">
        <v>4398</v>
      </c>
      <c r="K58" s="614">
        <v>3752.4</v>
      </c>
      <c r="L58" s="614">
        <v>2098</v>
      </c>
      <c r="M58" s="614">
        <v>2098</v>
      </c>
      <c r="N58" s="614">
        <v>2098</v>
      </c>
      <c r="O58" s="614">
        <v>2098</v>
      </c>
      <c r="P58" s="614">
        <v>2098</v>
      </c>
      <c r="Q58" s="614">
        <v>2098</v>
      </c>
      <c r="R58" s="614">
        <v>2098</v>
      </c>
      <c r="S58" s="614">
        <v>2098</v>
      </c>
      <c r="T58" s="615">
        <v>27427</v>
      </c>
      <c r="U58" s="615">
        <v>0</v>
      </c>
      <c r="V58" s="588"/>
    </row>
    <row r="59" spans="1:22" ht="12.75">
      <c r="A59" s="610"/>
      <c r="B59" s="611"/>
      <c r="C59" s="611"/>
      <c r="D59" s="611"/>
      <c r="E59" s="612">
        <v>122</v>
      </c>
      <c r="F59" s="617" t="s">
        <v>323</v>
      </c>
      <c r="G59" s="614">
        <f t="shared" si="16"/>
        <v>15250.7</v>
      </c>
      <c r="H59" s="614">
        <v>1252</v>
      </c>
      <c r="I59" s="614">
        <v>2590</v>
      </c>
      <c r="J59" s="614">
        <v>113.5</v>
      </c>
      <c r="K59" s="614">
        <v>1279.2</v>
      </c>
      <c r="L59" s="614">
        <v>1252</v>
      </c>
      <c r="M59" s="614">
        <v>1252</v>
      </c>
      <c r="N59" s="614">
        <v>1252</v>
      </c>
      <c r="O59" s="614">
        <v>1252</v>
      </c>
      <c r="P59" s="614">
        <v>1252</v>
      </c>
      <c r="Q59" s="614">
        <v>1252</v>
      </c>
      <c r="R59" s="614">
        <v>1252</v>
      </c>
      <c r="S59" s="614">
        <v>1252</v>
      </c>
      <c r="T59" s="615">
        <v>16362</v>
      </c>
      <c r="U59" s="615">
        <v>0</v>
      </c>
      <c r="V59" s="588"/>
    </row>
    <row r="60" spans="1:22" ht="12.75">
      <c r="A60" s="610"/>
      <c r="B60" s="611"/>
      <c r="C60" s="611"/>
      <c r="D60" s="611"/>
      <c r="E60" s="612">
        <v>124</v>
      </c>
      <c r="F60" s="617" t="s">
        <v>44</v>
      </c>
      <c r="G60" s="614">
        <f t="shared" si="16"/>
        <v>15039.9</v>
      </c>
      <c r="H60" s="614">
        <v>1192</v>
      </c>
      <c r="I60" s="614">
        <v>2471</v>
      </c>
      <c r="J60" s="614">
        <v>553</v>
      </c>
      <c r="K60" s="614">
        <v>1287.9000000000001</v>
      </c>
      <c r="L60" s="614">
        <v>1192</v>
      </c>
      <c r="M60" s="614">
        <v>1192</v>
      </c>
      <c r="N60" s="614">
        <v>1192</v>
      </c>
      <c r="O60" s="614">
        <v>1192</v>
      </c>
      <c r="P60" s="614">
        <v>1192</v>
      </c>
      <c r="Q60" s="614">
        <v>1192</v>
      </c>
      <c r="R60" s="614">
        <v>1192</v>
      </c>
      <c r="S60" s="614">
        <v>1192</v>
      </c>
      <c r="T60" s="615">
        <v>15583</v>
      </c>
      <c r="U60" s="615">
        <v>0</v>
      </c>
      <c r="V60" s="588"/>
    </row>
    <row r="61" spans="1:22" ht="12.75">
      <c r="A61" s="610"/>
      <c r="B61" s="611"/>
      <c r="C61" s="611"/>
      <c r="D61" s="611"/>
      <c r="E61" s="612">
        <v>149</v>
      </c>
      <c r="F61" s="617" t="s">
        <v>304</v>
      </c>
      <c r="G61" s="614">
        <f t="shared" si="16"/>
        <v>8428</v>
      </c>
      <c r="H61" s="614">
        <v>0</v>
      </c>
      <c r="I61" s="614">
        <f>I62+I63+I64+I65+I66+I67+I68+I69+I70+I71+I72+I73+I74</f>
        <v>8428</v>
      </c>
      <c r="J61" s="614">
        <v>0</v>
      </c>
      <c r="K61" s="614">
        <v>0</v>
      </c>
      <c r="L61" s="614">
        <v>0</v>
      </c>
      <c r="M61" s="614">
        <v>0</v>
      </c>
      <c r="N61" s="614">
        <v>0</v>
      </c>
      <c r="O61" s="614">
        <v>0</v>
      </c>
      <c r="P61" s="614">
        <v>0</v>
      </c>
      <c r="Q61" s="614">
        <v>0</v>
      </c>
      <c r="R61" s="614">
        <v>0</v>
      </c>
      <c r="S61" s="614">
        <v>0</v>
      </c>
      <c r="T61" s="615">
        <v>8428</v>
      </c>
      <c r="U61" s="615">
        <v>0</v>
      </c>
      <c r="V61" s="588"/>
    </row>
    <row r="62" spans="1:22" ht="12.75">
      <c r="A62" s="619"/>
      <c r="B62" s="620"/>
      <c r="C62" s="620"/>
      <c r="D62" s="620"/>
      <c r="E62" s="620"/>
      <c r="F62" s="643" t="s">
        <v>324</v>
      </c>
      <c r="G62" s="614">
        <f t="shared" si="16"/>
        <v>7346</v>
      </c>
      <c r="H62" s="635"/>
      <c r="I62" s="636">
        <v>7346</v>
      </c>
      <c r="J62" s="635"/>
      <c r="K62" s="635"/>
      <c r="L62" s="635"/>
      <c r="M62" s="635"/>
      <c r="N62" s="635"/>
      <c r="O62" s="635"/>
      <c r="P62" s="635"/>
      <c r="Q62" s="635"/>
      <c r="R62" s="635"/>
      <c r="S62" s="635"/>
      <c r="T62" s="624">
        <v>7346</v>
      </c>
      <c r="U62" s="615">
        <v>0</v>
      </c>
      <c r="V62" s="637"/>
    </row>
    <row r="63" spans="1:22" ht="12.75">
      <c r="A63" s="619"/>
      <c r="B63" s="620"/>
      <c r="C63" s="620"/>
      <c r="D63" s="620"/>
      <c r="E63" s="620"/>
      <c r="F63" s="643" t="s">
        <v>325</v>
      </c>
      <c r="G63" s="614">
        <f t="shared" si="16"/>
        <v>100</v>
      </c>
      <c r="H63" s="635"/>
      <c r="I63" s="636">
        <v>100</v>
      </c>
      <c r="J63" s="635"/>
      <c r="K63" s="635"/>
      <c r="L63" s="635"/>
      <c r="M63" s="635"/>
      <c r="N63" s="635"/>
      <c r="O63" s="635"/>
      <c r="P63" s="635"/>
      <c r="Q63" s="635"/>
      <c r="R63" s="635"/>
      <c r="S63" s="635"/>
      <c r="T63" s="624">
        <v>100</v>
      </c>
      <c r="U63" s="615">
        <v>0</v>
      </c>
      <c r="V63" s="637"/>
    </row>
    <row r="64" spans="1:22" ht="12.75">
      <c r="A64" s="619"/>
      <c r="B64" s="620"/>
      <c r="C64" s="620"/>
      <c r="D64" s="620"/>
      <c r="E64" s="620"/>
      <c r="F64" s="643" t="s">
        <v>326</v>
      </c>
      <c r="G64" s="614">
        <f t="shared" si="16"/>
        <v>88</v>
      </c>
      <c r="H64" s="635"/>
      <c r="I64" s="636">
        <v>88</v>
      </c>
      <c r="J64" s="635"/>
      <c r="K64" s="635"/>
      <c r="L64" s="635"/>
      <c r="M64" s="635"/>
      <c r="N64" s="635"/>
      <c r="O64" s="635"/>
      <c r="P64" s="635"/>
      <c r="Q64" s="635"/>
      <c r="R64" s="635"/>
      <c r="S64" s="635"/>
      <c r="T64" s="624">
        <v>88</v>
      </c>
      <c r="U64" s="615">
        <v>0</v>
      </c>
      <c r="V64" s="637"/>
    </row>
    <row r="65" spans="1:22" ht="12.75">
      <c r="A65" s="619"/>
      <c r="B65" s="620"/>
      <c r="C65" s="620"/>
      <c r="D65" s="620"/>
      <c r="E65" s="620"/>
      <c r="F65" s="643" t="s">
        <v>327</v>
      </c>
      <c r="G65" s="614">
        <f t="shared" si="16"/>
        <v>10</v>
      </c>
      <c r="H65" s="635"/>
      <c r="I65" s="636">
        <v>10</v>
      </c>
      <c r="J65" s="635"/>
      <c r="K65" s="635"/>
      <c r="L65" s="635"/>
      <c r="M65" s="635"/>
      <c r="N65" s="635"/>
      <c r="O65" s="635"/>
      <c r="P65" s="635"/>
      <c r="Q65" s="635"/>
      <c r="R65" s="635"/>
      <c r="S65" s="635"/>
      <c r="T65" s="624">
        <v>10</v>
      </c>
      <c r="U65" s="615">
        <v>0</v>
      </c>
      <c r="V65" s="637"/>
    </row>
    <row r="66" spans="1:22" ht="12.75">
      <c r="A66" s="619"/>
      <c r="B66" s="620"/>
      <c r="C66" s="620"/>
      <c r="D66" s="620"/>
      <c r="E66" s="620"/>
      <c r="F66" s="643" t="s">
        <v>328</v>
      </c>
      <c r="G66" s="614">
        <f t="shared" si="16"/>
        <v>301</v>
      </c>
      <c r="H66" s="635"/>
      <c r="I66" s="636">
        <v>301</v>
      </c>
      <c r="J66" s="635"/>
      <c r="K66" s="635"/>
      <c r="L66" s="635"/>
      <c r="M66" s="635"/>
      <c r="N66" s="635"/>
      <c r="O66" s="635"/>
      <c r="P66" s="635"/>
      <c r="Q66" s="635"/>
      <c r="R66" s="635"/>
      <c r="S66" s="635"/>
      <c r="T66" s="624">
        <v>301</v>
      </c>
      <c r="U66" s="615">
        <v>0</v>
      </c>
      <c r="V66" s="637"/>
    </row>
    <row r="67" spans="1:22" ht="12.75">
      <c r="A67" s="619"/>
      <c r="B67" s="620"/>
      <c r="C67" s="620"/>
      <c r="D67" s="620"/>
      <c r="E67" s="620"/>
      <c r="F67" s="643" t="s">
        <v>329</v>
      </c>
      <c r="G67" s="614">
        <f t="shared" si="16"/>
        <v>36</v>
      </c>
      <c r="H67" s="635"/>
      <c r="I67" s="636">
        <v>36</v>
      </c>
      <c r="J67" s="635"/>
      <c r="K67" s="635"/>
      <c r="L67" s="635"/>
      <c r="M67" s="635"/>
      <c r="N67" s="635"/>
      <c r="O67" s="635"/>
      <c r="P67" s="635"/>
      <c r="Q67" s="635"/>
      <c r="R67" s="635"/>
      <c r="S67" s="635"/>
      <c r="T67" s="624">
        <v>36</v>
      </c>
      <c r="U67" s="615">
        <v>0</v>
      </c>
      <c r="V67" s="637"/>
    </row>
    <row r="68" spans="1:22" ht="12.75">
      <c r="A68" s="619"/>
      <c r="B68" s="620"/>
      <c r="C68" s="620"/>
      <c r="D68" s="620"/>
      <c r="E68" s="620"/>
      <c r="F68" s="643" t="s">
        <v>330</v>
      </c>
      <c r="G68" s="614">
        <f t="shared" si="16"/>
        <v>38</v>
      </c>
      <c r="H68" s="635"/>
      <c r="I68" s="636">
        <v>38</v>
      </c>
      <c r="J68" s="635"/>
      <c r="K68" s="635"/>
      <c r="L68" s="635"/>
      <c r="M68" s="635"/>
      <c r="N68" s="635"/>
      <c r="O68" s="635"/>
      <c r="P68" s="635"/>
      <c r="Q68" s="635"/>
      <c r="R68" s="635"/>
      <c r="S68" s="635"/>
      <c r="T68" s="624">
        <v>38</v>
      </c>
      <c r="U68" s="615">
        <v>0</v>
      </c>
      <c r="V68" s="637"/>
    </row>
    <row r="69" spans="1:22" ht="12.75">
      <c r="A69" s="619"/>
      <c r="B69" s="620"/>
      <c r="C69" s="620"/>
      <c r="D69" s="620"/>
      <c r="E69" s="620"/>
      <c r="F69" s="643" t="s">
        <v>331</v>
      </c>
      <c r="G69" s="614">
        <f t="shared" si="16"/>
        <v>48</v>
      </c>
      <c r="H69" s="635"/>
      <c r="I69" s="636">
        <v>48</v>
      </c>
      <c r="J69" s="635"/>
      <c r="K69" s="635"/>
      <c r="L69" s="635"/>
      <c r="M69" s="635"/>
      <c r="N69" s="635"/>
      <c r="O69" s="635"/>
      <c r="P69" s="635"/>
      <c r="Q69" s="635"/>
      <c r="R69" s="635"/>
      <c r="S69" s="635"/>
      <c r="T69" s="624">
        <v>48</v>
      </c>
      <c r="U69" s="615">
        <v>0</v>
      </c>
      <c r="V69" s="637"/>
    </row>
    <row r="70" spans="1:22" ht="12.75">
      <c r="A70" s="619"/>
      <c r="B70" s="620"/>
      <c r="C70" s="620"/>
      <c r="D70" s="620"/>
      <c r="E70" s="620"/>
      <c r="F70" s="643" t="s">
        <v>332</v>
      </c>
      <c r="G70" s="614">
        <f t="shared" si="16"/>
        <v>240</v>
      </c>
      <c r="H70" s="635"/>
      <c r="I70" s="636">
        <v>240</v>
      </c>
      <c r="J70" s="635"/>
      <c r="K70" s="635"/>
      <c r="L70" s="635"/>
      <c r="M70" s="635"/>
      <c r="N70" s="635"/>
      <c r="O70" s="635"/>
      <c r="P70" s="635"/>
      <c r="Q70" s="635"/>
      <c r="R70" s="635"/>
      <c r="S70" s="635"/>
      <c r="T70" s="624">
        <v>240</v>
      </c>
      <c r="U70" s="615">
        <v>0</v>
      </c>
      <c r="V70" s="637"/>
    </row>
    <row r="71" spans="1:22" ht="12.75">
      <c r="A71" s="619"/>
      <c r="B71" s="620"/>
      <c r="C71" s="620"/>
      <c r="D71" s="620"/>
      <c r="E71" s="620"/>
      <c r="F71" s="643" t="s">
        <v>333</v>
      </c>
      <c r="G71" s="614">
        <f t="shared" si="16"/>
        <v>192</v>
      </c>
      <c r="H71" s="635"/>
      <c r="I71" s="636">
        <v>192</v>
      </c>
      <c r="J71" s="635"/>
      <c r="K71" s="635"/>
      <c r="L71" s="635"/>
      <c r="M71" s="635"/>
      <c r="N71" s="635"/>
      <c r="O71" s="635"/>
      <c r="P71" s="635"/>
      <c r="Q71" s="635"/>
      <c r="R71" s="635"/>
      <c r="S71" s="635"/>
      <c r="T71" s="624">
        <v>192</v>
      </c>
      <c r="U71" s="615">
        <v>0</v>
      </c>
      <c r="V71" s="637"/>
    </row>
    <row r="72" spans="1:22" ht="12.75">
      <c r="A72" s="619"/>
      <c r="B72" s="620"/>
      <c r="C72" s="620"/>
      <c r="D72" s="620"/>
      <c r="E72" s="620"/>
      <c r="F72" s="643" t="s">
        <v>334</v>
      </c>
      <c r="G72" s="614">
        <f t="shared" si="16"/>
        <v>13</v>
      </c>
      <c r="H72" s="635"/>
      <c r="I72" s="636">
        <v>13</v>
      </c>
      <c r="J72" s="635"/>
      <c r="K72" s="635"/>
      <c r="L72" s="635"/>
      <c r="M72" s="635"/>
      <c r="N72" s="635"/>
      <c r="O72" s="635"/>
      <c r="P72" s="635"/>
      <c r="Q72" s="635"/>
      <c r="R72" s="635"/>
      <c r="S72" s="635"/>
      <c r="T72" s="624">
        <v>13</v>
      </c>
      <c r="U72" s="615">
        <v>0</v>
      </c>
      <c r="V72" s="637"/>
    </row>
    <row r="73" spans="1:22" ht="12.75">
      <c r="A73" s="619"/>
      <c r="B73" s="620"/>
      <c r="C73" s="620"/>
      <c r="D73" s="620"/>
      <c r="E73" s="620"/>
      <c r="F73" s="643" t="s">
        <v>335</v>
      </c>
      <c r="G73" s="614">
        <f t="shared" si="16"/>
        <v>8</v>
      </c>
      <c r="H73" s="635"/>
      <c r="I73" s="636">
        <v>8</v>
      </c>
      <c r="J73" s="635"/>
      <c r="K73" s="635"/>
      <c r="L73" s="635"/>
      <c r="M73" s="635"/>
      <c r="N73" s="635"/>
      <c r="O73" s="635"/>
      <c r="P73" s="635"/>
      <c r="Q73" s="635"/>
      <c r="R73" s="635"/>
      <c r="S73" s="635"/>
      <c r="T73" s="624">
        <v>8</v>
      </c>
      <c r="U73" s="615">
        <v>0</v>
      </c>
      <c r="V73" s="637"/>
    </row>
    <row r="74" spans="1:22" ht="12.75">
      <c r="A74" s="619"/>
      <c r="B74" s="620"/>
      <c r="C74" s="620"/>
      <c r="D74" s="620"/>
      <c r="E74" s="620"/>
      <c r="F74" s="643" t="s">
        <v>336</v>
      </c>
      <c r="G74" s="614">
        <f t="shared" si="16"/>
        <v>8</v>
      </c>
      <c r="H74" s="635"/>
      <c r="I74" s="636">
        <v>8</v>
      </c>
      <c r="J74" s="635"/>
      <c r="K74" s="635"/>
      <c r="L74" s="635"/>
      <c r="M74" s="635"/>
      <c r="N74" s="635"/>
      <c r="O74" s="635"/>
      <c r="P74" s="635"/>
      <c r="Q74" s="635"/>
      <c r="R74" s="635"/>
      <c r="S74" s="635"/>
      <c r="T74" s="624">
        <v>8</v>
      </c>
      <c r="U74" s="615">
        <v>0</v>
      </c>
      <c r="V74" s="637"/>
    </row>
    <row r="75" spans="1:22" ht="12.75">
      <c r="A75" s="610"/>
      <c r="B75" s="616"/>
      <c r="C75" s="616"/>
      <c r="D75" s="616"/>
      <c r="E75" s="612">
        <v>152</v>
      </c>
      <c r="F75" s="617" t="s">
        <v>28</v>
      </c>
      <c r="G75" s="614">
        <f t="shared" si="16"/>
        <v>9202</v>
      </c>
      <c r="H75" s="614">
        <f t="shared" ref="H75:S75" si="17">H76+H77+H78</f>
        <v>2573</v>
      </c>
      <c r="I75" s="614">
        <f t="shared" si="17"/>
        <v>0</v>
      </c>
      <c r="J75" s="614">
        <f t="shared" si="17"/>
        <v>6629</v>
      </c>
      <c r="K75" s="614">
        <f t="shared" si="17"/>
        <v>0</v>
      </c>
      <c r="L75" s="614">
        <f t="shared" si="17"/>
        <v>0</v>
      </c>
      <c r="M75" s="614">
        <f t="shared" si="17"/>
        <v>0</v>
      </c>
      <c r="N75" s="614">
        <f t="shared" si="17"/>
        <v>0</v>
      </c>
      <c r="O75" s="614">
        <f t="shared" si="17"/>
        <v>0</v>
      </c>
      <c r="P75" s="614">
        <f t="shared" si="17"/>
        <v>0</v>
      </c>
      <c r="Q75" s="614">
        <f t="shared" si="17"/>
        <v>0</v>
      </c>
      <c r="R75" s="614">
        <f t="shared" si="17"/>
        <v>0</v>
      </c>
      <c r="S75" s="614">
        <f t="shared" si="17"/>
        <v>0</v>
      </c>
      <c r="T75" s="615">
        <v>9202</v>
      </c>
      <c r="U75" s="615">
        <v>0</v>
      </c>
      <c r="V75" s="588"/>
    </row>
    <row r="76" spans="1:22" ht="12.75">
      <c r="A76" s="619"/>
      <c r="B76" s="635"/>
      <c r="C76" s="635"/>
      <c r="D76" s="635"/>
      <c r="E76" s="620"/>
      <c r="F76" s="643" t="s">
        <v>337</v>
      </c>
      <c r="G76" s="614">
        <f t="shared" si="16"/>
        <v>2023</v>
      </c>
      <c r="H76" s="636">
        <v>337</v>
      </c>
      <c r="I76" s="635"/>
      <c r="J76" s="636">
        <v>1686</v>
      </c>
      <c r="K76" s="635"/>
      <c r="L76" s="635"/>
      <c r="M76" s="635"/>
      <c r="N76" s="635"/>
      <c r="O76" s="635"/>
      <c r="P76" s="635"/>
      <c r="Q76" s="635"/>
      <c r="R76" s="635"/>
      <c r="S76" s="635"/>
      <c r="T76" s="624">
        <v>2023</v>
      </c>
      <c r="U76" s="615">
        <v>0</v>
      </c>
      <c r="V76" s="637"/>
    </row>
    <row r="77" spans="1:22" ht="12.75">
      <c r="A77" s="619"/>
      <c r="B77" s="635"/>
      <c r="C77" s="635"/>
      <c r="D77" s="635"/>
      <c r="E77" s="620"/>
      <c r="F77" s="643" t="s">
        <v>338</v>
      </c>
      <c r="G77" s="614">
        <f t="shared" si="16"/>
        <v>5931</v>
      </c>
      <c r="H77" s="636">
        <v>988</v>
      </c>
      <c r="I77" s="635"/>
      <c r="J77" s="636">
        <v>4943</v>
      </c>
      <c r="K77" s="635"/>
      <c r="L77" s="635"/>
      <c r="M77" s="635"/>
      <c r="N77" s="635"/>
      <c r="O77" s="635"/>
      <c r="P77" s="635"/>
      <c r="Q77" s="635"/>
      <c r="R77" s="635"/>
      <c r="S77" s="635"/>
      <c r="T77" s="624">
        <v>5931</v>
      </c>
      <c r="U77" s="615">
        <v>0</v>
      </c>
      <c r="V77" s="637"/>
    </row>
    <row r="78" spans="1:22" ht="12.75">
      <c r="A78" s="619"/>
      <c r="B78" s="635"/>
      <c r="C78" s="635"/>
      <c r="D78" s="635"/>
      <c r="E78" s="620"/>
      <c r="F78" s="643" t="s">
        <v>339</v>
      </c>
      <c r="G78" s="614">
        <f t="shared" si="16"/>
        <v>1248</v>
      </c>
      <c r="H78" s="636">
        <v>1248</v>
      </c>
      <c r="I78" s="635"/>
      <c r="J78" s="635"/>
      <c r="K78" s="635"/>
      <c r="L78" s="635"/>
      <c r="M78" s="635"/>
      <c r="N78" s="635"/>
      <c r="O78" s="635"/>
      <c r="P78" s="635"/>
      <c r="Q78" s="635"/>
      <c r="R78" s="635"/>
      <c r="S78" s="635"/>
      <c r="T78" s="624">
        <v>1248</v>
      </c>
      <c r="U78" s="615">
        <v>0</v>
      </c>
      <c r="V78" s="637"/>
    </row>
    <row r="79" spans="1:22" ht="12.75">
      <c r="A79" s="610"/>
      <c r="B79" s="616"/>
      <c r="C79" s="616"/>
      <c r="D79" s="616"/>
      <c r="E79" s="612">
        <v>153</v>
      </c>
      <c r="F79" s="617" t="s">
        <v>48</v>
      </c>
      <c r="G79" s="614">
        <f t="shared" si="16"/>
        <v>7553</v>
      </c>
      <c r="H79" s="644">
        <v>1260</v>
      </c>
      <c r="I79" s="645"/>
      <c r="J79" s="644">
        <v>6293</v>
      </c>
      <c r="K79" s="645"/>
      <c r="L79" s="645"/>
      <c r="M79" s="645"/>
      <c r="N79" s="645"/>
      <c r="O79" s="645"/>
      <c r="P79" s="645"/>
      <c r="Q79" s="645"/>
      <c r="R79" s="645"/>
      <c r="S79" s="616"/>
      <c r="T79" s="615">
        <v>7553</v>
      </c>
      <c r="U79" s="615">
        <v>0</v>
      </c>
      <c r="V79" s="588"/>
    </row>
    <row r="80" spans="1:22" ht="15">
      <c r="A80" s="610"/>
      <c r="B80" s="616"/>
      <c r="C80" s="616"/>
      <c r="D80" s="616"/>
      <c r="E80" s="612">
        <v>159</v>
      </c>
      <c r="F80" s="617" t="s">
        <v>29</v>
      </c>
      <c r="G80" s="614">
        <f t="shared" si="16"/>
        <v>18974</v>
      </c>
      <c r="H80" s="614">
        <f>H81</f>
        <v>18974</v>
      </c>
      <c r="I80" s="614">
        <v>0</v>
      </c>
      <c r="J80" s="614">
        <v>0</v>
      </c>
      <c r="K80" s="614">
        <v>0</v>
      </c>
      <c r="L80" s="614">
        <v>0</v>
      </c>
      <c r="M80" s="614">
        <v>0</v>
      </c>
      <c r="N80" s="614">
        <v>0</v>
      </c>
      <c r="O80" s="614">
        <v>0</v>
      </c>
      <c r="P80" s="614">
        <v>0</v>
      </c>
      <c r="Q80" s="614">
        <v>0</v>
      </c>
      <c r="R80" s="614">
        <v>0</v>
      </c>
      <c r="S80" s="614">
        <v>0</v>
      </c>
      <c r="T80" s="646">
        <v>18974</v>
      </c>
      <c r="U80" s="615">
        <v>0</v>
      </c>
      <c r="V80" s="647"/>
    </row>
    <row r="81" spans="1:26" ht="15">
      <c r="A81" s="619"/>
      <c r="B81" s="635"/>
      <c r="C81" s="635"/>
      <c r="D81" s="635"/>
      <c r="E81" s="620"/>
      <c r="F81" s="643" t="s">
        <v>340</v>
      </c>
      <c r="G81" s="614">
        <f t="shared" si="16"/>
        <v>18974</v>
      </c>
      <c r="H81" s="636">
        <v>18974</v>
      </c>
      <c r="I81" s="635"/>
      <c r="J81" s="635"/>
      <c r="K81" s="635"/>
      <c r="L81" s="635"/>
      <c r="M81" s="635"/>
      <c r="N81" s="635"/>
      <c r="O81" s="635"/>
      <c r="P81" s="635"/>
      <c r="Q81" s="635"/>
      <c r="R81" s="635"/>
      <c r="S81" s="635"/>
      <c r="T81" s="646">
        <v>18974</v>
      </c>
      <c r="U81" s="615">
        <v>0</v>
      </c>
      <c r="V81" s="647"/>
    </row>
    <row r="82" spans="1:26" ht="15">
      <c r="A82" s="610"/>
      <c r="B82" s="616"/>
      <c r="C82" s="616"/>
      <c r="D82" s="616"/>
      <c r="E82" s="612">
        <v>161</v>
      </c>
      <c r="F82" s="617" t="s">
        <v>50</v>
      </c>
      <c r="G82" s="614">
        <f t="shared" si="16"/>
        <v>32302</v>
      </c>
      <c r="H82" s="614">
        <v>100</v>
      </c>
      <c r="I82" s="614">
        <v>4000</v>
      </c>
      <c r="J82" s="614">
        <v>-1140.0999999999999</v>
      </c>
      <c r="K82" s="614">
        <v>1300.0999999999999</v>
      </c>
      <c r="L82" s="614">
        <v>3065.9</v>
      </c>
      <c r="M82" s="614">
        <v>4374.1000000000004</v>
      </c>
      <c r="N82" s="614">
        <v>3000</v>
      </c>
      <c r="O82" s="614">
        <v>1000</v>
      </c>
      <c r="P82" s="614">
        <v>2000</v>
      </c>
      <c r="Q82" s="614">
        <v>2000</v>
      </c>
      <c r="R82" s="614">
        <v>6000</v>
      </c>
      <c r="S82" s="614">
        <v>6602</v>
      </c>
      <c r="T82" s="646">
        <v>32302</v>
      </c>
      <c r="U82" s="615">
        <v>0</v>
      </c>
      <c r="V82" s="647"/>
    </row>
    <row r="83" spans="1:26" ht="12.75">
      <c r="A83" s="610"/>
      <c r="B83" s="611"/>
      <c r="C83" s="611"/>
      <c r="D83" s="611"/>
      <c r="E83" s="612">
        <v>169</v>
      </c>
      <c r="F83" s="617" t="s">
        <v>22</v>
      </c>
      <c r="G83" s="614">
        <f t="shared" si="16"/>
        <v>0</v>
      </c>
      <c r="H83" s="616"/>
      <c r="I83" s="616"/>
      <c r="J83" s="616"/>
      <c r="K83" s="616"/>
      <c r="L83" s="616"/>
      <c r="M83" s="616"/>
      <c r="N83" s="616"/>
      <c r="O83" s="616"/>
      <c r="P83" s="616"/>
      <c r="Q83" s="616"/>
      <c r="R83" s="616"/>
      <c r="S83" s="616"/>
      <c r="T83" s="599"/>
      <c r="U83" s="615">
        <v>0</v>
      </c>
      <c r="V83" s="599"/>
    </row>
    <row r="84" spans="1:26" ht="12.75">
      <c r="A84" s="648"/>
      <c r="B84" s="649"/>
      <c r="C84" s="650">
        <v>70</v>
      </c>
      <c r="D84" s="649"/>
      <c r="E84" s="649"/>
      <c r="F84" s="651" t="s">
        <v>51</v>
      </c>
      <c r="G84" s="652">
        <f>G85+G91</f>
        <v>2060194</v>
      </c>
      <c r="H84" s="652">
        <v>0</v>
      </c>
      <c r="I84" s="652">
        <v>550</v>
      </c>
      <c r="J84" s="652">
        <v>100</v>
      </c>
      <c r="K84" s="652" t="s">
        <v>341</v>
      </c>
      <c r="L84" s="652">
        <v>500</v>
      </c>
      <c r="M84" s="652">
        <v>100</v>
      </c>
      <c r="N84" s="652" t="s">
        <v>342</v>
      </c>
      <c r="O84" s="652">
        <v>700</v>
      </c>
      <c r="P84" s="652">
        <v>400</v>
      </c>
      <c r="Q84" s="652" t="s">
        <v>343</v>
      </c>
      <c r="R84" s="652" t="s">
        <v>344</v>
      </c>
      <c r="S84" s="652" t="s">
        <v>345</v>
      </c>
      <c r="T84" s="599"/>
      <c r="U84" s="599"/>
      <c r="V84" s="599"/>
    </row>
    <row r="85" spans="1:26" ht="12.75">
      <c r="A85" s="604"/>
      <c r="B85" s="605"/>
      <c r="C85" s="605"/>
      <c r="D85" s="606">
        <v>100</v>
      </c>
      <c r="E85" s="605"/>
      <c r="F85" s="607" t="s">
        <v>52</v>
      </c>
      <c r="G85" s="608">
        <f>G86+G90</f>
        <v>906371</v>
      </c>
      <c r="H85" s="608">
        <v>0</v>
      </c>
      <c r="I85" s="608">
        <v>550</v>
      </c>
      <c r="J85" s="608">
        <v>100</v>
      </c>
      <c r="K85" s="608" t="s">
        <v>341</v>
      </c>
      <c r="L85" s="608">
        <v>500</v>
      </c>
      <c r="M85" s="608">
        <v>100</v>
      </c>
      <c r="N85" s="608">
        <v>700</v>
      </c>
      <c r="O85" s="608">
        <v>700</v>
      </c>
      <c r="P85" s="608">
        <v>400</v>
      </c>
      <c r="Q85" s="608" t="s">
        <v>343</v>
      </c>
      <c r="R85" s="608" t="s">
        <v>346</v>
      </c>
      <c r="S85" s="608" t="s">
        <v>345</v>
      </c>
      <c r="T85" s="615">
        <v>33712</v>
      </c>
      <c r="U85" s="615">
        <v>0</v>
      </c>
      <c r="V85" s="588"/>
    </row>
    <row r="86" spans="1:26" ht="12.75">
      <c r="A86" s="610"/>
      <c r="B86" s="611"/>
      <c r="C86" s="611"/>
      <c r="D86" s="611"/>
      <c r="E86" s="612">
        <v>159</v>
      </c>
      <c r="F86" s="617" t="s">
        <v>29</v>
      </c>
      <c r="G86" s="614">
        <f>H86+I86+J86+K86+L86+M86+N86+O86+P86+Q86+R86+S86</f>
        <v>872659</v>
      </c>
      <c r="H86" s="653">
        <v>827948</v>
      </c>
      <c r="I86" s="653">
        <v>-827948</v>
      </c>
      <c r="J86" s="653">
        <v>0</v>
      </c>
      <c r="K86" s="653">
        <v>0</v>
      </c>
      <c r="L86" s="653">
        <v>0</v>
      </c>
      <c r="M86" s="653">
        <v>0</v>
      </c>
      <c r="N86" s="653">
        <v>0</v>
      </c>
      <c r="O86" s="653">
        <v>0</v>
      </c>
      <c r="P86" s="653">
        <v>0</v>
      </c>
      <c r="Q86" s="653">
        <v>0</v>
      </c>
      <c r="R86" s="653">
        <v>271736</v>
      </c>
      <c r="S86" s="653">
        <v>600923</v>
      </c>
      <c r="T86" s="588"/>
      <c r="U86" s="588"/>
      <c r="V86" s="588"/>
    </row>
    <row r="87" spans="1:26" ht="25.5">
      <c r="A87" s="619"/>
      <c r="B87" s="620"/>
      <c r="C87" s="620"/>
      <c r="D87" s="620"/>
      <c r="E87" s="638"/>
      <c r="F87" s="654" t="s">
        <v>347</v>
      </c>
      <c r="G87" s="636"/>
      <c r="H87" s="622"/>
      <c r="I87" s="623"/>
      <c r="J87" s="623"/>
      <c r="K87" s="623"/>
      <c r="L87" s="623"/>
      <c r="M87" s="623"/>
      <c r="N87" s="623"/>
      <c r="O87" s="623"/>
      <c r="P87" s="623"/>
      <c r="Q87" s="623"/>
      <c r="R87" s="623">
        <v>271736</v>
      </c>
      <c r="S87" s="623"/>
      <c r="T87" s="624"/>
      <c r="U87" s="637"/>
      <c r="V87" s="637"/>
      <c r="W87" s="639"/>
      <c r="X87" s="639"/>
      <c r="Y87" s="639"/>
      <c r="Z87" s="639"/>
    </row>
    <row r="88" spans="1:26" ht="12.75">
      <c r="A88" s="610"/>
      <c r="B88" s="611"/>
      <c r="C88" s="611"/>
      <c r="D88" s="611"/>
      <c r="E88" s="612"/>
      <c r="F88" s="613"/>
      <c r="G88" s="614"/>
      <c r="H88" s="655"/>
      <c r="I88" s="653"/>
      <c r="J88" s="653"/>
      <c r="K88" s="653"/>
      <c r="L88" s="653"/>
      <c r="M88" s="653"/>
      <c r="N88" s="653"/>
      <c r="O88" s="653"/>
      <c r="P88" s="653"/>
      <c r="Q88" s="653"/>
      <c r="R88" s="653"/>
      <c r="S88" s="653"/>
      <c r="T88" s="615"/>
      <c r="U88" s="588"/>
      <c r="V88" s="588"/>
    </row>
    <row r="89" spans="1:26" ht="12.75">
      <c r="A89" s="610"/>
      <c r="B89" s="611"/>
      <c r="C89" s="611"/>
      <c r="D89" s="611"/>
      <c r="E89" s="612"/>
      <c r="F89" s="613"/>
      <c r="G89" s="614"/>
      <c r="H89" s="655"/>
      <c r="I89" s="653"/>
      <c r="J89" s="653"/>
      <c r="K89" s="653"/>
      <c r="L89" s="653"/>
      <c r="M89" s="653"/>
      <c r="N89" s="653"/>
      <c r="O89" s="653"/>
      <c r="P89" s="653"/>
      <c r="Q89" s="653"/>
      <c r="R89" s="653"/>
      <c r="S89" s="653"/>
      <c r="T89" s="615"/>
      <c r="U89" s="588"/>
      <c r="V89" s="588"/>
    </row>
    <row r="90" spans="1:26" ht="12.75">
      <c r="A90" s="610"/>
      <c r="B90" s="611"/>
      <c r="C90" s="611"/>
      <c r="D90" s="611"/>
      <c r="E90" s="612">
        <v>161</v>
      </c>
      <c r="F90" s="613" t="s">
        <v>348</v>
      </c>
      <c r="G90" s="614">
        <f>H90+I90+J90+K90+L90+M90+N90+O90+P90+Q90+R90+S90</f>
        <v>33712</v>
      </c>
      <c r="H90" s="653">
        <v>500</v>
      </c>
      <c r="I90" s="653">
        <v>550</v>
      </c>
      <c r="J90" s="653">
        <v>-1050</v>
      </c>
      <c r="K90" s="653"/>
      <c r="L90" s="653"/>
      <c r="M90" s="653">
        <v>100</v>
      </c>
      <c r="N90" s="653">
        <v>1200</v>
      </c>
      <c r="O90" s="653">
        <v>700</v>
      </c>
      <c r="P90" s="653">
        <v>400</v>
      </c>
      <c r="Q90" s="653">
        <v>7150</v>
      </c>
      <c r="R90" s="653">
        <v>10000</v>
      </c>
      <c r="S90" s="653">
        <v>14162</v>
      </c>
      <c r="T90" s="615">
        <v>33712</v>
      </c>
      <c r="U90" s="588"/>
      <c r="V90" s="588"/>
    </row>
    <row r="91" spans="1:26" ht="12.75">
      <c r="A91" s="656"/>
      <c r="B91" s="657"/>
      <c r="C91" s="605"/>
      <c r="D91" s="606">
        <v>112</v>
      </c>
      <c r="E91" s="605"/>
      <c r="F91" s="607" t="s">
        <v>53</v>
      </c>
      <c r="G91" s="608">
        <f>G92+G96</f>
        <v>1153823</v>
      </c>
      <c r="H91" s="608">
        <v>0</v>
      </c>
      <c r="I91" s="608">
        <v>0</v>
      </c>
      <c r="J91" s="608">
        <v>0</v>
      </c>
      <c r="K91" s="608">
        <v>0</v>
      </c>
      <c r="L91" s="608">
        <v>0</v>
      </c>
      <c r="M91" s="608">
        <v>0</v>
      </c>
      <c r="N91" s="608" t="s">
        <v>349</v>
      </c>
      <c r="O91" s="608">
        <v>0</v>
      </c>
      <c r="P91" s="608">
        <v>0</v>
      </c>
      <c r="Q91" s="608">
        <v>0</v>
      </c>
      <c r="R91" s="608" t="s">
        <v>350</v>
      </c>
      <c r="S91" s="608">
        <v>0</v>
      </c>
      <c r="T91" s="588"/>
      <c r="U91" s="588"/>
      <c r="V91" s="588"/>
    </row>
    <row r="92" spans="1:26" ht="12.75">
      <c r="A92" s="610"/>
      <c r="B92" s="611"/>
      <c r="C92" s="611"/>
      <c r="D92" s="611"/>
      <c r="E92" s="612">
        <v>418</v>
      </c>
      <c r="F92" s="617" t="s">
        <v>54</v>
      </c>
      <c r="G92" s="614">
        <f>G93+G94</f>
        <v>967869</v>
      </c>
      <c r="H92" s="614">
        <v>0</v>
      </c>
      <c r="I92" s="614">
        <v>0</v>
      </c>
      <c r="J92" s="614">
        <v>0</v>
      </c>
      <c r="K92" s="614">
        <v>0</v>
      </c>
      <c r="L92" s="614">
        <v>0</v>
      </c>
      <c r="M92" s="614">
        <v>0</v>
      </c>
      <c r="N92" s="614">
        <f>N93+N94</f>
        <v>967869</v>
      </c>
      <c r="O92" s="614">
        <v>0</v>
      </c>
      <c r="P92" s="614">
        <v>0</v>
      </c>
      <c r="Q92" s="614">
        <v>0</v>
      </c>
      <c r="R92" s="614"/>
      <c r="S92" s="614">
        <v>0</v>
      </c>
      <c r="T92" s="615">
        <v>1239605</v>
      </c>
      <c r="U92" s="615">
        <v>-1</v>
      </c>
      <c r="V92" s="588"/>
    </row>
    <row r="93" spans="1:26" ht="12.75">
      <c r="A93" s="619"/>
      <c r="B93" s="620"/>
      <c r="C93" s="620"/>
      <c r="D93" s="620"/>
      <c r="E93" s="620"/>
      <c r="F93" s="643" t="s">
        <v>351</v>
      </c>
      <c r="G93" s="636">
        <f t="shared" ref="G93:G94" si="18">N93</f>
        <v>679155</v>
      </c>
      <c r="H93" s="635"/>
      <c r="I93" s="635"/>
      <c r="J93" s="635"/>
      <c r="K93" s="635"/>
      <c r="L93" s="635"/>
      <c r="M93" s="635"/>
      <c r="N93" s="636">
        <v>679155</v>
      </c>
      <c r="O93" s="635"/>
      <c r="P93" s="635"/>
      <c r="Q93" s="635"/>
      <c r="R93" s="635"/>
      <c r="S93" s="635"/>
      <c r="T93" s="624">
        <v>679156</v>
      </c>
      <c r="U93" s="637"/>
      <c r="V93" s="637"/>
    </row>
    <row r="94" spans="1:26" ht="12.75">
      <c r="A94" s="619"/>
      <c r="B94" s="620"/>
      <c r="C94" s="620"/>
      <c r="D94" s="620"/>
      <c r="E94" s="620"/>
      <c r="F94" s="643" t="s">
        <v>352</v>
      </c>
      <c r="G94" s="636">
        <f t="shared" si="18"/>
        <v>288714</v>
      </c>
      <c r="H94" s="635"/>
      <c r="I94" s="635"/>
      <c r="J94" s="635"/>
      <c r="K94" s="635"/>
      <c r="L94" s="635"/>
      <c r="M94" s="635"/>
      <c r="N94" s="636">
        <v>288714</v>
      </c>
      <c r="O94" s="635"/>
      <c r="P94" s="635"/>
      <c r="Q94" s="635"/>
      <c r="R94" s="635"/>
      <c r="S94" s="635"/>
      <c r="T94" s="624">
        <v>288713</v>
      </c>
      <c r="U94" s="637"/>
      <c r="V94" s="637"/>
    </row>
    <row r="95" spans="1:26" ht="30.75" customHeight="1">
      <c r="A95" s="619"/>
      <c r="B95" s="620"/>
      <c r="C95" s="620"/>
      <c r="D95" s="620"/>
      <c r="E95" s="620"/>
      <c r="F95" s="643" t="s">
        <v>353</v>
      </c>
      <c r="G95" s="636"/>
      <c r="H95" s="635"/>
      <c r="I95" s="635"/>
      <c r="J95" s="635"/>
      <c r="K95" s="635"/>
      <c r="L95" s="635"/>
      <c r="M95" s="635"/>
      <c r="N95" s="635"/>
      <c r="O95" s="635"/>
      <c r="P95" s="635"/>
      <c r="Q95" s="635"/>
      <c r="R95" s="636"/>
      <c r="S95" s="635"/>
      <c r="T95" s="624">
        <v>271736</v>
      </c>
      <c r="U95" s="637"/>
      <c r="V95" s="637"/>
    </row>
    <row r="96" spans="1:26" ht="38.25">
      <c r="A96" s="658"/>
      <c r="B96" s="655"/>
      <c r="C96" s="627"/>
      <c r="D96" s="628"/>
      <c r="E96" s="628">
        <v>423</v>
      </c>
      <c r="F96" s="659" t="s">
        <v>354</v>
      </c>
      <c r="G96" s="630">
        <f>R96</f>
        <v>185954</v>
      </c>
      <c r="H96" s="630"/>
      <c r="I96" s="630"/>
      <c r="J96" s="630"/>
      <c r="K96" s="630"/>
      <c r="L96" s="630"/>
      <c r="M96" s="630"/>
      <c r="N96" s="630"/>
      <c r="O96" s="630"/>
      <c r="P96" s="630"/>
      <c r="Q96" s="630"/>
      <c r="R96" s="630">
        <v>185954</v>
      </c>
      <c r="S96" s="630"/>
      <c r="T96" s="660"/>
      <c r="U96" s="660"/>
      <c r="V96" s="660"/>
      <c r="W96" s="47"/>
      <c r="X96" s="47"/>
      <c r="Y96" s="47"/>
      <c r="Z96" s="47"/>
    </row>
    <row r="97" spans="1:26" ht="41.25" customHeight="1">
      <c r="A97" s="661"/>
      <c r="B97" s="662"/>
      <c r="C97" s="663">
        <v>138</v>
      </c>
      <c r="D97" s="663"/>
      <c r="E97" s="662"/>
      <c r="F97" s="664" t="s">
        <v>55</v>
      </c>
      <c r="G97" s="665">
        <f t="shared" ref="G97:S97" si="19">G98</f>
        <v>1236.5999999999999</v>
      </c>
      <c r="H97" s="665">
        <f t="shared" si="19"/>
        <v>0</v>
      </c>
      <c r="I97" s="665">
        <f t="shared" si="19"/>
        <v>0</v>
      </c>
      <c r="J97" s="665">
        <f t="shared" si="19"/>
        <v>0</v>
      </c>
      <c r="K97" s="665">
        <f t="shared" si="19"/>
        <v>1236.5999999999999</v>
      </c>
      <c r="L97" s="665">
        <f t="shared" si="19"/>
        <v>0</v>
      </c>
      <c r="M97" s="665">
        <f t="shared" si="19"/>
        <v>0</v>
      </c>
      <c r="N97" s="665">
        <f t="shared" si="19"/>
        <v>0</v>
      </c>
      <c r="O97" s="665">
        <f t="shared" si="19"/>
        <v>0</v>
      </c>
      <c r="P97" s="665">
        <f t="shared" si="19"/>
        <v>0</v>
      </c>
      <c r="Q97" s="665">
        <f t="shared" si="19"/>
        <v>0</v>
      </c>
      <c r="R97" s="665">
        <f t="shared" si="19"/>
        <v>0</v>
      </c>
      <c r="S97" s="665">
        <f t="shared" si="19"/>
        <v>0</v>
      </c>
      <c r="T97" s="666"/>
      <c r="U97" s="666"/>
      <c r="V97" s="666"/>
      <c r="W97" s="667"/>
      <c r="X97" s="667"/>
      <c r="Y97" s="667"/>
      <c r="Z97" s="667"/>
    </row>
    <row r="98" spans="1:26" ht="12.75">
      <c r="A98" s="604"/>
      <c r="B98" s="605"/>
      <c r="C98" s="605"/>
      <c r="D98" s="605"/>
      <c r="E98" s="606">
        <v>159</v>
      </c>
      <c r="F98" s="607" t="s">
        <v>29</v>
      </c>
      <c r="G98" s="608">
        <f>K98</f>
        <v>1236.5999999999999</v>
      </c>
      <c r="H98" s="608"/>
      <c r="I98" s="608"/>
      <c r="J98" s="608"/>
      <c r="K98" s="608">
        <v>1236.5999999999999</v>
      </c>
      <c r="L98" s="608"/>
      <c r="M98" s="608"/>
      <c r="N98" s="608"/>
      <c r="O98" s="608"/>
      <c r="P98" s="608"/>
      <c r="Q98" s="608"/>
      <c r="R98" s="608"/>
      <c r="S98" s="608"/>
      <c r="T98" s="668"/>
      <c r="U98" s="668"/>
      <c r="V98" s="668"/>
      <c r="W98" s="110"/>
      <c r="X98" s="110"/>
      <c r="Y98" s="110"/>
      <c r="Z98" s="110"/>
    </row>
    <row r="99" spans="1:26" ht="12.75">
      <c r="A99" s="669"/>
      <c r="B99" s="595"/>
      <c r="C99" s="595"/>
      <c r="D99" s="595"/>
      <c r="E99" s="595"/>
      <c r="F99" s="670"/>
      <c r="G99" s="598"/>
      <c r="H99" s="598"/>
      <c r="I99" s="598"/>
      <c r="J99" s="598"/>
      <c r="K99" s="598"/>
      <c r="L99" s="598"/>
      <c r="M99" s="598"/>
      <c r="N99" s="598"/>
      <c r="O99" s="598"/>
      <c r="P99" s="598"/>
      <c r="Q99" s="598"/>
      <c r="R99" s="598"/>
      <c r="S99" s="598"/>
      <c r="T99" s="599"/>
      <c r="U99" s="599"/>
      <c r="V99" s="599"/>
    </row>
    <row r="100" spans="1:26" ht="12.75">
      <c r="A100" s="669"/>
      <c r="B100" s="595"/>
      <c r="C100" s="595"/>
      <c r="D100" s="595"/>
      <c r="E100" s="595"/>
      <c r="F100" s="670" t="s">
        <v>355</v>
      </c>
      <c r="G100" s="598" t="s">
        <v>356</v>
      </c>
      <c r="H100" s="598" t="s">
        <v>281</v>
      </c>
      <c r="I100" s="598" t="s">
        <v>282</v>
      </c>
      <c r="J100" s="598" t="s">
        <v>283</v>
      </c>
      <c r="K100" s="598" t="s">
        <v>284</v>
      </c>
      <c r="L100" s="598" t="s">
        <v>285</v>
      </c>
      <c r="M100" s="598" t="s">
        <v>286</v>
      </c>
      <c r="N100" s="598" t="s">
        <v>287</v>
      </c>
      <c r="O100" s="598" t="s">
        <v>288</v>
      </c>
      <c r="P100" s="598" t="s">
        <v>289</v>
      </c>
      <c r="Q100" s="598" t="s">
        <v>290</v>
      </c>
      <c r="R100" s="598" t="s">
        <v>291</v>
      </c>
      <c r="S100" s="598" t="s">
        <v>292</v>
      </c>
      <c r="T100" s="599"/>
      <c r="U100" s="599"/>
      <c r="V100" s="599"/>
    </row>
    <row r="101" spans="1:26" ht="12.75">
      <c r="A101" s="588"/>
      <c r="B101" s="588"/>
      <c r="C101" s="588"/>
      <c r="D101" s="588"/>
      <c r="E101" s="588"/>
      <c r="F101" s="588"/>
      <c r="G101" s="671"/>
      <c r="H101" s="671"/>
      <c r="I101" s="671"/>
      <c r="J101" s="671"/>
      <c r="K101" s="671"/>
      <c r="L101" s="671"/>
      <c r="M101" s="671"/>
      <c r="N101" s="671"/>
      <c r="O101" s="671"/>
      <c r="P101" s="671"/>
      <c r="Q101" s="671"/>
      <c r="R101" s="671"/>
      <c r="S101" s="671"/>
      <c r="T101" s="588"/>
      <c r="U101" s="588"/>
      <c r="V101" s="588"/>
    </row>
    <row r="102" spans="1:26" ht="12.75">
      <c r="A102" s="588"/>
      <c r="B102" s="588"/>
      <c r="C102" s="588"/>
      <c r="D102" s="588"/>
      <c r="E102" s="588"/>
      <c r="F102" s="588"/>
      <c r="G102" s="671"/>
      <c r="H102" s="671"/>
      <c r="I102" s="671"/>
      <c r="J102" s="671"/>
      <c r="K102" s="671"/>
      <c r="L102" s="671"/>
      <c r="M102" s="671"/>
      <c r="N102" s="671"/>
      <c r="O102" s="671"/>
      <c r="P102" s="671"/>
      <c r="Q102" s="671"/>
      <c r="R102" s="671"/>
      <c r="S102" s="671"/>
      <c r="T102" s="588"/>
      <c r="U102" s="588"/>
      <c r="V102" s="588"/>
    </row>
    <row r="109" spans="1:26" ht="12.75">
      <c r="A109" s="925" t="s">
        <v>262</v>
      </c>
      <c r="B109" s="925" t="s">
        <v>263</v>
      </c>
      <c r="C109" s="925" t="s">
        <v>1</v>
      </c>
      <c r="D109" s="925" t="s">
        <v>264</v>
      </c>
      <c r="E109" s="925" t="s">
        <v>3</v>
      </c>
      <c r="F109" s="925" t="s">
        <v>265</v>
      </c>
      <c r="G109" s="927" t="s">
        <v>266</v>
      </c>
      <c r="H109" s="926" t="s">
        <v>267</v>
      </c>
      <c r="I109" s="867"/>
      <c r="J109" s="867"/>
      <c r="K109" s="867"/>
      <c r="L109" s="867"/>
      <c r="M109" s="867"/>
      <c r="N109" s="867"/>
      <c r="O109" s="867"/>
      <c r="P109" s="867"/>
      <c r="Q109" s="867"/>
      <c r="R109" s="867"/>
      <c r="S109" s="868"/>
      <c r="T109" s="588"/>
      <c r="U109" s="588"/>
    </row>
    <row r="110" spans="1:26" ht="12.75">
      <c r="A110" s="862"/>
      <c r="B110" s="862"/>
      <c r="C110" s="862"/>
      <c r="D110" s="862"/>
      <c r="E110" s="862"/>
      <c r="F110" s="862"/>
      <c r="G110" s="862"/>
      <c r="H110" s="589" t="s">
        <v>268</v>
      </c>
      <c r="I110" s="589" t="s">
        <v>269</v>
      </c>
      <c r="J110" s="589" t="s">
        <v>270</v>
      </c>
      <c r="K110" s="589" t="s">
        <v>271</v>
      </c>
      <c r="L110" s="589" t="s">
        <v>272</v>
      </c>
      <c r="M110" s="589" t="s">
        <v>273</v>
      </c>
      <c r="N110" s="589" t="s">
        <v>274</v>
      </c>
      <c r="O110" s="589" t="s">
        <v>275</v>
      </c>
      <c r="P110" s="589" t="s">
        <v>276</v>
      </c>
      <c r="Q110" s="589" t="s">
        <v>277</v>
      </c>
      <c r="R110" s="589" t="s">
        <v>278</v>
      </c>
      <c r="S110" s="589" t="s">
        <v>279</v>
      </c>
      <c r="T110" s="588"/>
      <c r="U110" s="588"/>
    </row>
    <row r="111" spans="1:26" ht="12.75">
      <c r="A111" s="590">
        <v>1</v>
      </c>
      <c r="B111" s="591">
        <v>2</v>
      </c>
      <c r="C111" s="591">
        <v>3</v>
      </c>
      <c r="D111" s="591">
        <v>4</v>
      </c>
      <c r="E111" s="591">
        <v>5</v>
      </c>
      <c r="F111" s="591">
        <v>6</v>
      </c>
      <c r="G111" s="591">
        <v>7</v>
      </c>
      <c r="H111" s="591">
        <v>8</v>
      </c>
      <c r="I111" s="591">
        <v>9</v>
      </c>
      <c r="J111" s="591">
        <v>10</v>
      </c>
      <c r="K111" s="591">
        <v>11</v>
      </c>
      <c r="L111" s="591">
        <v>12</v>
      </c>
      <c r="M111" s="591">
        <v>13</v>
      </c>
      <c r="N111" s="591">
        <v>14</v>
      </c>
      <c r="O111" s="591">
        <v>15</v>
      </c>
      <c r="P111" s="591">
        <v>16</v>
      </c>
      <c r="Q111" s="591">
        <v>17</v>
      </c>
      <c r="R111" s="591">
        <v>18</v>
      </c>
      <c r="S111" s="591">
        <v>19</v>
      </c>
      <c r="T111" s="588"/>
      <c r="U111" s="588"/>
    </row>
    <row r="112" spans="1:26" ht="12.75">
      <c r="A112" s="592"/>
      <c r="B112" s="593"/>
      <c r="C112" s="593"/>
      <c r="D112" s="593"/>
      <c r="E112" s="593"/>
      <c r="F112" s="593"/>
      <c r="G112" s="593"/>
      <c r="H112" s="593"/>
      <c r="I112" s="593"/>
      <c r="J112" s="593"/>
      <c r="K112" s="593"/>
      <c r="L112" s="593"/>
      <c r="M112" s="593"/>
      <c r="N112" s="593"/>
      <c r="O112" s="593"/>
      <c r="P112" s="593"/>
      <c r="Q112" s="593"/>
      <c r="R112" s="593"/>
      <c r="S112" s="593"/>
      <c r="T112" s="588"/>
      <c r="U112" s="588"/>
    </row>
    <row r="113" spans="1:26" ht="12.75">
      <c r="A113" s="594"/>
      <c r="B113" s="595"/>
      <c r="C113" s="596"/>
      <c r="D113" s="596"/>
      <c r="E113" s="596"/>
      <c r="F113" s="597" t="s">
        <v>280</v>
      </c>
      <c r="G113" s="598" t="s">
        <v>356</v>
      </c>
      <c r="H113" s="598" t="s">
        <v>357</v>
      </c>
      <c r="I113" s="598" t="s">
        <v>358</v>
      </c>
      <c r="J113" s="598" t="s">
        <v>359</v>
      </c>
      <c r="K113" s="598" t="s">
        <v>360</v>
      </c>
      <c r="L113" s="598" t="s">
        <v>361</v>
      </c>
      <c r="M113" s="598" t="s">
        <v>362</v>
      </c>
      <c r="N113" s="598" t="s">
        <v>363</v>
      </c>
      <c r="O113" s="598" t="s">
        <v>364</v>
      </c>
      <c r="P113" s="598" t="s">
        <v>365</v>
      </c>
      <c r="Q113" s="598" t="s">
        <v>366</v>
      </c>
      <c r="R113" s="598" t="s">
        <v>367</v>
      </c>
      <c r="S113" s="598" t="s">
        <v>368</v>
      </c>
      <c r="T113" s="599"/>
      <c r="U113" s="599"/>
    </row>
    <row r="114" spans="1:26" ht="12.75">
      <c r="A114" s="600"/>
      <c r="B114" s="601"/>
      <c r="C114" s="602">
        <v>1</v>
      </c>
      <c r="D114" s="601"/>
      <c r="E114" s="601"/>
      <c r="F114" s="602" t="s">
        <v>15</v>
      </c>
      <c r="G114" s="603" t="s">
        <v>369</v>
      </c>
      <c r="H114" s="603" t="s">
        <v>357</v>
      </c>
      <c r="I114" s="603" t="s">
        <v>370</v>
      </c>
      <c r="J114" s="603" t="s">
        <v>371</v>
      </c>
      <c r="K114" s="603" t="s">
        <v>372</v>
      </c>
      <c r="L114" s="603" t="s">
        <v>373</v>
      </c>
      <c r="M114" s="603" t="s">
        <v>374</v>
      </c>
      <c r="N114" s="603" t="s">
        <v>375</v>
      </c>
      <c r="O114" s="603" t="s">
        <v>376</v>
      </c>
      <c r="P114" s="603" t="s">
        <v>377</v>
      </c>
      <c r="Q114" s="603" t="s">
        <v>378</v>
      </c>
      <c r="R114" s="603" t="s">
        <v>379</v>
      </c>
      <c r="S114" s="603" t="s">
        <v>380</v>
      </c>
      <c r="T114" s="599"/>
      <c r="U114" s="599"/>
    </row>
    <row r="115" spans="1:26" ht="12.75">
      <c r="A115" s="604"/>
      <c r="B115" s="605"/>
      <c r="C115" s="605"/>
      <c r="D115" s="606">
        <v>100</v>
      </c>
      <c r="E115" s="605"/>
      <c r="F115" s="607" t="s">
        <v>16</v>
      </c>
      <c r="G115" s="608" t="s">
        <v>381</v>
      </c>
      <c r="H115" s="608" t="s">
        <v>382</v>
      </c>
      <c r="I115" s="608" t="s">
        <v>383</v>
      </c>
      <c r="J115" s="608" t="s">
        <v>384</v>
      </c>
      <c r="K115" s="608" t="s">
        <v>385</v>
      </c>
      <c r="L115" s="608" t="s">
        <v>386</v>
      </c>
      <c r="M115" s="608" t="s">
        <v>387</v>
      </c>
      <c r="N115" s="608" t="s">
        <v>388</v>
      </c>
      <c r="O115" s="608" t="s">
        <v>389</v>
      </c>
      <c r="P115" s="608" t="s">
        <v>390</v>
      </c>
      <c r="Q115" s="608" t="s">
        <v>391</v>
      </c>
      <c r="R115" s="608" t="s">
        <v>392</v>
      </c>
      <c r="S115" s="608" t="s">
        <v>393</v>
      </c>
      <c r="T115" s="609">
        <v>31893</v>
      </c>
      <c r="U115" s="609" t="s">
        <v>293</v>
      </c>
    </row>
    <row r="116" spans="1:26" ht="12.75">
      <c r="A116" s="610"/>
      <c r="B116" s="611"/>
      <c r="C116" s="611"/>
      <c r="D116" s="611"/>
      <c r="E116" s="612">
        <v>131</v>
      </c>
      <c r="F116" s="613" t="s">
        <v>294</v>
      </c>
      <c r="G116" s="614">
        <f t="shared" ref="G116:G126" si="20">H116+I116+J116+K116+L116+M116+N116+O116+P116+Q116+R116+S116</f>
        <v>21437.5</v>
      </c>
      <c r="H116" s="614">
        <f t="shared" ref="H116:S116" si="21">H17</f>
        <v>1555</v>
      </c>
      <c r="I116" s="614">
        <f t="shared" si="21"/>
        <v>1555</v>
      </c>
      <c r="J116" s="614">
        <f t="shared" si="21"/>
        <v>2675</v>
      </c>
      <c r="K116" s="614">
        <f t="shared" si="21"/>
        <v>2365</v>
      </c>
      <c r="L116" s="614">
        <f t="shared" si="21"/>
        <v>2409.5</v>
      </c>
      <c r="M116" s="614">
        <f t="shared" si="21"/>
        <v>1554</v>
      </c>
      <c r="N116" s="614">
        <f t="shared" si="21"/>
        <v>1554</v>
      </c>
      <c r="O116" s="614">
        <f t="shared" si="21"/>
        <v>1554</v>
      </c>
      <c r="P116" s="614">
        <f t="shared" si="21"/>
        <v>1554</v>
      </c>
      <c r="Q116" s="614">
        <f t="shared" si="21"/>
        <v>1554</v>
      </c>
      <c r="R116" s="614">
        <f t="shared" si="21"/>
        <v>1554</v>
      </c>
      <c r="S116" s="614">
        <f t="shared" si="21"/>
        <v>1554</v>
      </c>
      <c r="T116" s="615">
        <v>18653</v>
      </c>
      <c r="U116" s="615">
        <v>0</v>
      </c>
    </row>
    <row r="117" spans="1:26" ht="12.75">
      <c r="A117" s="610"/>
      <c r="B117" s="611"/>
      <c r="C117" s="611"/>
      <c r="D117" s="611"/>
      <c r="E117" s="612">
        <v>135</v>
      </c>
      <c r="F117" s="613" t="s">
        <v>18</v>
      </c>
      <c r="G117" s="614">
        <f t="shared" si="20"/>
        <v>2851.1</v>
      </c>
      <c r="H117" s="614">
        <f t="shared" ref="H117:S117" si="22">H18</f>
        <v>222</v>
      </c>
      <c r="I117" s="614">
        <f t="shared" si="22"/>
        <v>222</v>
      </c>
      <c r="J117" s="614">
        <f t="shared" si="22"/>
        <v>222</v>
      </c>
      <c r="K117" s="614">
        <f t="shared" si="22"/>
        <v>262</v>
      </c>
      <c r="L117" s="614">
        <f t="shared" si="22"/>
        <v>376.1</v>
      </c>
      <c r="M117" s="614">
        <f t="shared" si="22"/>
        <v>222</v>
      </c>
      <c r="N117" s="614">
        <f t="shared" si="22"/>
        <v>222</v>
      </c>
      <c r="O117" s="614">
        <f t="shared" si="22"/>
        <v>222</v>
      </c>
      <c r="P117" s="614">
        <f t="shared" si="22"/>
        <v>221</v>
      </c>
      <c r="Q117" s="614">
        <f t="shared" si="22"/>
        <v>221</v>
      </c>
      <c r="R117" s="614">
        <f t="shared" si="22"/>
        <v>221</v>
      </c>
      <c r="S117" s="614">
        <f t="shared" si="22"/>
        <v>218</v>
      </c>
      <c r="T117" s="615">
        <v>2936</v>
      </c>
      <c r="U117" s="615">
        <v>0</v>
      </c>
    </row>
    <row r="118" spans="1:26" ht="12.75">
      <c r="A118" s="610"/>
      <c r="B118" s="611"/>
      <c r="C118" s="611"/>
      <c r="D118" s="611"/>
      <c r="E118" s="612">
        <v>136</v>
      </c>
      <c r="F118" s="613" t="s">
        <v>19</v>
      </c>
      <c r="G118" s="614">
        <f t="shared" si="20"/>
        <v>0</v>
      </c>
      <c r="H118" s="614">
        <f t="shared" ref="H118:S118" si="23">H19</f>
        <v>0</v>
      </c>
      <c r="I118" s="614">
        <f t="shared" si="23"/>
        <v>0</v>
      </c>
      <c r="J118" s="614">
        <f t="shared" si="23"/>
        <v>0</v>
      </c>
      <c r="K118" s="614">
        <f t="shared" si="23"/>
        <v>0</v>
      </c>
      <c r="L118" s="614">
        <f t="shared" si="23"/>
        <v>0</v>
      </c>
      <c r="M118" s="614">
        <f t="shared" si="23"/>
        <v>0</v>
      </c>
      <c r="N118" s="614">
        <f t="shared" si="23"/>
        <v>0</v>
      </c>
      <c r="O118" s="614">
        <f t="shared" si="23"/>
        <v>0</v>
      </c>
      <c r="P118" s="614">
        <f t="shared" si="23"/>
        <v>0</v>
      </c>
      <c r="Q118" s="614">
        <f t="shared" si="23"/>
        <v>0</v>
      </c>
      <c r="R118" s="614">
        <f t="shared" si="23"/>
        <v>0</v>
      </c>
      <c r="S118" s="614">
        <f t="shared" si="23"/>
        <v>0</v>
      </c>
      <c r="T118" s="588"/>
      <c r="U118" s="588"/>
    </row>
    <row r="119" spans="1:26" ht="12.75">
      <c r="A119" s="610"/>
      <c r="B119" s="611"/>
      <c r="C119" s="611"/>
      <c r="D119" s="611"/>
      <c r="E119" s="612">
        <v>159</v>
      </c>
      <c r="F119" s="617" t="s">
        <v>29</v>
      </c>
      <c r="G119" s="614">
        <f t="shared" si="20"/>
        <v>7044.91</v>
      </c>
      <c r="H119" s="614">
        <v>0</v>
      </c>
      <c r="I119" s="614">
        <f t="shared" ref="I119:L119" si="24">I120+I121+I122+I123+I124+I125+I126+I128</f>
        <v>122</v>
      </c>
      <c r="J119" s="614">
        <f t="shared" si="24"/>
        <v>58.4</v>
      </c>
      <c r="K119" s="614">
        <f t="shared" si="24"/>
        <v>1749.6</v>
      </c>
      <c r="L119" s="614">
        <f t="shared" si="24"/>
        <v>-1629.4</v>
      </c>
      <c r="M119" s="614">
        <f>M120+M121+M122+M123+M124+M125+M126+M127+M128</f>
        <v>-1434.78</v>
      </c>
      <c r="N119" s="614">
        <f t="shared" ref="N119:S119" si="25">N120+N121+N122+N123+N124+N125+N126+N128</f>
        <v>1404.09</v>
      </c>
      <c r="O119" s="614">
        <f t="shared" si="25"/>
        <v>120</v>
      </c>
      <c r="P119" s="614">
        <f t="shared" si="25"/>
        <v>100</v>
      </c>
      <c r="Q119" s="614">
        <f t="shared" si="25"/>
        <v>120</v>
      </c>
      <c r="R119" s="614">
        <f t="shared" si="25"/>
        <v>1225</v>
      </c>
      <c r="S119" s="614">
        <f t="shared" si="25"/>
        <v>5210</v>
      </c>
      <c r="T119" s="615">
        <v>10304</v>
      </c>
      <c r="U119" s="615" t="s">
        <v>295</v>
      </c>
    </row>
    <row r="120" spans="1:26" ht="25.5">
      <c r="A120" s="619"/>
      <c r="B120" s="620"/>
      <c r="C120" s="620"/>
      <c r="D120" s="620"/>
      <c r="E120" s="620"/>
      <c r="F120" s="621" t="s">
        <v>394</v>
      </c>
      <c r="G120" s="614">
        <f t="shared" si="20"/>
        <v>0</v>
      </c>
      <c r="H120" s="635"/>
      <c r="I120" s="635"/>
      <c r="J120" s="635"/>
      <c r="K120" s="672">
        <v>1584</v>
      </c>
      <c r="L120" s="636">
        <v>-1584</v>
      </c>
      <c r="M120" s="636">
        <v>-1200</v>
      </c>
      <c r="N120" s="636">
        <v>1200</v>
      </c>
      <c r="O120" s="635"/>
      <c r="P120" s="635"/>
      <c r="Q120" s="635"/>
      <c r="R120" s="635"/>
      <c r="S120" s="635"/>
      <c r="T120" s="624">
        <v>1584</v>
      </c>
      <c r="U120" s="615">
        <v>0</v>
      </c>
    </row>
    <row r="121" spans="1:26" ht="38.25">
      <c r="A121" s="619"/>
      <c r="B121" s="620"/>
      <c r="C121" s="620"/>
      <c r="D121" s="620"/>
      <c r="E121" s="620"/>
      <c r="F121" s="621" t="s">
        <v>395</v>
      </c>
      <c r="G121" s="614">
        <f t="shared" si="20"/>
        <v>4964</v>
      </c>
      <c r="H121" s="635"/>
      <c r="I121" s="635"/>
      <c r="J121" s="635"/>
      <c r="K121" s="635"/>
      <c r="L121" s="635"/>
      <c r="M121" s="635"/>
      <c r="N121" s="635"/>
      <c r="O121" s="635"/>
      <c r="P121" s="635"/>
      <c r="Q121" s="635"/>
      <c r="R121" s="635"/>
      <c r="S121" s="672">
        <v>4964</v>
      </c>
      <c r="T121" s="624">
        <v>6240</v>
      </c>
      <c r="U121" s="615" t="s">
        <v>295</v>
      </c>
    </row>
    <row r="122" spans="1:26" ht="25.5">
      <c r="A122" s="619"/>
      <c r="B122" s="620"/>
      <c r="C122" s="620"/>
      <c r="D122" s="620"/>
      <c r="E122" s="620"/>
      <c r="F122" s="621" t="s">
        <v>298</v>
      </c>
      <c r="G122" s="614">
        <f t="shared" si="20"/>
        <v>1125</v>
      </c>
      <c r="H122" s="635"/>
      <c r="I122" s="635"/>
      <c r="J122" s="635"/>
      <c r="K122" s="635"/>
      <c r="L122" s="635"/>
      <c r="M122" s="635"/>
      <c r="N122" s="635"/>
      <c r="O122" s="635"/>
      <c r="P122" s="635"/>
      <c r="Q122" s="635"/>
      <c r="R122" s="672">
        <v>1125</v>
      </c>
      <c r="S122" s="635"/>
      <c r="T122" s="624">
        <v>1125</v>
      </c>
      <c r="U122" s="615">
        <v>0</v>
      </c>
    </row>
    <row r="123" spans="1:26" ht="25.5">
      <c r="A123" s="619"/>
      <c r="B123" s="620"/>
      <c r="C123" s="620"/>
      <c r="D123" s="620"/>
      <c r="E123" s="620"/>
      <c r="F123" s="621" t="s">
        <v>396</v>
      </c>
      <c r="G123" s="614">
        <f t="shared" si="20"/>
        <v>30.550000000000004</v>
      </c>
      <c r="H123" s="635"/>
      <c r="I123" s="636">
        <f>2.35*2</f>
        <v>4.7</v>
      </c>
      <c r="J123" s="636">
        <v>2.35</v>
      </c>
      <c r="K123" s="636">
        <v>2.35</v>
      </c>
      <c r="L123" s="636">
        <v>2.35</v>
      </c>
      <c r="M123" s="636">
        <v>2.35</v>
      </c>
      <c r="N123" s="636">
        <v>2.35</v>
      </c>
      <c r="O123" s="636">
        <v>2.35</v>
      </c>
      <c r="P123" s="636">
        <v>2.35</v>
      </c>
      <c r="Q123" s="636">
        <v>2.35</v>
      </c>
      <c r="R123" s="636">
        <v>2.35</v>
      </c>
      <c r="S123" s="636">
        <f>2.35*2</f>
        <v>4.7</v>
      </c>
      <c r="T123" s="624">
        <v>84</v>
      </c>
      <c r="U123" s="615">
        <v>0</v>
      </c>
    </row>
    <row r="124" spans="1:26" ht="51">
      <c r="A124" s="619"/>
      <c r="B124" s="620"/>
      <c r="C124" s="620"/>
      <c r="D124" s="620"/>
      <c r="E124" s="620"/>
      <c r="F124" s="621" t="s">
        <v>397</v>
      </c>
      <c r="G124" s="614">
        <f t="shared" si="20"/>
        <v>465.60000000000008</v>
      </c>
      <c r="H124" s="635"/>
      <c r="I124" s="636">
        <f>38.8*2</f>
        <v>77.599999999999994</v>
      </c>
      <c r="J124" s="636">
        <v>38.799999999999997</v>
      </c>
      <c r="K124" s="636">
        <v>38.799999999999997</v>
      </c>
      <c r="L124" s="636">
        <v>38.799999999999997</v>
      </c>
      <c r="M124" s="636">
        <v>38.799999999999997</v>
      </c>
      <c r="N124" s="636">
        <v>38.799999999999997</v>
      </c>
      <c r="O124" s="636">
        <v>38.799999999999997</v>
      </c>
      <c r="P124" s="636">
        <v>38.799999999999997</v>
      </c>
      <c r="Q124" s="636">
        <v>38.799999999999997</v>
      </c>
      <c r="R124" s="636">
        <v>38.799999999999997</v>
      </c>
      <c r="S124" s="636">
        <v>38.799999999999997</v>
      </c>
      <c r="T124" s="624">
        <v>822</v>
      </c>
      <c r="U124" s="615">
        <v>0</v>
      </c>
    </row>
    <row r="125" spans="1:26" ht="25.5">
      <c r="A125" s="619"/>
      <c r="B125" s="620"/>
      <c r="C125" s="620"/>
      <c r="D125" s="620"/>
      <c r="E125" s="620"/>
      <c r="F125" s="621" t="s">
        <v>301</v>
      </c>
      <c r="G125" s="614">
        <f t="shared" si="20"/>
        <v>86</v>
      </c>
      <c r="H125" s="635"/>
      <c r="I125" s="636"/>
      <c r="J125" s="636">
        <v>-20</v>
      </c>
      <c r="K125" s="636">
        <v>40</v>
      </c>
      <c r="L125" s="636">
        <v>-40</v>
      </c>
      <c r="M125" s="636">
        <v>-40</v>
      </c>
      <c r="N125" s="636">
        <v>60</v>
      </c>
      <c r="O125" s="636">
        <v>20</v>
      </c>
      <c r="P125" s="635"/>
      <c r="Q125" s="636">
        <v>20</v>
      </c>
      <c r="R125" s="635"/>
      <c r="S125" s="636">
        <v>46</v>
      </c>
      <c r="T125" s="624">
        <v>146</v>
      </c>
      <c r="U125" s="615">
        <v>0</v>
      </c>
    </row>
    <row r="126" spans="1:26" ht="25.5">
      <c r="A126" s="619"/>
      <c r="B126" s="620"/>
      <c r="C126" s="620"/>
      <c r="D126" s="620"/>
      <c r="E126" s="620"/>
      <c r="F126" s="621" t="s">
        <v>302</v>
      </c>
      <c r="G126" s="614">
        <f t="shared" si="20"/>
        <v>246.48000000000008</v>
      </c>
      <c r="H126" s="635"/>
      <c r="I126" s="636">
        <f>18.96*2</f>
        <v>37.92</v>
      </c>
      <c r="J126" s="636">
        <v>18.96</v>
      </c>
      <c r="K126" s="636">
        <v>18.96</v>
      </c>
      <c r="L126" s="636">
        <v>18.96</v>
      </c>
      <c r="M126" s="636">
        <v>18.96</v>
      </c>
      <c r="N126" s="636">
        <v>18.96</v>
      </c>
      <c r="O126" s="636">
        <v>18.96</v>
      </c>
      <c r="P126" s="636">
        <v>18.96</v>
      </c>
      <c r="Q126" s="636">
        <v>18.96</v>
      </c>
      <c r="R126" s="636">
        <v>18.96</v>
      </c>
      <c r="S126" s="636">
        <f>18.96*2</f>
        <v>37.92</v>
      </c>
      <c r="T126" s="624">
        <v>303</v>
      </c>
      <c r="U126" s="615">
        <v>0</v>
      </c>
    </row>
    <row r="127" spans="1:26" ht="12.75">
      <c r="A127" s="626"/>
      <c r="B127" s="627"/>
      <c r="C127" s="627"/>
      <c r="D127" s="628"/>
      <c r="E127" s="628"/>
      <c r="F127" s="673" t="s">
        <v>398</v>
      </c>
      <c r="G127" s="598"/>
      <c r="H127" s="630"/>
      <c r="I127" s="630"/>
      <c r="J127" s="630"/>
      <c r="K127" s="630"/>
      <c r="L127" s="630"/>
      <c r="M127" s="653">
        <v>138.19999999999999</v>
      </c>
      <c r="N127" s="630"/>
      <c r="O127" s="630"/>
      <c r="P127" s="630"/>
      <c r="Q127" s="630"/>
      <c r="R127" s="630"/>
      <c r="S127" s="630"/>
      <c r="T127" s="631"/>
      <c r="U127" s="631"/>
      <c r="V127" s="632"/>
      <c r="W127" s="47"/>
      <c r="X127" s="47"/>
      <c r="Y127" s="47"/>
      <c r="Z127" s="47"/>
    </row>
    <row r="128" spans="1:26" ht="21" customHeight="1">
      <c r="A128" s="626"/>
      <c r="B128" s="627"/>
      <c r="C128" s="627"/>
      <c r="D128" s="628"/>
      <c r="E128" s="628"/>
      <c r="F128" s="673" t="s">
        <v>399</v>
      </c>
      <c r="G128" s="598"/>
      <c r="H128" s="623"/>
      <c r="I128" s="623">
        <f>122-I123-I124-I125-I126</f>
        <v>1.7800000000000011</v>
      </c>
      <c r="J128" s="623">
        <f>58.4-J126-J125-J124-J123</f>
        <v>18.29</v>
      </c>
      <c r="K128" s="623">
        <f>1749.6-K126-K125-K124-K123-K120</f>
        <v>65.490000000000009</v>
      </c>
      <c r="L128" s="623">
        <f>-1629.4-L126-L125-L124-L123-L120</f>
        <v>-65.509999999999991</v>
      </c>
      <c r="M128" s="623">
        <v>-393.09</v>
      </c>
      <c r="N128" s="623">
        <f>40.89+43.09</f>
        <v>83.98</v>
      </c>
      <c r="O128" s="623">
        <v>39.889999999999993</v>
      </c>
      <c r="P128" s="623">
        <v>39.889999999999993</v>
      </c>
      <c r="Q128" s="623">
        <v>39.889999999999993</v>
      </c>
      <c r="R128" s="623">
        <v>39.8900000000001</v>
      </c>
      <c r="S128" s="623">
        <v>118.57999999999993</v>
      </c>
      <c r="T128" s="631"/>
      <c r="U128" s="631"/>
      <c r="V128" s="632"/>
      <c r="W128" s="47"/>
      <c r="X128" s="47"/>
      <c r="Y128" s="47"/>
      <c r="Z128" s="47"/>
    </row>
    <row r="129" spans="1:26" ht="12.75">
      <c r="A129" s="626"/>
      <c r="B129" s="627"/>
      <c r="C129" s="627"/>
      <c r="D129" s="628"/>
      <c r="E129" s="628">
        <v>169</v>
      </c>
      <c r="F129" s="629" t="s">
        <v>22</v>
      </c>
      <c r="G129" s="598">
        <f t="shared" ref="G129:G130" si="26">H129+I129+J129+K129+L129+M129+N129+O129+$P$20+$Q$20+$R$20+S129</f>
        <v>0.2</v>
      </c>
      <c r="H129" s="630">
        <f>H131</f>
        <v>0</v>
      </c>
      <c r="I129" s="630">
        <f t="shared" ref="I129:S129" si="27">I130</f>
        <v>0</v>
      </c>
      <c r="J129" s="630">
        <f t="shared" si="27"/>
        <v>0</v>
      </c>
      <c r="K129" s="630">
        <f t="shared" si="27"/>
        <v>0</v>
      </c>
      <c r="L129" s="630">
        <f t="shared" si="27"/>
        <v>0.2</v>
      </c>
      <c r="M129" s="630">
        <f t="shared" si="27"/>
        <v>0</v>
      </c>
      <c r="N129" s="630">
        <f t="shared" si="27"/>
        <v>0</v>
      </c>
      <c r="O129" s="630">
        <f t="shared" si="27"/>
        <v>0</v>
      </c>
      <c r="P129" s="630">
        <f t="shared" si="27"/>
        <v>0</v>
      </c>
      <c r="Q129" s="630">
        <f t="shared" si="27"/>
        <v>0</v>
      </c>
      <c r="R129" s="630">
        <f t="shared" si="27"/>
        <v>0</v>
      </c>
      <c r="S129" s="630">
        <f t="shared" si="27"/>
        <v>0</v>
      </c>
      <c r="T129" s="631"/>
      <c r="U129" s="631"/>
      <c r="V129" s="632"/>
      <c r="W129" s="47"/>
      <c r="X129" s="47"/>
      <c r="Y129" s="47"/>
      <c r="Z129" s="47"/>
    </row>
    <row r="130" spans="1:26" ht="12.75">
      <c r="A130" s="626"/>
      <c r="B130" s="627"/>
      <c r="C130" s="627"/>
      <c r="D130" s="628"/>
      <c r="E130" s="627"/>
      <c r="F130" s="633" t="s">
        <v>303</v>
      </c>
      <c r="G130" s="614">
        <f t="shared" si="26"/>
        <v>0.2</v>
      </c>
      <c r="H130" s="630"/>
      <c r="I130" s="630"/>
      <c r="J130" s="630"/>
      <c r="K130" s="630"/>
      <c r="L130" s="623">
        <v>0.2</v>
      </c>
      <c r="M130" s="630"/>
      <c r="N130" s="630"/>
      <c r="O130" s="630"/>
      <c r="P130" s="630"/>
      <c r="Q130" s="630"/>
      <c r="R130" s="630"/>
      <c r="S130" s="630"/>
      <c r="T130" s="631"/>
      <c r="U130" s="631"/>
      <c r="V130" s="632"/>
      <c r="W130" s="47"/>
      <c r="X130" s="47"/>
      <c r="Y130" s="47"/>
      <c r="Z130" s="47"/>
    </row>
    <row r="131" spans="1:26" ht="12.75">
      <c r="A131" s="604"/>
      <c r="B131" s="605"/>
      <c r="C131" s="605"/>
      <c r="D131" s="606">
        <v>104</v>
      </c>
      <c r="E131" s="605"/>
      <c r="F131" s="607" t="s">
        <v>25</v>
      </c>
      <c r="G131" s="608" t="s">
        <v>400</v>
      </c>
      <c r="H131" s="608">
        <v>0</v>
      </c>
      <c r="I131" s="608" t="s">
        <v>401</v>
      </c>
      <c r="J131" s="608" t="s">
        <v>402</v>
      </c>
      <c r="K131" s="608" t="s">
        <v>403</v>
      </c>
      <c r="L131" s="608" t="s">
        <v>404</v>
      </c>
      <c r="M131" s="608" t="s">
        <v>404</v>
      </c>
      <c r="N131" s="608" t="s">
        <v>405</v>
      </c>
      <c r="O131" s="608" t="s">
        <v>404</v>
      </c>
      <c r="P131" s="608" t="s">
        <v>404</v>
      </c>
      <c r="Q131" s="608" t="s">
        <v>404</v>
      </c>
      <c r="R131" s="608" t="s">
        <v>406</v>
      </c>
      <c r="S131" s="608" t="s">
        <v>407</v>
      </c>
      <c r="T131" s="609">
        <v>679671</v>
      </c>
      <c r="U131" s="609">
        <v>0</v>
      </c>
    </row>
    <row r="132" spans="1:26" ht="12.75">
      <c r="A132" s="610"/>
      <c r="B132" s="611"/>
      <c r="C132" s="611"/>
      <c r="D132" s="611"/>
      <c r="E132" s="612">
        <v>149</v>
      </c>
      <c r="F132" s="613" t="s">
        <v>304</v>
      </c>
      <c r="G132" s="614" t="s">
        <v>408</v>
      </c>
      <c r="H132" s="614">
        <v>0</v>
      </c>
      <c r="I132" s="614">
        <v>0</v>
      </c>
      <c r="J132" s="614">
        <v>0</v>
      </c>
      <c r="K132" s="614">
        <v>0</v>
      </c>
      <c r="L132" s="614">
        <v>0</v>
      </c>
      <c r="M132" s="614">
        <v>0</v>
      </c>
      <c r="N132" s="614">
        <f>N133+N134+N135+N136+N137</f>
        <v>286391</v>
      </c>
      <c r="O132" s="614">
        <v>0</v>
      </c>
      <c r="P132" s="614">
        <v>0</v>
      </c>
      <c r="Q132" s="614">
        <v>0</v>
      </c>
      <c r="R132" s="614">
        <v>0</v>
      </c>
      <c r="S132" s="614">
        <v>0</v>
      </c>
      <c r="T132" s="615">
        <v>286391</v>
      </c>
      <c r="U132" s="615">
        <v>0</v>
      </c>
    </row>
    <row r="133" spans="1:26" ht="12.75">
      <c r="A133" s="619"/>
      <c r="B133" s="620"/>
      <c r="C133" s="620"/>
      <c r="D133" s="620"/>
      <c r="E133" s="620"/>
      <c r="F133" s="634" t="s">
        <v>305</v>
      </c>
      <c r="G133" s="636" t="s">
        <v>409</v>
      </c>
      <c r="H133" s="635"/>
      <c r="I133" s="635"/>
      <c r="J133" s="635"/>
      <c r="K133" s="635"/>
      <c r="L133" s="635"/>
      <c r="M133" s="635"/>
      <c r="N133" s="636">
        <v>144917.6</v>
      </c>
      <c r="O133" s="635"/>
      <c r="P133" s="635"/>
      <c r="Q133" s="635"/>
      <c r="R133" s="635"/>
      <c r="S133" s="635"/>
      <c r="T133" s="624">
        <v>144917.6</v>
      </c>
      <c r="U133" s="615">
        <v>0</v>
      </c>
    </row>
    <row r="134" spans="1:26" ht="12.75">
      <c r="A134" s="619"/>
      <c r="B134" s="620"/>
      <c r="C134" s="620"/>
      <c r="D134" s="620"/>
      <c r="E134" s="620"/>
      <c r="F134" s="634" t="s">
        <v>306</v>
      </c>
      <c r="G134" s="636" t="s">
        <v>410</v>
      </c>
      <c r="H134" s="635"/>
      <c r="I134" s="635"/>
      <c r="J134" s="635"/>
      <c r="K134" s="635"/>
      <c r="L134" s="635"/>
      <c r="M134" s="635"/>
      <c r="N134" s="636">
        <v>97721.4</v>
      </c>
      <c r="O134" s="635"/>
      <c r="P134" s="635"/>
      <c r="Q134" s="635"/>
      <c r="R134" s="635"/>
      <c r="S134" s="635"/>
      <c r="T134" s="624">
        <v>97721.4</v>
      </c>
      <c r="U134" s="615">
        <v>0</v>
      </c>
    </row>
    <row r="135" spans="1:26" ht="12.75">
      <c r="A135" s="619"/>
      <c r="B135" s="620"/>
      <c r="C135" s="620"/>
      <c r="D135" s="620"/>
      <c r="E135" s="620"/>
      <c r="F135" s="634" t="s">
        <v>307</v>
      </c>
      <c r="G135" s="636" t="s">
        <v>411</v>
      </c>
      <c r="H135" s="635"/>
      <c r="I135" s="635"/>
      <c r="J135" s="635"/>
      <c r="K135" s="635"/>
      <c r="L135" s="635"/>
      <c r="M135" s="635"/>
      <c r="N135" s="636">
        <v>17352</v>
      </c>
      <c r="O135" s="635"/>
      <c r="P135" s="635"/>
      <c r="Q135" s="635"/>
      <c r="R135" s="635"/>
      <c r="S135" s="635"/>
      <c r="T135" s="624">
        <v>17352</v>
      </c>
      <c r="U135" s="615">
        <v>0</v>
      </c>
    </row>
    <row r="136" spans="1:26" ht="12.75">
      <c r="A136" s="619"/>
      <c r="B136" s="620"/>
      <c r="C136" s="620"/>
      <c r="D136" s="620"/>
      <c r="E136" s="620"/>
      <c r="F136" s="634" t="s">
        <v>412</v>
      </c>
      <c r="G136" s="636" t="s">
        <v>413</v>
      </c>
      <c r="H136" s="635"/>
      <c r="I136" s="635"/>
      <c r="J136" s="635"/>
      <c r="K136" s="635"/>
      <c r="L136" s="635"/>
      <c r="M136" s="635"/>
      <c r="N136" s="623">
        <v>21385</v>
      </c>
      <c r="O136" s="635"/>
      <c r="P136" s="635"/>
      <c r="Q136" s="635"/>
      <c r="R136" s="635"/>
      <c r="S136" s="635"/>
      <c r="T136" s="624">
        <v>21385</v>
      </c>
      <c r="U136" s="615">
        <v>0</v>
      </c>
    </row>
    <row r="137" spans="1:26" ht="12.75">
      <c r="A137" s="619"/>
      <c r="B137" s="620"/>
      <c r="C137" s="620"/>
      <c r="D137" s="620"/>
      <c r="E137" s="620"/>
      <c r="F137" s="634" t="s">
        <v>309</v>
      </c>
      <c r="G137" s="636" t="s">
        <v>414</v>
      </c>
      <c r="H137" s="635"/>
      <c r="I137" s="635"/>
      <c r="J137" s="635"/>
      <c r="K137" s="635"/>
      <c r="L137" s="635"/>
      <c r="M137" s="635"/>
      <c r="N137" s="672">
        <v>5015</v>
      </c>
      <c r="O137" s="635"/>
      <c r="P137" s="635"/>
      <c r="Q137" s="635"/>
      <c r="R137" s="635"/>
      <c r="S137" s="635"/>
      <c r="T137" s="624">
        <v>5015</v>
      </c>
      <c r="U137" s="615">
        <v>0</v>
      </c>
    </row>
    <row r="138" spans="1:26" ht="12.75">
      <c r="A138" s="610"/>
      <c r="B138" s="611"/>
      <c r="C138" s="611"/>
      <c r="D138" s="611"/>
      <c r="E138" s="612">
        <v>152</v>
      </c>
      <c r="F138" s="613" t="s">
        <v>28</v>
      </c>
      <c r="G138" s="614" t="s">
        <v>415</v>
      </c>
      <c r="H138" s="614">
        <v>0</v>
      </c>
      <c r="I138" s="674">
        <f>I139+I140+I141</f>
        <v>24508</v>
      </c>
      <c r="J138" s="674">
        <f t="shared" ref="J138:M138" si="28">J139+J140+J141+J144</f>
        <v>-10721.900000000001</v>
      </c>
      <c r="K138" s="674">
        <f t="shared" si="28"/>
        <v>6720.1</v>
      </c>
      <c r="L138" s="674">
        <f t="shared" si="28"/>
        <v>9703.1</v>
      </c>
      <c r="M138" s="674">
        <f t="shared" si="28"/>
        <v>12254</v>
      </c>
      <c r="N138" s="674">
        <f t="shared" ref="N138:R138" si="29">N139+N140+N141+N144+N142</f>
        <v>32438.7</v>
      </c>
      <c r="O138" s="674">
        <f t="shared" si="29"/>
        <v>13634</v>
      </c>
      <c r="P138" s="674">
        <f t="shared" si="29"/>
        <v>13634</v>
      </c>
      <c r="Q138" s="674">
        <f t="shared" si="29"/>
        <v>13634</v>
      </c>
      <c r="R138" s="674">
        <f t="shared" si="29"/>
        <v>13634</v>
      </c>
      <c r="S138" s="674">
        <f>S139+S140+S141+S144+S142+S143</f>
        <v>66572</v>
      </c>
      <c r="T138" s="615">
        <v>147050</v>
      </c>
      <c r="U138" s="615">
        <v>0</v>
      </c>
    </row>
    <row r="139" spans="1:26" ht="12.75">
      <c r="A139" s="619"/>
      <c r="B139" s="620"/>
      <c r="C139" s="620"/>
      <c r="D139" s="620"/>
      <c r="E139" s="620"/>
      <c r="F139" s="634" t="s">
        <v>416</v>
      </c>
      <c r="G139" s="636" t="s">
        <v>417</v>
      </c>
      <c r="H139" s="635"/>
      <c r="I139" s="675">
        <v>11964</v>
      </c>
      <c r="J139" s="675">
        <f>3757.1*2</f>
        <v>7514.2</v>
      </c>
      <c r="K139" s="675">
        <v>-5982</v>
      </c>
      <c r="L139" s="675">
        <v>2983.1</v>
      </c>
      <c r="M139" s="675">
        <v>4261.8999999999996</v>
      </c>
      <c r="N139" s="675">
        <v>5982</v>
      </c>
      <c r="O139" s="675">
        <v>5982</v>
      </c>
      <c r="P139" s="675">
        <v>5982</v>
      </c>
      <c r="Q139" s="675">
        <v>5982</v>
      </c>
      <c r="R139" s="675">
        <v>5982</v>
      </c>
      <c r="S139" s="675">
        <v>5984</v>
      </c>
      <c r="T139" s="624">
        <v>71786</v>
      </c>
      <c r="U139" s="615">
        <v>0</v>
      </c>
    </row>
    <row r="140" spans="1:26" ht="12.75">
      <c r="A140" s="619"/>
      <c r="B140" s="620"/>
      <c r="C140" s="620"/>
      <c r="D140" s="620"/>
      <c r="E140" s="620"/>
      <c r="F140" s="634" t="s">
        <v>418</v>
      </c>
      <c r="G140" s="636" t="s">
        <v>419</v>
      </c>
      <c r="H140" s="635"/>
      <c r="I140" s="675">
        <v>12544</v>
      </c>
      <c r="J140" s="675">
        <f>3136*2</f>
        <v>6272</v>
      </c>
      <c r="K140" s="675">
        <v>6720</v>
      </c>
      <c r="L140" s="675">
        <v>6720</v>
      </c>
      <c r="M140" s="675">
        <v>6720</v>
      </c>
      <c r="N140" s="675">
        <v>6272</v>
      </c>
      <c r="O140" s="675">
        <v>6272</v>
      </c>
      <c r="P140" s="675">
        <v>6272</v>
      </c>
      <c r="Q140" s="675">
        <v>6272</v>
      </c>
      <c r="R140" s="675">
        <v>6272</v>
      </c>
      <c r="S140" s="675">
        <v>6272</v>
      </c>
      <c r="T140" s="624">
        <v>75264</v>
      </c>
      <c r="U140" s="615">
        <v>0</v>
      </c>
    </row>
    <row r="141" spans="1:26" ht="12.75">
      <c r="A141" s="610"/>
      <c r="B141" s="611"/>
      <c r="C141" s="611"/>
      <c r="D141" s="611"/>
      <c r="E141" s="612"/>
      <c r="F141" s="613" t="s">
        <v>420</v>
      </c>
      <c r="G141" s="674">
        <f>N141+O141+P141+Q141+R141+S141</f>
        <v>12420</v>
      </c>
      <c r="H141" s="614"/>
      <c r="I141" s="674"/>
      <c r="J141" s="674"/>
      <c r="K141" s="674"/>
      <c r="L141" s="674"/>
      <c r="M141" s="674"/>
      <c r="N141" s="674">
        <v>1380</v>
      </c>
      <c r="O141" s="674">
        <v>1380</v>
      </c>
      <c r="P141" s="674">
        <v>1380</v>
      </c>
      <c r="Q141" s="674">
        <v>1380</v>
      </c>
      <c r="R141" s="674">
        <f>1380</f>
        <v>1380</v>
      </c>
      <c r="S141" s="674">
        <f>1380*4</f>
        <v>5520</v>
      </c>
      <c r="T141" s="615"/>
      <c r="U141" s="615"/>
    </row>
    <row r="142" spans="1:26" ht="12.75">
      <c r="A142" s="610"/>
      <c r="B142" s="611"/>
      <c r="C142" s="611"/>
      <c r="D142" s="611"/>
      <c r="E142" s="612"/>
      <c r="F142" s="613"/>
      <c r="G142" s="614"/>
      <c r="H142" s="614"/>
      <c r="I142" s="674"/>
      <c r="J142" s="674"/>
      <c r="K142" s="674"/>
      <c r="L142" s="674"/>
      <c r="M142" s="674"/>
      <c r="N142" s="674"/>
      <c r="O142" s="674"/>
      <c r="P142" s="674"/>
      <c r="Q142" s="674"/>
      <c r="R142" s="674"/>
      <c r="S142" s="674"/>
      <c r="T142" s="615"/>
      <c r="U142" s="615"/>
    </row>
    <row r="143" spans="1:26" ht="12.75">
      <c r="A143" s="610"/>
      <c r="B143" s="611"/>
      <c r="C143" s="611"/>
      <c r="D143" s="611"/>
      <c r="E143" s="612"/>
      <c r="F143" s="613" t="s">
        <v>421</v>
      </c>
      <c r="G143" s="614"/>
      <c r="H143" s="614"/>
      <c r="I143" s="674"/>
      <c r="J143" s="674"/>
      <c r="K143" s="674"/>
      <c r="L143" s="674"/>
      <c r="M143" s="674"/>
      <c r="N143" s="674"/>
      <c r="O143" s="674"/>
      <c r="P143" s="674"/>
      <c r="Q143" s="674"/>
      <c r="R143" s="674"/>
      <c r="S143" s="674">
        <v>36540</v>
      </c>
      <c r="T143" s="615"/>
      <c r="U143" s="615"/>
    </row>
    <row r="144" spans="1:26" ht="12.75">
      <c r="A144" s="610"/>
      <c r="B144" s="611"/>
      <c r="C144" s="611"/>
      <c r="D144" s="611"/>
      <c r="E144" s="612"/>
      <c r="F144" s="613" t="s">
        <v>27</v>
      </c>
      <c r="G144" s="614"/>
      <c r="H144" s="614"/>
      <c r="I144" s="674"/>
      <c r="J144" s="674">
        <f>-10721.9-J140-J139</f>
        <v>-24508.100000000002</v>
      </c>
      <c r="K144" s="674">
        <f>6720.1-K140-K139</f>
        <v>5982.1</v>
      </c>
      <c r="L144" s="674"/>
      <c r="M144" s="674">
        <f>12254-M140-M139</f>
        <v>1272.1000000000004</v>
      </c>
      <c r="N144" s="676">
        <v>18804.7</v>
      </c>
      <c r="O144" s="674"/>
      <c r="P144" s="674"/>
      <c r="Q144" s="674"/>
      <c r="R144" s="674"/>
      <c r="S144" s="676">
        <v>12256</v>
      </c>
      <c r="T144" s="615"/>
      <c r="U144" s="615"/>
    </row>
    <row r="145" spans="1:21" ht="12.75">
      <c r="A145" s="610"/>
      <c r="B145" s="611"/>
      <c r="C145" s="611"/>
      <c r="D145" s="611"/>
      <c r="E145" s="612">
        <v>159</v>
      </c>
      <c r="F145" s="613" t="s">
        <v>29</v>
      </c>
      <c r="G145" s="614" t="s">
        <v>422</v>
      </c>
      <c r="H145" s="614">
        <v>0</v>
      </c>
      <c r="I145" s="674">
        <f t="shared" ref="I145:S145" si="30">I146+I147+I148+I149</f>
        <v>11168</v>
      </c>
      <c r="J145" s="674">
        <f t="shared" si="30"/>
        <v>11168</v>
      </c>
      <c r="K145" s="674">
        <f t="shared" si="30"/>
        <v>10708</v>
      </c>
      <c r="L145" s="674">
        <f t="shared" si="30"/>
        <v>20443</v>
      </c>
      <c r="M145" s="674">
        <f t="shared" si="30"/>
        <v>20443</v>
      </c>
      <c r="N145" s="674">
        <f t="shared" si="30"/>
        <v>20443</v>
      </c>
      <c r="O145" s="674">
        <f t="shared" si="30"/>
        <v>20443</v>
      </c>
      <c r="P145" s="674">
        <f t="shared" si="30"/>
        <v>20443</v>
      </c>
      <c r="Q145" s="674">
        <f t="shared" si="30"/>
        <v>20443</v>
      </c>
      <c r="R145" s="674">
        <f t="shared" si="30"/>
        <v>59383</v>
      </c>
      <c r="S145" s="674">
        <f t="shared" si="30"/>
        <v>31145</v>
      </c>
      <c r="T145" s="615">
        <v>246230</v>
      </c>
      <c r="U145" s="615">
        <v>0</v>
      </c>
    </row>
    <row r="146" spans="1:21" ht="12.75">
      <c r="A146" s="619"/>
      <c r="B146" s="620"/>
      <c r="C146" s="620"/>
      <c r="D146" s="620"/>
      <c r="E146" s="620"/>
      <c r="F146" s="634" t="s">
        <v>313</v>
      </c>
      <c r="G146" s="636" t="s">
        <v>423</v>
      </c>
      <c r="H146" s="635"/>
      <c r="I146" s="675">
        <v>9300</v>
      </c>
      <c r="J146" s="675">
        <v>9300</v>
      </c>
      <c r="K146" s="675">
        <v>8840</v>
      </c>
      <c r="L146" s="675">
        <v>8840</v>
      </c>
      <c r="M146" s="675">
        <v>8840</v>
      </c>
      <c r="N146" s="675">
        <v>8840</v>
      </c>
      <c r="O146" s="675">
        <v>8840</v>
      </c>
      <c r="P146" s="675">
        <v>8840</v>
      </c>
      <c r="Q146" s="675">
        <v>8840</v>
      </c>
      <c r="R146" s="675">
        <v>8840</v>
      </c>
      <c r="S146" s="675">
        <v>17680</v>
      </c>
      <c r="T146" s="624">
        <v>107000</v>
      </c>
      <c r="U146" s="615">
        <v>0</v>
      </c>
    </row>
    <row r="147" spans="1:21" ht="12.75">
      <c r="A147" s="619"/>
      <c r="B147" s="620"/>
      <c r="C147" s="620"/>
      <c r="D147" s="620"/>
      <c r="E147" s="620"/>
      <c r="F147" s="634" t="s">
        <v>314</v>
      </c>
      <c r="G147" s="636" t="s">
        <v>424</v>
      </c>
      <c r="H147" s="635"/>
      <c r="I147" s="675">
        <v>1718</v>
      </c>
      <c r="J147" s="675">
        <v>1718</v>
      </c>
      <c r="K147" s="675">
        <v>1718</v>
      </c>
      <c r="L147" s="675">
        <v>1718</v>
      </c>
      <c r="M147" s="675">
        <v>1718</v>
      </c>
      <c r="N147" s="675">
        <v>1718</v>
      </c>
      <c r="O147" s="675">
        <v>1718</v>
      </c>
      <c r="P147" s="675">
        <v>1718</v>
      </c>
      <c r="Q147" s="675">
        <v>1718</v>
      </c>
      <c r="R147" s="675">
        <v>1718</v>
      </c>
      <c r="S147" s="675">
        <v>3430</v>
      </c>
      <c r="T147" s="624">
        <v>20610</v>
      </c>
      <c r="U147" s="615">
        <v>0</v>
      </c>
    </row>
    <row r="148" spans="1:21" ht="12.75">
      <c r="A148" s="619"/>
      <c r="B148" s="620"/>
      <c r="C148" s="620"/>
      <c r="D148" s="620"/>
      <c r="E148" s="620"/>
      <c r="F148" s="634" t="s">
        <v>316</v>
      </c>
      <c r="G148" s="636" t="s">
        <v>382</v>
      </c>
      <c r="H148" s="635"/>
      <c r="I148" s="675">
        <v>150</v>
      </c>
      <c r="J148" s="675">
        <v>150</v>
      </c>
      <c r="K148" s="675">
        <v>150</v>
      </c>
      <c r="L148" s="675">
        <v>150</v>
      </c>
      <c r="M148" s="675">
        <v>150</v>
      </c>
      <c r="N148" s="675">
        <v>150</v>
      </c>
      <c r="O148" s="675">
        <v>150</v>
      </c>
      <c r="P148" s="675">
        <v>150</v>
      </c>
      <c r="Q148" s="675">
        <v>150</v>
      </c>
      <c r="R148" s="675">
        <v>150</v>
      </c>
      <c r="S148" s="675">
        <v>300</v>
      </c>
      <c r="T148" s="624">
        <v>1800</v>
      </c>
      <c r="U148" s="615">
        <v>0</v>
      </c>
    </row>
    <row r="149" spans="1:21" ht="12.75">
      <c r="A149" s="619"/>
      <c r="B149" s="620"/>
      <c r="C149" s="620"/>
      <c r="D149" s="620"/>
      <c r="E149" s="620"/>
      <c r="F149" s="640" t="s">
        <v>317</v>
      </c>
      <c r="G149" s="636" t="s">
        <v>425</v>
      </c>
      <c r="H149" s="635"/>
      <c r="I149" s="677"/>
      <c r="J149" s="677"/>
      <c r="K149" s="675">
        <v>0</v>
      </c>
      <c r="L149" s="675">
        <v>9735</v>
      </c>
      <c r="M149" s="675">
        <v>9735</v>
      </c>
      <c r="N149" s="675">
        <v>9735</v>
      </c>
      <c r="O149" s="675">
        <v>9735</v>
      </c>
      <c r="P149" s="675">
        <v>9735</v>
      </c>
      <c r="Q149" s="675">
        <v>9735</v>
      </c>
      <c r="R149" s="675">
        <v>48675</v>
      </c>
      <c r="S149" s="675">
        <v>9735</v>
      </c>
      <c r="T149" s="624">
        <v>116820</v>
      </c>
      <c r="U149" s="615">
        <v>0</v>
      </c>
    </row>
    <row r="150" spans="1:21" ht="12.75">
      <c r="A150" s="604"/>
      <c r="B150" s="605"/>
      <c r="C150" s="605"/>
      <c r="D150" s="606">
        <v>111</v>
      </c>
      <c r="E150" s="605"/>
      <c r="F150" s="607" t="s">
        <v>30</v>
      </c>
      <c r="G150" s="608" t="s">
        <v>426</v>
      </c>
      <c r="H150" s="608">
        <v>0</v>
      </c>
      <c r="I150" s="608">
        <v>0</v>
      </c>
      <c r="J150" s="608">
        <v>0</v>
      </c>
      <c r="K150" s="608">
        <v>0</v>
      </c>
      <c r="L150" s="608">
        <v>0</v>
      </c>
      <c r="M150" s="608">
        <v>0</v>
      </c>
      <c r="N150" s="608">
        <v>0</v>
      </c>
      <c r="O150" s="608" t="s">
        <v>427</v>
      </c>
      <c r="P150" s="608">
        <v>0</v>
      </c>
      <c r="Q150" s="608" t="s">
        <v>428</v>
      </c>
      <c r="R150" s="608">
        <v>0</v>
      </c>
      <c r="S150" s="608">
        <v>0</v>
      </c>
      <c r="T150" s="609">
        <v>775000</v>
      </c>
      <c r="U150" s="609">
        <v>0</v>
      </c>
    </row>
    <row r="151" spans="1:21" ht="12.75">
      <c r="A151" s="610"/>
      <c r="B151" s="611"/>
      <c r="C151" s="611"/>
      <c r="D151" s="611"/>
      <c r="E151" s="612">
        <v>413</v>
      </c>
      <c r="F151" s="641" t="s">
        <v>32</v>
      </c>
      <c r="G151" s="614" t="s">
        <v>427</v>
      </c>
      <c r="H151" s="614">
        <v>0</v>
      </c>
      <c r="I151" s="614">
        <v>0</v>
      </c>
      <c r="J151" s="614">
        <v>0</v>
      </c>
      <c r="K151" s="614">
        <v>0</v>
      </c>
      <c r="L151" s="614">
        <v>0</v>
      </c>
      <c r="M151" s="614">
        <v>0</v>
      </c>
      <c r="N151" s="614">
        <v>0</v>
      </c>
      <c r="O151" s="614" t="s">
        <v>427</v>
      </c>
      <c r="P151" s="614">
        <v>0</v>
      </c>
      <c r="Q151" s="614">
        <v>0</v>
      </c>
      <c r="R151" s="614">
        <v>0</v>
      </c>
      <c r="S151" s="614">
        <v>0</v>
      </c>
      <c r="T151" s="615">
        <v>420000</v>
      </c>
      <c r="U151" s="615">
        <v>0</v>
      </c>
    </row>
    <row r="152" spans="1:21" ht="12.75">
      <c r="A152" s="610"/>
      <c r="B152" s="611"/>
      <c r="C152" s="611"/>
      <c r="D152" s="611"/>
      <c r="E152" s="612">
        <v>414</v>
      </c>
      <c r="F152" s="613" t="s">
        <v>24</v>
      </c>
      <c r="G152" s="614" t="s">
        <v>428</v>
      </c>
      <c r="H152" s="614">
        <v>0</v>
      </c>
      <c r="I152" s="614">
        <v>0</v>
      </c>
      <c r="J152" s="614">
        <v>0</v>
      </c>
      <c r="K152" s="614">
        <v>0</v>
      </c>
      <c r="L152" s="614">
        <v>0</v>
      </c>
      <c r="M152" s="614">
        <v>0</v>
      </c>
      <c r="N152" s="614">
        <v>0</v>
      </c>
      <c r="O152" s="614">
        <v>0</v>
      </c>
      <c r="P152" s="614">
        <v>0</v>
      </c>
      <c r="Q152" s="614" t="s">
        <v>428</v>
      </c>
      <c r="R152" s="614">
        <v>0</v>
      </c>
      <c r="S152" s="614">
        <v>0</v>
      </c>
      <c r="T152" s="615">
        <v>355000</v>
      </c>
      <c r="U152" s="615">
        <v>0</v>
      </c>
    </row>
    <row r="153" spans="1:21" ht="12.75">
      <c r="A153" s="619"/>
      <c r="B153" s="620"/>
      <c r="C153" s="620"/>
      <c r="D153" s="620"/>
      <c r="E153" s="620"/>
      <c r="F153" s="634" t="s">
        <v>318</v>
      </c>
      <c r="G153" s="636" t="s">
        <v>429</v>
      </c>
      <c r="H153" s="635"/>
      <c r="I153" s="635"/>
      <c r="J153" s="635"/>
      <c r="K153" s="635"/>
      <c r="L153" s="635"/>
      <c r="M153" s="635"/>
      <c r="N153" s="635"/>
      <c r="O153" s="635"/>
      <c r="P153" s="635"/>
      <c r="Q153" s="636" t="s">
        <v>429</v>
      </c>
      <c r="R153" s="635"/>
      <c r="S153" s="635"/>
      <c r="T153" s="624">
        <v>247000</v>
      </c>
      <c r="U153" s="615">
        <v>0</v>
      </c>
    </row>
    <row r="154" spans="1:21" ht="12.75">
      <c r="A154" s="619"/>
      <c r="B154" s="620"/>
      <c r="C154" s="620"/>
      <c r="D154" s="620"/>
      <c r="E154" s="620"/>
      <c r="F154" s="634" t="s">
        <v>319</v>
      </c>
      <c r="G154" s="636" t="s">
        <v>430</v>
      </c>
      <c r="H154" s="635"/>
      <c r="I154" s="635"/>
      <c r="J154" s="635"/>
      <c r="K154" s="635"/>
      <c r="L154" s="635"/>
      <c r="M154" s="635"/>
      <c r="N154" s="635"/>
      <c r="O154" s="635"/>
      <c r="P154" s="635"/>
      <c r="Q154" s="636" t="s">
        <v>430</v>
      </c>
      <c r="R154" s="635"/>
      <c r="S154" s="635"/>
      <c r="T154" s="624">
        <v>28500</v>
      </c>
      <c r="U154" s="615">
        <v>0</v>
      </c>
    </row>
    <row r="155" spans="1:21" ht="12.75">
      <c r="A155" s="619"/>
      <c r="B155" s="620"/>
      <c r="C155" s="620"/>
      <c r="D155" s="620"/>
      <c r="E155" s="620"/>
      <c r="F155" s="634" t="s">
        <v>320</v>
      </c>
      <c r="G155" s="636" t="s">
        <v>431</v>
      </c>
      <c r="H155" s="635"/>
      <c r="I155" s="635"/>
      <c r="J155" s="635"/>
      <c r="K155" s="635"/>
      <c r="L155" s="635"/>
      <c r="M155" s="635"/>
      <c r="N155" s="635"/>
      <c r="O155" s="635"/>
      <c r="P155" s="635"/>
      <c r="Q155" s="636" t="s">
        <v>431</v>
      </c>
      <c r="R155" s="635"/>
      <c r="S155" s="635"/>
      <c r="T155" s="624">
        <v>75000</v>
      </c>
      <c r="U155" s="615">
        <v>0</v>
      </c>
    </row>
    <row r="156" spans="1:21" ht="12.75">
      <c r="A156" s="619"/>
      <c r="B156" s="620"/>
      <c r="C156" s="620"/>
      <c r="D156" s="620"/>
      <c r="E156" s="620"/>
      <c r="F156" s="634" t="s">
        <v>321</v>
      </c>
      <c r="G156" s="636" t="s">
        <v>432</v>
      </c>
      <c r="H156" s="635"/>
      <c r="I156" s="635"/>
      <c r="J156" s="635"/>
      <c r="K156" s="635"/>
      <c r="L156" s="635"/>
      <c r="M156" s="635"/>
      <c r="N156" s="635"/>
      <c r="O156" s="635"/>
      <c r="P156" s="635"/>
      <c r="Q156" s="636" t="s">
        <v>432</v>
      </c>
      <c r="R156" s="635"/>
      <c r="S156" s="635"/>
      <c r="T156" s="624">
        <v>4500</v>
      </c>
      <c r="U156" s="615">
        <v>0</v>
      </c>
    </row>
    <row r="157" spans="1:21" ht="12.75">
      <c r="A157" s="604"/>
      <c r="B157" s="605"/>
      <c r="C157" s="605"/>
      <c r="D157" s="606">
        <v>123</v>
      </c>
      <c r="E157" s="605"/>
      <c r="F157" s="607" t="s">
        <v>36</v>
      </c>
      <c r="G157" s="608" t="s">
        <v>322</v>
      </c>
      <c r="H157" s="608" t="s">
        <v>433</v>
      </c>
      <c r="I157" s="608" t="s">
        <v>434</v>
      </c>
      <c r="J157" s="608" t="s">
        <v>435</v>
      </c>
      <c r="K157" s="608" t="s">
        <v>436</v>
      </c>
      <c r="L157" s="608" t="s">
        <v>437</v>
      </c>
      <c r="M157" s="608" t="s">
        <v>438</v>
      </c>
      <c r="N157" s="608" t="s">
        <v>439</v>
      </c>
      <c r="O157" s="608" t="s">
        <v>440</v>
      </c>
      <c r="P157" s="608" t="s">
        <v>441</v>
      </c>
      <c r="Q157" s="608" t="s">
        <v>442</v>
      </c>
      <c r="R157" s="608" t="s">
        <v>443</v>
      </c>
      <c r="S157" s="608" t="s">
        <v>444</v>
      </c>
      <c r="T157" s="642" t="s">
        <v>322</v>
      </c>
      <c r="U157" s="609">
        <v>0</v>
      </c>
    </row>
    <row r="158" spans="1:21" ht="12.75">
      <c r="A158" s="610"/>
      <c r="B158" s="611"/>
      <c r="C158" s="611"/>
      <c r="D158" s="611"/>
      <c r="E158" s="612">
        <v>111</v>
      </c>
      <c r="F158" s="617" t="s">
        <v>37</v>
      </c>
      <c r="G158" s="614" t="s">
        <v>445</v>
      </c>
      <c r="H158" s="614" t="s">
        <v>446</v>
      </c>
      <c r="I158" s="614" t="s">
        <v>446</v>
      </c>
      <c r="J158" s="614" t="s">
        <v>446</v>
      </c>
      <c r="K158" s="614" t="s">
        <v>446</v>
      </c>
      <c r="L158" s="614" t="s">
        <v>446</v>
      </c>
      <c r="M158" s="614" t="s">
        <v>446</v>
      </c>
      <c r="N158" s="614" t="s">
        <v>446</v>
      </c>
      <c r="O158" s="614" t="s">
        <v>446</v>
      </c>
      <c r="P158" s="614" t="s">
        <v>446</v>
      </c>
      <c r="Q158" s="614" t="s">
        <v>446</v>
      </c>
      <c r="R158" s="614" t="s">
        <v>446</v>
      </c>
      <c r="S158" s="614" t="s">
        <v>446</v>
      </c>
      <c r="T158" s="615">
        <v>445236</v>
      </c>
      <c r="U158" s="615">
        <v>0</v>
      </c>
    </row>
    <row r="159" spans="1:21" ht="12.75">
      <c r="A159" s="610"/>
      <c r="B159" s="611"/>
      <c r="C159" s="611"/>
      <c r="D159" s="611"/>
      <c r="E159" s="612">
        <v>112</v>
      </c>
      <c r="F159" s="617" t="s">
        <v>38</v>
      </c>
      <c r="G159" s="614" t="s">
        <v>447</v>
      </c>
      <c r="H159" s="616"/>
      <c r="I159" s="614" t="s">
        <v>448</v>
      </c>
      <c r="J159" s="616"/>
      <c r="K159" s="616"/>
      <c r="L159" s="616"/>
      <c r="M159" s="616"/>
      <c r="N159" s="616"/>
      <c r="O159" s="616"/>
      <c r="P159" s="616"/>
      <c r="Q159" s="616"/>
      <c r="R159" s="616"/>
      <c r="S159" s="616"/>
      <c r="T159" s="615">
        <v>74207</v>
      </c>
      <c r="U159" s="615">
        <v>0</v>
      </c>
    </row>
    <row r="160" spans="1:21" ht="12.75">
      <c r="A160" s="610"/>
      <c r="B160" s="611"/>
      <c r="C160" s="611"/>
      <c r="D160" s="611"/>
      <c r="E160" s="612">
        <v>113</v>
      </c>
      <c r="F160" s="617" t="s">
        <v>39</v>
      </c>
      <c r="G160" s="614" t="s">
        <v>447</v>
      </c>
      <c r="H160" s="614" t="s">
        <v>449</v>
      </c>
      <c r="I160" s="614" t="s">
        <v>450</v>
      </c>
      <c r="J160" s="614" t="s">
        <v>451</v>
      </c>
      <c r="K160" s="614" t="s">
        <v>452</v>
      </c>
      <c r="L160" s="614" t="s">
        <v>453</v>
      </c>
      <c r="M160" s="614" t="s">
        <v>454</v>
      </c>
      <c r="N160" s="614" t="s">
        <v>455</v>
      </c>
      <c r="O160" s="614" t="s">
        <v>456</v>
      </c>
      <c r="P160" s="614">
        <v>646</v>
      </c>
      <c r="Q160" s="614">
        <v>507</v>
      </c>
      <c r="R160" s="614">
        <v>0</v>
      </c>
      <c r="S160" s="614" t="s">
        <v>457</v>
      </c>
      <c r="T160" s="615">
        <v>74207</v>
      </c>
      <c r="U160" s="615">
        <v>0</v>
      </c>
    </row>
    <row r="161" spans="1:21" ht="12.75">
      <c r="A161" s="610"/>
      <c r="B161" s="611"/>
      <c r="C161" s="611"/>
      <c r="D161" s="611"/>
      <c r="E161" s="612">
        <v>116</v>
      </c>
      <c r="F161" s="617" t="s">
        <v>40</v>
      </c>
      <c r="G161" s="614" t="s">
        <v>458</v>
      </c>
      <c r="H161" s="616"/>
      <c r="I161" s="614" t="s">
        <v>459</v>
      </c>
      <c r="J161" s="614">
        <v>648</v>
      </c>
      <c r="K161" s="614">
        <v>648</v>
      </c>
      <c r="L161" s="614">
        <v>648</v>
      </c>
      <c r="M161" s="614">
        <v>649</v>
      </c>
      <c r="N161" s="614">
        <v>649</v>
      </c>
      <c r="O161" s="614">
        <v>649</v>
      </c>
      <c r="P161" s="614">
        <v>649</v>
      </c>
      <c r="Q161" s="614">
        <v>649</v>
      </c>
      <c r="R161" s="614">
        <v>649</v>
      </c>
      <c r="S161" s="614">
        <v>649</v>
      </c>
      <c r="T161" s="615">
        <v>7783</v>
      </c>
      <c r="U161" s="615">
        <v>0</v>
      </c>
    </row>
    <row r="162" spans="1:21" ht="12.75">
      <c r="A162" s="610"/>
      <c r="B162" s="611"/>
      <c r="C162" s="611"/>
      <c r="D162" s="611"/>
      <c r="E162" s="612">
        <v>121</v>
      </c>
      <c r="F162" s="617" t="s">
        <v>41</v>
      </c>
      <c r="G162" s="614" t="s">
        <v>460</v>
      </c>
      <c r="H162" s="614" t="s">
        <v>461</v>
      </c>
      <c r="I162" s="614" t="s">
        <v>461</v>
      </c>
      <c r="J162" s="614" t="s">
        <v>461</v>
      </c>
      <c r="K162" s="614" t="s">
        <v>461</v>
      </c>
      <c r="L162" s="614" t="s">
        <v>461</v>
      </c>
      <c r="M162" s="614" t="s">
        <v>462</v>
      </c>
      <c r="N162" s="614" t="s">
        <v>462</v>
      </c>
      <c r="O162" s="614" t="s">
        <v>462</v>
      </c>
      <c r="P162" s="614" t="s">
        <v>462</v>
      </c>
      <c r="Q162" s="614" t="s">
        <v>462</v>
      </c>
      <c r="R162" s="614" t="s">
        <v>462</v>
      </c>
      <c r="S162" s="614" t="s">
        <v>462</v>
      </c>
      <c r="T162" s="615">
        <v>27427</v>
      </c>
      <c r="U162" s="615">
        <v>0</v>
      </c>
    </row>
    <row r="163" spans="1:21" ht="12.75">
      <c r="A163" s="610"/>
      <c r="B163" s="611"/>
      <c r="C163" s="611"/>
      <c r="D163" s="611"/>
      <c r="E163" s="612">
        <v>122</v>
      </c>
      <c r="F163" s="617" t="s">
        <v>323</v>
      </c>
      <c r="G163" s="614" t="s">
        <v>463</v>
      </c>
      <c r="H163" s="614" t="s">
        <v>464</v>
      </c>
      <c r="I163" s="614">
        <v>1364</v>
      </c>
      <c r="J163" s="614">
        <v>1364</v>
      </c>
      <c r="K163" s="614">
        <v>1364</v>
      </c>
      <c r="L163" s="614" t="s">
        <v>464</v>
      </c>
      <c r="M163" s="614" t="s">
        <v>464</v>
      </c>
      <c r="N163" s="614" t="s">
        <v>465</v>
      </c>
      <c r="O163" s="614" t="s">
        <v>465</v>
      </c>
      <c r="P163" s="614" t="s">
        <v>465</v>
      </c>
      <c r="Q163" s="614" t="s">
        <v>465</v>
      </c>
      <c r="R163" s="614" t="s">
        <v>465</v>
      </c>
      <c r="S163" s="614" t="s">
        <v>465</v>
      </c>
      <c r="T163" s="615">
        <v>16362</v>
      </c>
      <c r="U163" s="615">
        <v>0</v>
      </c>
    </row>
    <row r="164" spans="1:21" ht="12.75">
      <c r="A164" s="610"/>
      <c r="B164" s="611"/>
      <c r="C164" s="611"/>
      <c r="D164" s="611"/>
      <c r="E164" s="612">
        <v>124</v>
      </c>
      <c r="F164" s="617" t="s">
        <v>44</v>
      </c>
      <c r="G164" s="614" t="s">
        <v>466</v>
      </c>
      <c r="H164" s="614" t="s">
        <v>467</v>
      </c>
      <c r="I164" s="614" t="s">
        <v>467</v>
      </c>
      <c r="J164" s="614" t="s">
        <v>467</v>
      </c>
      <c r="K164" s="614" t="s">
        <v>467</v>
      </c>
      <c r="L164" s="614" t="s">
        <v>467</v>
      </c>
      <c r="M164" s="614" t="s">
        <v>467</v>
      </c>
      <c r="N164" s="614" t="s">
        <v>467</v>
      </c>
      <c r="O164" s="614" t="s">
        <v>468</v>
      </c>
      <c r="P164" s="614" t="s">
        <v>468</v>
      </c>
      <c r="Q164" s="614" t="s">
        <v>468</v>
      </c>
      <c r="R164" s="614" t="s">
        <v>468</v>
      </c>
      <c r="S164" s="614" t="s">
        <v>468</v>
      </c>
      <c r="T164" s="615">
        <v>15583</v>
      </c>
      <c r="U164" s="615">
        <v>0</v>
      </c>
    </row>
    <row r="165" spans="1:21" ht="12.75">
      <c r="A165" s="610"/>
      <c r="B165" s="611"/>
      <c r="C165" s="611"/>
      <c r="D165" s="611"/>
      <c r="E165" s="612">
        <v>149</v>
      </c>
      <c r="F165" s="617" t="s">
        <v>304</v>
      </c>
      <c r="G165" s="614" t="s">
        <v>469</v>
      </c>
      <c r="H165" s="614">
        <v>0</v>
      </c>
      <c r="I165" s="614">
        <v>0</v>
      </c>
      <c r="J165" s="614">
        <v>0</v>
      </c>
      <c r="K165" s="614" t="s">
        <v>470</v>
      </c>
      <c r="L165" s="614" t="s">
        <v>471</v>
      </c>
      <c r="M165" s="614">
        <v>0</v>
      </c>
      <c r="N165" s="614">
        <v>0</v>
      </c>
      <c r="O165" s="614">
        <v>0</v>
      </c>
      <c r="P165" s="614">
        <v>0</v>
      </c>
      <c r="Q165" s="614">
        <v>0</v>
      </c>
      <c r="R165" s="614">
        <v>0</v>
      </c>
      <c r="S165" s="614">
        <v>0</v>
      </c>
      <c r="T165" s="615">
        <v>8428</v>
      </c>
      <c r="U165" s="615">
        <v>0</v>
      </c>
    </row>
    <row r="166" spans="1:21" ht="12.75">
      <c r="A166" s="619"/>
      <c r="B166" s="620"/>
      <c r="C166" s="620"/>
      <c r="D166" s="620"/>
      <c r="E166" s="620"/>
      <c r="F166" s="643" t="s">
        <v>324</v>
      </c>
      <c r="G166" s="636" t="s">
        <v>471</v>
      </c>
      <c r="H166" s="635"/>
      <c r="I166" s="635"/>
      <c r="J166" s="635"/>
      <c r="K166" s="635"/>
      <c r="L166" s="636" t="s">
        <v>471</v>
      </c>
      <c r="M166" s="635"/>
      <c r="N166" s="635"/>
      <c r="O166" s="635"/>
      <c r="P166" s="635"/>
      <c r="Q166" s="635"/>
      <c r="R166" s="635"/>
      <c r="S166" s="635"/>
      <c r="T166" s="624">
        <v>7346</v>
      </c>
      <c r="U166" s="615">
        <v>0</v>
      </c>
    </row>
    <row r="167" spans="1:21" ht="12.75">
      <c r="A167" s="619"/>
      <c r="B167" s="620"/>
      <c r="C167" s="620"/>
      <c r="D167" s="620"/>
      <c r="E167" s="620"/>
      <c r="F167" s="643" t="s">
        <v>325</v>
      </c>
      <c r="G167" s="636">
        <v>100</v>
      </c>
      <c r="H167" s="635"/>
      <c r="I167" s="635"/>
      <c r="J167" s="635"/>
      <c r="K167" s="636">
        <v>100</v>
      </c>
      <c r="L167" s="635"/>
      <c r="M167" s="635"/>
      <c r="N167" s="635"/>
      <c r="O167" s="635"/>
      <c r="P167" s="635"/>
      <c r="Q167" s="635"/>
      <c r="R167" s="635"/>
      <c r="S167" s="635"/>
      <c r="T167" s="624">
        <v>100</v>
      </c>
      <c r="U167" s="615">
        <v>0</v>
      </c>
    </row>
    <row r="168" spans="1:21" ht="12.75">
      <c r="A168" s="619"/>
      <c r="B168" s="620"/>
      <c r="C168" s="620"/>
      <c r="D168" s="620"/>
      <c r="E168" s="620"/>
      <c r="F168" s="643" t="s">
        <v>326</v>
      </c>
      <c r="G168" s="636">
        <v>88</v>
      </c>
      <c r="H168" s="635"/>
      <c r="I168" s="635"/>
      <c r="J168" s="635"/>
      <c r="K168" s="636">
        <v>88</v>
      </c>
      <c r="L168" s="635"/>
      <c r="M168" s="635"/>
      <c r="N168" s="635"/>
      <c r="O168" s="635"/>
      <c r="P168" s="635"/>
      <c r="Q168" s="635"/>
      <c r="R168" s="635"/>
      <c r="S168" s="635"/>
      <c r="T168" s="624">
        <v>88</v>
      </c>
      <c r="U168" s="615">
        <v>0</v>
      </c>
    </row>
    <row r="169" spans="1:21" ht="12.75">
      <c r="A169" s="619"/>
      <c r="B169" s="620"/>
      <c r="C169" s="620"/>
      <c r="D169" s="620"/>
      <c r="E169" s="620"/>
      <c r="F169" s="643" t="s">
        <v>327</v>
      </c>
      <c r="G169" s="636">
        <v>10</v>
      </c>
      <c r="H169" s="635"/>
      <c r="I169" s="635"/>
      <c r="J169" s="635"/>
      <c r="K169" s="636">
        <v>10</v>
      </c>
      <c r="L169" s="635"/>
      <c r="M169" s="635"/>
      <c r="N169" s="635"/>
      <c r="O169" s="635"/>
      <c r="P169" s="635"/>
      <c r="Q169" s="635"/>
      <c r="R169" s="635"/>
      <c r="S169" s="635"/>
      <c r="T169" s="624">
        <v>10</v>
      </c>
      <c r="U169" s="615">
        <v>0</v>
      </c>
    </row>
    <row r="170" spans="1:21" ht="12.75">
      <c r="A170" s="619"/>
      <c r="B170" s="620"/>
      <c r="C170" s="620"/>
      <c r="D170" s="620"/>
      <c r="E170" s="620"/>
      <c r="F170" s="643" t="s">
        <v>328</v>
      </c>
      <c r="G170" s="636">
        <v>301</v>
      </c>
      <c r="H170" s="635"/>
      <c r="I170" s="635"/>
      <c r="J170" s="635"/>
      <c r="K170" s="636">
        <v>301</v>
      </c>
      <c r="L170" s="635"/>
      <c r="M170" s="635"/>
      <c r="N170" s="635"/>
      <c r="O170" s="635"/>
      <c r="P170" s="635"/>
      <c r="Q170" s="635"/>
      <c r="R170" s="635"/>
      <c r="S170" s="635"/>
      <c r="T170" s="624">
        <v>301</v>
      </c>
      <c r="U170" s="615">
        <v>0</v>
      </c>
    </row>
    <row r="171" spans="1:21" ht="12.75">
      <c r="A171" s="619"/>
      <c r="B171" s="620"/>
      <c r="C171" s="620"/>
      <c r="D171" s="620"/>
      <c r="E171" s="620"/>
      <c r="F171" s="643" t="s">
        <v>329</v>
      </c>
      <c r="G171" s="636">
        <v>36</v>
      </c>
      <c r="H171" s="635"/>
      <c r="I171" s="635"/>
      <c r="J171" s="635"/>
      <c r="K171" s="636">
        <v>36</v>
      </c>
      <c r="L171" s="635"/>
      <c r="M171" s="635"/>
      <c r="N171" s="635"/>
      <c r="O171" s="635"/>
      <c r="P171" s="635"/>
      <c r="Q171" s="635"/>
      <c r="R171" s="635"/>
      <c r="S171" s="635"/>
      <c r="T171" s="624">
        <v>36</v>
      </c>
      <c r="U171" s="615">
        <v>0</v>
      </c>
    </row>
    <row r="172" spans="1:21" ht="12.75">
      <c r="A172" s="619"/>
      <c r="B172" s="620"/>
      <c r="C172" s="620"/>
      <c r="D172" s="620"/>
      <c r="E172" s="620"/>
      <c r="F172" s="643" t="s">
        <v>330</v>
      </c>
      <c r="G172" s="636">
        <v>38</v>
      </c>
      <c r="H172" s="635"/>
      <c r="I172" s="635"/>
      <c r="J172" s="635"/>
      <c r="K172" s="636">
        <v>38</v>
      </c>
      <c r="L172" s="635"/>
      <c r="M172" s="635"/>
      <c r="N172" s="635"/>
      <c r="O172" s="635"/>
      <c r="P172" s="635"/>
      <c r="Q172" s="635"/>
      <c r="R172" s="635"/>
      <c r="S172" s="635"/>
      <c r="T172" s="624">
        <v>38</v>
      </c>
      <c r="U172" s="615">
        <v>0</v>
      </c>
    </row>
    <row r="173" spans="1:21" ht="12.75">
      <c r="A173" s="619"/>
      <c r="B173" s="620"/>
      <c r="C173" s="620"/>
      <c r="D173" s="620"/>
      <c r="E173" s="620"/>
      <c r="F173" s="643" t="s">
        <v>331</v>
      </c>
      <c r="G173" s="636">
        <v>48</v>
      </c>
      <c r="H173" s="635"/>
      <c r="I173" s="635"/>
      <c r="J173" s="635"/>
      <c r="K173" s="636">
        <v>48</v>
      </c>
      <c r="L173" s="635"/>
      <c r="M173" s="635"/>
      <c r="N173" s="635"/>
      <c r="O173" s="635"/>
      <c r="P173" s="635"/>
      <c r="Q173" s="635"/>
      <c r="R173" s="635"/>
      <c r="S173" s="635"/>
      <c r="T173" s="624">
        <v>48</v>
      </c>
      <c r="U173" s="615">
        <v>0</v>
      </c>
    </row>
    <row r="174" spans="1:21" ht="12.75">
      <c r="A174" s="619"/>
      <c r="B174" s="620"/>
      <c r="C174" s="620"/>
      <c r="D174" s="620"/>
      <c r="E174" s="620"/>
      <c r="F174" s="643" t="s">
        <v>332</v>
      </c>
      <c r="G174" s="636">
        <v>240</v>
      </c>
      <c r="H174" s="635"/>
      <c r="I174" s="635"/>
      <c r="J174" s="635"/>
      <c r="K174" s="636">
        <v>240</v>
      </c>
      <c r="L174" s="635"/>
      <c r="M174" s="635"/>
      <c r="N174" s="635"/>
      <c r="O174" s="635"/>
      <c r="P174" s="635"/>
      <c r="Q174" s="635"/>
      <c r="R174" s="635"/>
      <c r="S174" s="635"/>
      <c r="T174" s="624">
        <v>240</v>
      </c>
      <c r="U174" s="615">
        <v>0</v>
      </c>
    </row>
    <row r="175" spans="1:21" ht="12.75">
      <c r="A175" s="619"/>
      <c r="B175" s="620"/>
      <c r="C175" s="620"/>
      <c r="D175" s="620"/>
      <c r="E175" s="620"/>
      <c r="F175" s="643" t="s">
        <v>333</v>
      </c>
      <c r="G175" s="636">
        <v>192</v>
      </c>
      <c r="H175" s="635"/>
      <c r="I175" s="635"/>
      <c r="J175" s="635"/>
      <c r="K175" s="636">
        <v>192</v>
      </c>
      <c r="L175" s="635"/>
      <c r="M175" s="635"/>
      <c r="N175" s="635"/>
      <c r="O175" s="635"/>
      <c r="P175" s="635"/>
      <c r="Q175" s="635"/>
      <c r="R175" s="635"/>
      <c r="S175" s="635"/>
      <c r="T175" s="624">
        <v>192</v>
      </c>
      <c r="U175" s="615">
        <v>0</v>
      </c>
    </row>
    <row r="176" spans="1:21" ht="12.75">
      <c r="A176" s="619"/>
      <c r="B176" s="620"/>
      <c r="C176" s="620"/>
      <c r="D176" s="620"/>
      <c r="E176" s="620"/>
      <c r="F176" s="643" t="s">
        <v>334</v>
      </c>
      <c r="G176" s="636">
        <v>13</v>
      </c>
      <c r="H176" s="635"/>
      <c r="I176" s="635"/>
      <c r="J176" s="635"/>
      <c r="K176" s="636">
        <v>13</v>
      </c>
      <c r="L176" s="635"/>
      <c r="M176" s="635"/>
      <c r="N176" s="635"/>
      <c r="O176" s="635"/>
      <c r="P176" s="635"/>
      <c r="Q176" s="635"/>
      <c r="R176" s="635"/>
      <c r="S176" s="635"/>
      <c r="T176" s="624">
        <v>13</v>
      </c>
      <c r="U176" s="615">
        <v>0</v>
      </c>
    </row>
    <row r="177" spans="1:21" ht="12.75">
      <c r="A177" s="619"/>
      <c r="B177" s="620"/>
      <c r="C177" s="620"/>
      <c r="D177" s="620"/>
      <c r="E177" s="620"/>
      <c r="F177" s="643" t="s">
        <v>335</v>
      </c>
      <c r="G177" s="636">
        <v>8</v>
      </c>
      <c r="H177" s="635"/>
      <c r="I177" s="635"/>
      <c r="J177" s="635"/>
      <c r="K177" s="636">
        <v>8</v>
      </c>
      <c r="L177" s="635"/>
      <c r="M177" s="635"/>
      <c r="N177" s="635"/>
      <c r="O177" s="635"/>
      <c r="P177" s="635"/>
      <c r="Q177" s="635"/>
      <c r="R177" s="635"/>
      <c r="S177" s="635"/>
      <c r="T177" s="624">
        <v>8</v>
      </c>
      <c r="U177" s="615">
        <v>0</v>
      </c>
    </row>
    <row r="178" spans="1:21" ht="12.75">
      <c r="A178" s="619"/>
      <c r="B178" s="620"/>
      <c r="C178" s="620"/>
      <c r="D178" s="620"/>
      <c r="E178" s="620"/>
      <c r="F178" s="643" t="s">
        <v>336</v>
      </c>
      <c r="G178" s="636">
        <v>8</v>
      </c>
      <c r="H178" s="635"/>
      <c r="I178" s="635"/>
      <c r="J178" s="635"/>
      <c r="K178" s="636">
        <v>8</v>
      </c>
      <c r="L178" s="635"/>
      <c r="M178" s="635"/>
      <c r="N178" s="635"/>
      <c r="O178" s="635"/>
      <c r="P178" s="635"/>
      <c r="Q178" s="635"/>
      <c r="R178" s="635"/>
      <c r="S178" s="635"/>
      <c r="T178" s="624">
        <v>8</v>
      </c>
      <c r="U178" s="615">
        <v>0</v>
      </c>
    </row>
    <row r="179" spans="1:21" ht="12.75">
      <c r="A179" s="610"/>
      <c r="B179" s="616"/>
      <c r="C179" s="616"/>
      <c r="D179" s="616"/>
      <c r="E179" s="612">
        <v>152</v>
      </c>
      <c r="F179" s="617" t="s">
        <v>28</v>
      </c>
      <c r="G179" s="614" t="s">
        <v>472</v>
      </c>
      <c r="H179" s="614">
        <v>0</v>
      </c>
      <c r="I179" s="614" t="s">
        <v>473</v>
      </c>
      <c r="J179" s="614">
        <v>664</v>
      </c>
      <c r="K179" s="614">
        <v>664</v>
      </c>
      <c r="L179" s="614">
        <v>664</v>
      </c>
      <c r="M179" s="614">
        <v>664</v>
      </c>
      <c r="N179" s="614">
        <v>964</v>
      </c>
      <c r="O179" s="614">
        <v>664</v>
      </c>
      <c r="P179" s="614">
        <v>664</v>
      </c>
      <c r="Q179" s="614">
        <v>664</v>
      </c>
      <c r="R179" s="614">
        <v>664</v>
      </c>
      <c r="S179" s="614" t="s">
        <v>474</v>
      </c>
      <c r="T179" s="615">
        <v>9202</v>
      </c>
      <c r="U179" s="615">
        <v>0</v>
      </c>
    </row>
    <row r="180" spans="1:21" ht="12.75">
      <c r="A180" s="619"/>
      <c r="B180" s="635"/>
      <c r="C180" s="635"/>
      <c r="D180" s="635"/>
      <c r="E180" s="620"/>
      <c r="F180" s="643" t="s">
        <v>337</v>
      </c>
      <c r="G180" s="636" t="s">
        <v>475</v>
      </c>
      <c r="H180" s="635"/>
      <c r="I180" s="636">
        <v>169</v>
      </c>
      <c r="J180" s="636">
        <v>169</v>
      </c>
      <c r="K180" s="636">
        <v>169</v>
      </c>
      <c r="L180" s="636">
        <v>169</v>
      </c>
      <c r="M180" s="636">
        <v>169</v>
      </c>
      <c r="N180" s="636">
        <v>169</v>
      </c>
      <c r="O180" s="636">
        <v>169</v>
      </c>
      <c r="P180" s="636">
        <v>169</v>
      </c>
      <c r="Q180" s="636">
        <v>169</v>
      </c>
      <c r="R180" s="636">
        <v>169</v>
      </c>
      <c r="S180" s="636">
        <v>333</v>
      </c>
      <c r="T180" s="624">
        <v>2023</v>
      </c>
      <c r="U180" s="615">
        <v>0</v>
      </c>
    </row>
    <row r="181" spans="1:21" ht="12.75">
      <c r="A181" s="619"/>
      <c r="B181" s="635"/>
      <c r="C181" s="635"/>
      <c r="D181" s="635"/>
      <c r="E181" s="620"/>
      <c r="F181" s="643" t="s">
        <v>338</v>
      </c>
      <c r="G181" s="636" t="s">
        <v>476</v>
      </c>
      <c r="H181" s="635"/>
      <c r="I181" s="636">
        <v>495</v>
      </c>
      <c r="J181" s="636">
        <v>495</v>
      </c>
      <c r="K181" s="636">
        <v>495</v>
      </c>
      <c r="L181" s="636">
        <v>495</v>
      </c>
      <c r="M181" s="636">
        <v>495</v>
      </c>
      <c r="N181" s="636">
        <v>495</v>
      </c>
      <c r="O181" s="636">
        <v>495</v>
      </c>
      <c r="P181" s="636">
        <v>495</v>
      </c>
      <c r="Q181" s="636">
        <v>495</v>
      </c>
      <c r="R181" s="636">
        <v>495</v>
      </c>
      <c r="S181" s="636">
        <v>981</v>
      </c>
      <c r="T181" s="624">
        <v>5931</v>
      </c>
      <c r="U181" s="615">
        <v>0</v>
      </c>
    </row>
    <row r="182" spans="1:21" ht="12.75">
      <c r="A182" s="619"/>
      <c r="B182" s="635"/>
      <c r="C182" s="635"/>
      <c r="D182" s="635"/>
      <c r="E182" s="620"/>
      <c r="F182" s="643" t="s">
        <v>339</v>
      </c>
      <c r="G182" s="636" t="s">
        <v>477</v>
      </c>
      <c r="H182" s="635"/>
      <c r="I182" s="636">
        <v>375</v>
      </c>
      <c r="J182" s="635"/>
      <c r="K182" s="635"/>
      <c r="L182" s="635"/>
      <c r="M182" s="635"/>
      <c r="N182" s="636">
        <v>300</v>
      </c>
      <c r="O182" s="635"/>
      <c r="P182" s="635"/>
      <c r="Q182" s="635"/>
      <c r="R182" s="635"/>
      <c r="S182" s="636">
        <v>573</v>
      </c>
      <c r="T182" s="624">
        <v>1248</v>
      </c>
      <c r="U182" s="615">
        <v>0</v>
      </c>
    </row>
    <row r="183" spans="1:21" ht="12.75">
      <c r="A183" s="610"/>
      <c r="B183" s="616"/>
      <c r="C183" s="616"/>
      <c r="D183" s="616"/>
      <c r="E183" s="612">
        <v>153</v>
      </c>
      <c r="F183" s="617" t="s">
        <v>48</v>
      </c>
      <c r="G183" s="614" t="s">
        <v>478</v>
      </c>
      <c r="H183" s="645"/>
      <c r="I183" s="644">
        <v>630</v>
      </c>
      <c r="J183" s="644">
        <v>630</v>
      </c>
      <c r="K183" s="644">
        <v>630</v>
      </c>
      <c r="L183" s="644">
        <v>630</v>
      </c>
      <c r="M183" s="644">
        <v>630</v>
      </c>
      <c r="N183" s="644">
        <v>630</v>
      </c>
      <c r="O183" s="644">
        <v>630</v>
      </c>
      <c r="P183" s="644">
        <v>630</v>
      </c>
      <c r="Q183" s="644">
        <v>630</v>
      </c>
      <c r="R183" s="644">
        <v>630</v>
      </c>
      <c r="S183" s="644" t="s">
        <v>479</v>
      </c>
      <c r="T183" s="615">
        <v>7553</v>
      </c>
      <c r="U183" s="615">
        <v>0</v>
      </c>
    </row>
    <row r="184" spans="1:21" ht="15">
      <c r="A184" s="610"/>
      <c r="B184" s="616"/>
      <c r="C184" s="616"/>
      <c r="D184" s="616"/>
      <c r="E184" s="612">
        <v>159</v>
      </c>
      <c r="F184" s="617" t="s">
        <v>29</v>
      </c>
      <c r="G184" s="614" t="s">
        <v>480</v>
      </c>
      <c r="H184" s="614">
        <v>0</v>
      </c>
      <c r="I184" s="614" t="s">
        <v>481</v>
      </c>
      <c r="J184" s="614" t="s">
        <v>482</v>
      </c>
      <c r="K184" s="614" t="s">
        <v>482</v>
      </c>
      <c r="L184" s="614" t="s">
        <v>482</v>
      </c>
      <c r="M184" s="614" t="s">
        <v>482</v>
      </c>
      <c r="N184" s="614" t="s">
        <v>482</v>
      </c>
      <c r="O184" s="614" t="s">
        <v>482</v>
      </c>
      <c r="P184" s="614" t="s">
        <v>482</v>
      </c>
      <c r="Q184" s="614" t="s">
        <v>482</v>
      </c>
      <c r="R184" s="614" t="s">
        <v>483</v>
      </c>
      <c r="S184" s="614">
        <v>0</v>
      </c>
      <c r="T184" s="646">
        <v>18974</v>
      </c>
      <c r="U184" s="615">
        <v>0</v>
      </c>
    </row>
    <row r="185" spans="1:21" ht="15">
      <c r="A185" s="619"/>
      <c r="B185" s="635"/>
      <c r="C185" s="635"/>
      <c r="D185" s="635"/>
      <c r="E185" s="620"/>
      <c r="F185" s="643" t="s">
        <v>340</v>
      </c>
      <c r="G185" s="636" t="s">
        <v>480</v>
      </c>
      <c r="H185" s="635"/>
      <c r="I185" s="636" t="s">
        <v>481</v>
      </c>
      <c r="J185" s="636" t="s">
        <v>482</v>
      </c>
      <c r="K185" s="636" t="s">
        <v>482</v>
      </c>
      <c r="L185" s="636" t="s">
        <v>482</v>
      </c>
      <c r="M185" s="636" t="s">
        <v>482</v>
      </c>
      <c r="N185" s="636" t="s">
        <v>482</v>
      </c>
      <c r="O185" s="636" t="s">
        <v>482</v>
      </c>
      <c r="P185" s="636" t="s">
        <v>482</v>
      </c>
      <c r="Q185" s="636" t="s">
        <v>482</v>
      </c>
      <c r="R185" s="636" t="s">
        <v>483</v>
      </c>
      <c r="S185" s="635"/>
      <c r="T185" s="646">
        <v>18974</v>
      </c>
      <c r="U185" s="615">
        <v>0</v>
      </c>
    </row>
    <row r="186" spans="1:21" ht="15">
      <c r="A186" s="610"/>
      <c r="B186" s="616"/>
      <c r="C186" s="616"/>
      <c r="D186" s="616"/>
      <c r="E186" s="612">
        <v>161</v>
      </c>
      <c r="F186" s="617" t="s">
        <v>50</v>
      </c>
      <c r="G186" s="614" t="s">
        <v>484</v>
      </c>
      <c r="H186" s="614">
        <v>100</v>
      </c>
      <c r="I186" s="614" t="s">
        <v>485</v>
      </c>
      <c r="J186" s="614">
        <v>100</v>
      </c>
      <c r="K186" s="614" t="s">
        <v>341</v>
      </c>
      <c r="L186" s="614" t="s">
        <v>485</v>
      </c>
      <c r="M186" s="614" t="s">
        <v>486</v>
      </c>
      <c r="N186" s="614" t="s">
        <v>487</v>
      </c>
      <c r="O186" s="614" t="s">
        <v>341</v>
      </c>
      <c r="P186" s="614" t="s">
        <v>488</v>
      </c>
      <c r="Q186" s="614" t="s">
        <v>488</v>
      </c>
      <c r="R186" s="614" t="s">
        <v>489</v>
      </c>
      <c r="S186" s="614" t="s">
        <v>490</v>
      </c>
      <c r="T186" s="646">
        <v>32302</v>
      </c>
      <c r="U186" s="615">
        <v>0</v>
      </c>
    </row>
    <row r="187" spans="1:21" ht="12.75">
      <c r="A187" s="610"/>
      <c r="B187" s="611"/>
      <c r="C187" s="611"/>
      <c r="D187" s="611"/>
      <c r="E187" s="612">
        <v>169</v>
      </c>
      <c r="F187" s="617" t="s">
        <v>22</v>
      </c>
      <c r="G187" s="614">
        <v>0</v>
      </c>
      <c r="H187" s="616"/>
      <c r="I187" s="616"/>
      <c r="J187" s="616"/>
      <c r="K187" s="616"/>
      <c r="L187" s="616"/>
      <c r="M187" s="616"/>
      <c r="N187" s="616"/>
      <c r="O187" s="616"/>
      <c r="P187" s="616"/>
      <c r="Q187" s="616"/>
      <c r="R187" s="616"/>
      <c r="S187" s="616"/>
      <c r="T187" s="599"/>
      <c r="U187" s="615">
        <v>0</v>
      </c>
    </row>
    <row r="188" spans="1:21" ht="12.75">
      <c r="A188" s="648"/>
      <c r="B188" s="649"/>
      <c r="C188" s="650">
        <v>70</v>
      </c>
      <c r="D188" s="649"/>
      <c r="E188" s="649"/>
      <c r="F188" s="651" t="s">
        <v>51</v>
      </c>
      <c r="G188" s="652" t="s">
        <v>491</v>
      </c>
      <c r="H188" s="652">
        <v>0</v>
      </c>
      <c r="I188" s="652">
        <v>550</v>
      </c>
      <c r="J188" s="652">
        <v>100</v>
      </c>
      <c r="K188" s="652" t="s">
        <v>341</v>
      </c>
      <c r="L188" s="652">
        <v>500</v>
      </c>
      <c r="M188" s="652">
        <v>100</v>
      </c>
      <c r="N188" s="652">
        <v>700</v>
      </c>
      <c r="O188" s="652" t="s">
        <v>492</v>
      </c>
      <c r="P188" s="652">
        <v>400</v>
      </c>
      <c r="Q188" s="652" t="s">
        <v>493</v>
      </c>
      <c r="R188" s="652" t="s">
        <v>344</v>
      </c>
      <c r="S188" s="652" t="s">
        <v>345</v>
      </c>
      <c r="T188" s="599"/>
      <c r="U188" s="599"/>
    </row>
    <row r="189" spans="1:21" ht="12.75">
      <c r="A189" s="604"/>
      <c r="B189" s="605"/>
      <c r="C189" s="605"/>
      <c r="D189" s="606">
        <v>100</v>
      </c>
      <c r="E189" s="605"/>
      <c r="F189" s="607" t="s">
        <v>52</v>
      </c>
      <c r="G189" s="608" t="s">
        <v>494</v>
      </c>
      <c r="H189" s="608">
        <v>0</v>
      </c>
      <c r="I189" s="608">
        <v>550</v>
      </c>
      <c r="J189" s="608">
        <v>100</v>
      </c>
      <c r="K189" s="608" t="s">
        <v>341</v>
      </c>
      <c r="L189" s="608">
        <v>500</v>
      </c>
      <c r="M189" s="608">
        <v>100</v>
      </c>
      <c r="N189" s="608">
        <v>700</v>
      </c>
      <c r="O189" s="608">
        <v>700</v>
      </c>
      <c r="P189" s="608">
        <v>400</v>
      </c>
      <c r="Q189" s="608" t="s">
        <v>343</v>
      </c>
      <c r="R189" s="608" t="s">
        <v>346</v>
      </c>
      <c r="S189" s="608" t="s">
        <v>345</v>
      </c>
      <c r="T189" s="615">
        <v>33712</v>
      </c>
      <c r="U189" s="615">
        <v>0</v>
      </c>
    </row>
    <row r="190" spans="1:21" ht="12.75">
      <c r="A190" s="610"/>
      <c r="B190" s="611"/>
      <c r="C190" s="611"/>
      <c r="D190" s="611"/>
      <c r="E190" s="612">
        <v>159</v>
      </c>
      <c r="F190" s="617" t="s">
        <v>29</v>
      </c>
      <c r="G190" s="614">
        <v>0</v>
      </c>
      <c r="H190" s="653">
        <v>0</v>
      </c>
      <c r="I190" s="653">
        <v>0</v>
      </c>
      <c r="J190" s="653">
        <v>0</v>
      </c>
      <c r="K190" s="653">
        <v>0</v>
      </c>
      <c r="L190" s="653">
        <v>0</v>
      </c>
      <c r="M190" s="653">
        <v>0</v>
      </c>
      <c r="N190" s="653">
        <v>0</v>
      </c>
      <c r="O190" s="653">
        <v>0</v>
      </c>
      <c r="P190" s="653">
        <v>0</v>
      </c>
      <c r="Q190" s="653">
        <v>0</v>
      </c>
      <c r="R190" s="653">
        <v>0</v>
      </c>
      <c r="S190" s="653">
        <v>0</v>
      </c>
      <c r="T190" s="588"/>
      <c r="U190" s="588"/>
    </row>
    <row r="191" spans="1:21" ht="12.75">
      <c r="A191" s="610"/>
      <c r="B191" s="611"/>
      <c r="C191" s="611"/>
      <c r="D191" s="611"/>
      <c r="E191" s="612">
        <v>161</v>
      </c>
      <c r="F191" s="613" t="s">
        <v>348</v>
      </c>
      <c r="G191" s="614" t="s">
        <v>494</v>
      </c>
      <c r="H191" s="655"/>
      <c r="I191" s="653">
        <v>550</v>
      </c>
      <c r="J191" s="653">
        <v>100</v>
      </c>
      <c r="K191" s="653">
        <v>1000</v>
      </c>
      <c r="L191" s="653">
        <v>500</v>
      </c>
      <c r="M191" s="653">
        <v>100</v>
      </c>
      <c r="N191" s="653">
        <v>700</v>
      </c>
      <c r="O191" s="653">
        <v>700</v>
      </c>
      <c r="P191" s="653">
        <v>400</v>
      </c>
      <c r="Q191" s="653" t="s">
        <v>343</v>
      </c>
      <c r="R191" s="653" t="s">
        <v>346</v>
      </c>
      <c r="S191" s="653" t="s">
        <v>345</v>
      </c>
      <c r="T191" s="615">
        <v>33712</v>
      </c>
      <c r="U191" s="588"/>
    </row>
    <row r="192" spans="1:21" ht="12.75">
      <c r="A192" s="656"/>
      <c r="B192" s="657"/>
      <c r="C192" s="605"/>
      <c r="D192" s="606">
        <v>112</v>
      </c>
      <c r="E192" s="605"/>
      <c r="F192" s="607" t="s">
        <v>53</v>
      </c>
      <c r="G192" s="608" t="s">
        <v>495</v>
      </c>
      <c r="H192" s="608">
        <v>0</v>
      </c>
      <c r="I192" s="608">
        <v>0</v>
      </c>
      <c r="J192" s="608">
        <v>0</v>
      </c>
      <c r="K192" s="608">
        <v>0</v>
      </c>
      <c r="L192" s="608">
        <v>0</v>
      </c>
      <c r="M192" s="608">
        <v>0</v>
      </c>
      <c r="N192" s="608">
        <v>0</v>
      </c>
      <c r="O192" s="608" t="s">
        <v>496</v>
      </c>
      <c r="P192" s="608">
        <v>0</v>
      </c>
      <c r="Q192" s="608" t="s">
        <v>497</v>
      </c>
      <c r="R192" s="608" t="s">
        <v>350</v>
      </c>
      <c r="S192" s="608">
        <v>0</v>
      </c>
      <c r="T192" s="588"/>
      <c r="U192" s="588"/>
    </row>
    <row r="193" spans="1:21" ht="12.75">
      <c r="A193" s="610"/>
      <c r="B193" s="611"/>
      <c r="C193" s="611"/>
      <c r="D193" s="611"/>
      <c r="E193" s="612">
        <v>418</v>
      </c>
      <c r="F193" s="617" t="s">
        <v>54</v>
      </c>
      <c r="G193" s="614" t="s">
        <v>495</v>
      </c>
      <c r="H193" s="614">
        <v>0</v>
      </c>
      <c r="I193" s="614">
        <v>0</v>
      </c>
      <c r="J193" s="614">
        <v>0</v>
      </c>
      <c r="K193" s="614">
        <v>0</v>
      </c>
      <c r="L193" s="614">
        <v>0</v>
      </c>
      <c r="M193" s="614">
        <v>0</v>
      </c>
      <c r="N193" s="614">
        <v>0</v>
      </c>
      <c r="O193" s="614" t="s">
        <v>496</v>
      </c>
      <c r="P193" s="614">
        <v>0</v>
      </c>
      <c r="Q193" s="614" t="s">
        <v>497</v>
      </c>
      <c r="R193" s="614" t="s">
        <v>350</v>
      </c>
      <c r="S193" s="614">
        <v>0</v>
      </c>
      <c r="T193" s="615">
        <v>1239605</v>
      </c>
      <c r="U193" s="615">
        <v>-1</v>
      </c>
    </row>
    <row r="194" spans="1:21" ht="12.75">
      <c r="A194" s="619"/>
      <c r="B194" s="620"/>
      <c r="C194" s="620"/>
      <c r="D194" s="620"/>
      <c r="E194" s="620"/>
      <c r="F194" s="643" t="s">
        <v>351</v>
      </c>
      <c r="G194" s="636">
        <v>679155</v>
      </c>
      <c r="H194" s="635"/>
      <c r="I194" s="635"/>
      <c r="J194" s="635"/>
      <c r="K194" s="635"/>
      <c r="L194" s="635"/>
      <c r="M194" s="635"/>
      <c r="N194" s="635"/>
      <c r="O194" s="636" t="s">
        <v>496</v>
      </c>
      <c r="P194" s="635"/>
      <c r="Q194" s="636" t="s">
        <v>498</v>
      </c>
      <c r="R194" s="635"/>
      <c r="S194" s="635"/>
      <c r="T194" s="624">
        <v>679156</v>
      </c>
      <c r="U194" s="637"/>
    </row>
    <row r="195" spans="1:21" ht="12.75">
      <c r="A195" s="619"/>
      <c r="B195" s="620"/>
      <c r="C195" s="620"/>
      <c r="D195" s="620"/>
      <c r="E195" s="620"/>
      <c r="F195" s="643" t="s">
        <v>352</v>
      </c>
      <c r="G195" s="636">
        <v>288713</v>
      </c>
      <c r="H195" s="635"/>
      <c r="I195" s="635"/>
      <c r="J195" s="635"/>
      <c r="K195" s="635"/>
      <c r="L195" s="635"/>
      <c r="M195" s="635"/>
      <c r="N195" s="635"/>
      <c r="O195" s="635"/>
      <c r="P195" s="635"/>
      <c r="Q195" s="636" t="s">
        <v>499</v>
      </c>
      <c r="R195" s="635"/>
      <c r="S195" s="635"/>
      <c r="T195" s="624">
        <v>288713</v>
      </c>
      <c r="U195" s="637"/>
    </row>
    <row r="196" spans="1:21" ht="12.75">
      <c r="A196" s="619"/>
      <c r="B196" s="620"/>
      <c r="C196" s="620"/>
      <c r="D196" s="620"/>
      <c r="E196" s="620"/>
      <c r="F196" s="643" t="s">
        <v>353</v>
      </c>
      <c r="G196" s="636">
        <v>271736</v>
      </c>
      <c r="H196" s="635"/>
      <c r="I196" s="635"/>
      <c r="J196" s="635"/>
      <c r="K196" s="635"/>
      <c r="L196" s="635"/>
      <c r="M196" s="635"/>
      <c r="N196" s="635"/>
      <c r="O196" s="635"/>
      <c r="P196" s="635"/>
      <c r="Q196" s="635"/>
      <c r="R196" s="636" t="s">
        <v>350</v>
      </c>
      <c r="S196" s="635"/>
      <c r="T196" s="624">
        <v>271736</v>
      </c>
      <c r="U196" s="637"/>
    </row>
    <row r="197" spans="1:21" ht="12.75">
      <c r="A197" s="669"/>
      <c r="B197" s="595"/>
      <c r="C197" s="595"/>
      <c r="D197" s="595"/>
      <c r="E197" s="595"/>
      <c r="F197" s="670" t="s">
        <v>355</v>
      </c>
      <c r="G197" s="598" t="s">
        <v>356</v>
      </c>
      <c r="H197" s="598" t="s">
        <v>357</v>
      </c>
      <c r="I197" s="598" t="s">
        <v>358</v>
      </c>
      <c r="J197" s="598" t="s">
        <v>359</v>
      </c>
      <c r="K197" s="598" t="s">
        <v>360</v>
      </c>
      <c r="L197" s="598" t="s">
        <v>361</v>
      </c>
      <c r="M197" s="598" t="s">
        <v>362</v>
      </c>
      <c r="N197" s="598" t="s">
        <v>363</v>
      </c>
      <c r="O197" s="598" t="s">
        <v>364</v>
      </c>
      <c r="P197" s="598" t="s">
        <v>365</v>
      </c>
      <c r="Q197" s="598" t="s">
        <v>366</v>
      </c>
      <c r="R197" s="598" t="s">
        <v>367</v>
      </c>
      <c r="S197" s="598" t="s">
        <v>368</v>
      </c>
      <c r="T197" s="599"/>
      <c r="U197" s="599"/>
    </row>
    <row r="200" spans="1:21" ht="12.75">
      <c r="G200" s="12">
        <f>G194+G195</f>
        <v>967868</v>
      </c>
    </row>
  </sheetData>
  <mergeCells count="22">
    <mergeCell ref="A10:A11"/>
    <mergeCell ref="H10:S10"/>
    <mergeCell ref="F109:F110"/>
    <mergeCell ref="G109:G110"/>
    <mergeCell ref="H109:S109"/>
    <mergeCell ref="B10:B11"/>
    <mergeCell ref="C10:C11"/>
    <mergeCell ref="A109:A110"/>
    <mergeCell ref="B109:B110"/>
    <mergeCell ref="C109:C110"/>
    <mergeCell ref="D109:D110"/>
    <mergeCell ref="E109:E110"/>
    <mergeCell ref="D10:D11"/>
    <mergeCell ref="E10:E11"/>
    <mergeCell ref="F10:F11"/>
    <mergeCell ref="G10:G11"/>
    <mergeCell ref="B8:D8"/>
    <mergeCell ref="C1:Q1"/>
    <mergeCell ref="B4:C4"/>
    <mergeCell ref="B6:C6"/>
    <mergeCell ref="B7:E7"/>
    <mergeCell ref="G7:R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C993"/>
  <sheetViews>
    <sheetView workbookViewId="0">
      <selection sqref="A1:M2"/>
    </sheetView>
  </sheetViews>
  <sheetFormatPr defaultColWidth="12.5703125" defaultRowHeight="15.75" customHeight="1"/>
  <cols>
    <col min="1" max="1" width="5.85546875" customWidth="1"/>
    <col min="2" max="2" width="37.7109375" customWidth="1"/>
    <col min="3" max="3" width="14.5703125" customWidth="1"/>
    <col min="4" max="5" width="14.85546875" customWidth="1"/>
    <col min="6" max="6" width="14.7109375" customWidth="1"/>
    <col min="7" max="7" width="15.42578125" customWidth="1"/>
    <col min="8" max="8" width="16.140625" customWidth="1"/>
  </cols>
  <sheetData>
    <row r="1" spans="1:29" ht="12.75">
      <c r="H1" s="13"/>
    </row>
    <row r="2" spans="1:29" ht="12.75">
      <c r="H2" s="13"/>
    </row>
    <row r="3" spans="1:29" ht="39.75" customHeight="1">
      <c r="A3" s="255"/>
      <c r="B3" s="678"/>
      <c r="C3" s="679" t="s">
        <v>500</v>
      </c>
      <c r="D3" s="679" t="s">
        <v>9</v>
      </c>
      <c r="E3" s="679" t="s">
        <v>13</v>
      </c>
      <c r="F3" s="679" t="s">
        <v>501</v>
      </c>
      <c r="G3" s="679" t="s">
        <v>502</v>
      </c>
      <c r="H3" s="680"/>
      <c r="I3" s="255"/>
      <c r="J3" s="255"/>
      <c r="K3" s="255"/>
      <c r="L3" s="59" t="s">
        <v>278</v>
      </c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</row>
    <row r="4" spans="1:29" ht="15">
      <c r="B4" s="570" t="s">
        <v>503</v>
      </c>
      <c r="C4" s="681">
        <f t="shared" ref="C4:H4" ca="1" si="0">SUM(C5:C26)</f>
        <v>42218709.799999945</v>
      </c>
      <c r="D4" s="681">
        <f t="shared" ca="1" si="0"/>
        <v>31145743.334979981</v>
      </c>
      <c r="E4" s="681">
        <f t="shared" ca="1" si="0"/>
        <v>20267400.60903997</v>
      </c>
      <c r="F4" s="681">
        <f t="shared" ca="1" si="0"/>
        <v>11072966.465019969</v>
      </c>
      <c r="G4" s="681">
        <f t="shared" ca="1" si="0"/>
        <v>21951309.190959986</v>
      </c>
      <c r="H4" s="682">
        <f t="shared" si="0"/>
        <v>35019768.100000009</v>
      </c>
      <c r="I4" s="13">
        <f ca="1">C4-H4</f>
        <v>7198941.6999999359</v>
      </c>
      <c r="J4" s="682">
        <f t="shared" ref="J4:L4" si="1">SUM(J5:J26)</f>
        <v>35416682.800000004</v>
      </c>
      <c r="K4" s="682">
        <f t="shared" ca="1" si="1"/>
        <v>6802026.9999999506</v>
      </c>
      <c r="L4" s="682">
        <f t="shared" si="1"/>
        <v>371.09999999999945</v>
      </c>
    </row>
    <row r="5" spans="1:29" ht="14.25">
      <c r="B5" s="53"/>
      <c r="C5" s="683"/>
      <c r="D5" s="683"/>
      <c r="E5" s="316"/>
      <c r="F5" s="316"/>
      <c r="G5" s="53"/>
      <c r="H5" s="684"/>
    </row>
    <row r="6" spans="1:29" ht="14.25">
      <c r="B6" s="53" t="str">
        <f>'по ТД (копия)'!A7</f>
        <v>ДСЭК Акмолинской области КСЭК МЗ РК</v>
      </c>
      <c r="C6" s="683">
        <f ca="1">IFERROR(__xludf.DUMMYFUNCTION("IMPORTRANGE(""https://docs.google.com/spreadsheets/d/1PsUKG3ee57b5sx42omjfZd9CYxuRONokMWtiORmUc0s/edit#gid=1568135178"",""По ТД!B7:B27"")"),2360608)</f>
        <v>2360608</v>
      </c>
      <c r="D6" s="683">
        <f ca="1">IFERROR(__xludf.DUMMYFUNCTION("IMPORTRANGE(""https://docs.google.com/spreadsheets/d/1PsUKG3ee57b5sx42omjfZd9CYxuRONokMWtiORmUc0s/edit#gid=1568135178"",""По ТД!D7:D27"")"),1836802.48)</f>
        <v>1836802.48</v>
      </c>
      <c r="E6" s="316">
        <f ca="1">'по ТД (копия)'!H7</f>
        <v>1325731.801</v>
      </c>
      <c r="F6" s="316">
        <f t="shared" ref="F6:F26" ca="1" si="2">C6-D6</f>
        <v>523805.52</v>
      </c>
      <c r="G6" s="316">
        <f t="shared" ref="G6:G26" ca="1" si="3">C6-E6</f>
        <v>1034876.199</v>
      </c>
      <c r="H6" s="684">
        <v>2569777.2000000002</v>
      </c>
      <c r="I6" s="13">
        <f t="shared" ref="I6:I26" ca="1" si="4">C6-H6</f>
        <v>-209169.20000000019</v>
      </c>
      <c r="J6" s="13">
        <v>2607471.3000000003</v>
      </c>
      <c r="K6" s="685">
        <f t="shared" ref="K6:K26" ca="1" si="5">C6-J6</f>
        <v>-246863.30000000028</v>
      </c>
    </row>
    <row r="7" spans="1:29" ht="12.75">
      <c r="B7" s="53" t="str">
        <f>'по ТД (копия)'!A8</f>
        <v>ДСЭК Актюбинской области КСЭК МЗ РК</v>
      </c>
      <c r="C7" s="351">
        <f ca="1">IFERROR(__xludf.DUMMYFUNCTION("""COMPUTED_VALUE"""),1949055.7)</f>
        <v>1949055.7</v>
      </c>
      <c r="D7" s="316">
        <f ca="1">IFERROR(__xludf.DUMMYFUNCTION("""COMPUTED_VALUE"""),1501531.295)</f>
        <v>1501531.2949999999</v>
      </c>
      <c r="E7" s="316">
        <f ca="1">'по ТД (копия)'!H8</f>
        <v>941970.73899999901</v>
      </c>
      <c r="F7" s="316">
        <f t="shared" ca="1" si="2"/>
        <v>447524.40500000003</v>
      </c>
      <c r="G7" s="316">
        <f t="shared" ca="1" si="3"/>
        <v>1007084.9610000009</v>
      </c>
      <c r="H7" s="684">
        <f>1531242.9+371.1</f>
        <v>1531614</v>
      </c>
      <c r="I7" s="13">
        <f t="shared" ca="1" si="4"/>
        <v>417441.69999999995</v>
      </c>
      <c r="J7" s="13">
        <v>1560459.6</v>
      </c>
      <c r="K7" s="685">
        <f t="shared" ca="1" si="5"/>
        <v>388596.09999999986</v>
      </c>
      <c r="L7" s="12">
        <v>371.1</v>
      </c>
      <c r="M7" s="12" t="s">
        <v>504</v>
      </c>
    </row>
    <row r="8" spans="1:29" ht="12.75">
      <c r="B8" s="53" t="str">
        <f>'по ТД (копия)'!A9</f>
        <v>ДСЭК Алматинской области КСЭК МЗ РК</v>
      </c>
      <c r="C8" s="351">
        <f ca="1">IFERROR(__xludf.DUMMYFUNCTION("""COMPUTED_VALUE"""),1823103.4)</f>
        <v>1823103.4</v>
      </c>
      <c r="D8" s="316">
        <f ca="1">IFERROR(__xludf.DUMMYFUNCTION("""COMPUTED_VALUE"""),1324233.97621)</f>
        <v>1324233.97621</v>
      </c>
      <c r="E8" s="316">
        <f ca="1">'по ТД (копия)'!H9</f>
        <v>726870.43764999998</v>
      </c>
      <c r="F8" s="316">
        <f t="shared" ca="1" si="2"/>
        <v>498869.42378999991</v>
      </c>
      <c r="G8" s="316">
        <f t="shared" ca="1" si="3"/>
        <v>1096232.9623499999</v>
      </c>
      <c r="H8" s="684">
        <f>2341209.4-20374.3</f>
        <v>2320835.1</v>
      </c>
      <c r="I8" s="13">
        <f t="shared" ca="1" si="4"/>
        <v>-497731.70000000019</v>
      </c>
      <c r="J8" s="13">
        <v>2321789.1999999997</v>
      </c>
      <c r="K8" s="686">
        <f t="shared" ca="1" si="5"/>
        <v>-498685.79999999981</v>
      </c>
      <c r="L8" s="12">
        <v>-20374.3</v>
      </c>
      <c r="M8" s="12" t="s">
        <v>505</v>
      </c>
    </row>
    <row r="9" spans="1:29" ht="12.75">
      <c r="B9" s="53" t="str">
        <f>'по ТД (копия)'!A10</f>
        <v>ДСЭК Атырауской области КСЭК МЗ РК</v>
      </c>
      <c r="C9" s="351">
        <f ca="1">IFERROR(__xludf.DUMMYFUNCTION("""COMPUTED_VALUE"""),1509428.5)</f>
        <v>1509428.5</v>
      </c>
      <c r="D9" s="316">
        <f ca="1">IFERROR(__xludf.DUMMYFUNCTION("""COMPUTED_VALUE"""),1081132.99599999)</f>
        <v>1081132.99599999</v>
      </c>
      <c r="E9" s="316">
        <f ca="1">'по ТД (копия)'!H10</f>
        <v>667156.56599999999</v>
      </c>
      <c r="F9" s="316">
        <f t="shared" ca="1" si="2"/>
        <v>428295.50400000997</v>
      </c>
      <c r="G9" s="316">
        <f t="shared" ca="1" si="3"/>
        <v>842271.93400000001</v>
      </c>
      <c r="H9" s="684">
        <v>1193673.5</v>
      </c>
      <c r="I9" s="13">
        <f t="shared" ca="1" si="4"/>
        <v>315755</v>
      </c>
      <c r="J9" s="13">
        <v>1222061.8</v>
      </c>
      <c r="K9" s="686">
        <f t="shared" ca="1" si="5"/>
        <v>287366.69999999995</v>
      </c>
    </row>
    <row r="10" spans="1:29" ht="12.75">
      <c r="B10" s="53" t="str">
        <f>'по ТД (копия)'!A11</f>
        <v>ДСЭК ВКО КСЭК МЗ РК</v>
      </c>
      <c r="C10" s="351">
        <f ca="1">IFERROR(__xludf.DUMMYFUNCTION("""COMPUTED_VALUE"""),2237806.89999999)</f>
        <v>2237806.8999999901</v>
      </c>
      <c r="D10" s="316">
        <f ca="1">IFERROR(__xludf.DUMMYFUNCTION("""COMPUTED_VALUE"""),1701142.54305)</f>
        <v>1701142.54305</v>
      </c>
      <c r="E10" s="316">
        <f ca="1">'по ТД (копия)'!H11</f>
        <v>1189285.1846799999</v>
      </c>
      <c r="F10" s="316">
        <f t="shared" ca="1" si="2"/>
        <v>536664.35694999015</v>
      </c>
      <c r="G10" s="316">
        <f t="shared" ca="1" si="3"/>
        <v>1048521.7153199902</v>
      </c>
      <c r="H10" s="684">
        <v>2645604.6</v>
      </c>
      <c r="I10" s="13">
        <f t="shared" ca="1" si="4"/>
        <v>-407797.70000000997</v>
      </c>
      <c r="J10" s="13">
        <v>2645604.5999999996</v>
      </c>
      <c r="K10" s="686">
        <f t="shared" ca="1" si="5"/>
        <v>-407797.7000000095</v>
      </c>
    </row>
    <row r="11" spans="1:29" ht="12.75">
      <c r="B11" s="53" t="str">
        <f>'по ТД (копия)'!A12</f>
        <v>ДСЭК Жамбылской области КСЭК МЗ РК</v>
      </c>
      <c r="C11" s="351">
        <f ca="1">IFERROR(__xludf.DUMMYFUNCTION("""COMPUTED_VALUE"""),2620372.89999999)</f>
        <v>2620372.8999999901</v>
      </c>
      <c r="D11" s="316">
        <f ca="1">IFERROR(__xludf.DUMMYFUNCTION("""COMPUTED_VALUE"""),1916806.139)</f>
        <v>1916806.139</v>
      </c>
      <c r="E11" s="316">
        <f ca="1">'по ТД (копия)'!H12</f>
        <v>1292133.4480000001</v>
      </c>
      <c r="F11" s="316">
        <f t="shared" ca="1" si="2"/>
        <v>703566.76099999016</v>
      </c>
      <c r="G11" s="316">
        <f t="shared" ca="1" si="3"/>
        <v>1328239.45199999</v>
      </c>
      <c r="H11" s="684">
        <v>2151886.4</v>
      </c>
      <c r="I11" s="13">
        <f t="shared" ca="1" si="4"/>
        <v>468486.49999999022</v>
      </c>
      <c r="J11" s="13">
        <v>2208793.5</v>
      </c>
      <c r="K11" s="686">
        <f t="shared" ca="1" si="5"/>
        <v>411579.39999999013</v>
      </c>
    </row>
    <row r="12" spans="1:29" ht="12.75">
      <c r="B12" s="53" t="str">
        <f>'по ТД (копия)'!A13</f>
        <v>ДСЭК ЗКО КСЭК МЗ РК</v>
      </c>
      <c r="C12" s="351">
        <f ca="1">IFERROR(__xludf.DUMMYFUNCTION("""COMPUTED_VALUE"""),1698582)</f>
        <v>1698582</v>
      </c>
      <c r="D12" s="316">
        <f ca="1">IFERROR(__xludf.DUMMYFUNCTION("""COMPUTED_VALUE"""),1174114.35292)</f>
        <v>1174114.35292</v>
      </c>
      <c r="E12" s="316">
        <f ca="1">'по ТД (копия)'!H13</f>
        <v>836268.22094999999</v>
      </c>
      <c r="F12" s="316">
        <f t="shared" ca="1" si="2"/>
        <v>524467.64708000002</v>
      </c>
      <c r="G12" s="316">
        <f t="shared" ca="1" si="3"/>
        <v>862313.77905000001</v>
      </c>
      <c r="H12" s="684">
        <v>1383525.2</v>
      </c>
      <c r="I12" s="13">
        <f t="shared" ca="1" si="4"/>
        <v>315056.80000000005</v>
      </c>
      <c r="J12" s="13">
        <v>1383525.2</v>
      </c>
      <c r="K12" s="686">
        <f t="shared" ca="1" si="5"/>
        <v>315056.80000000005</v>
      </c>
    </row>
    <row r="13" spans="1:29" ht="12.75">
      <c r="B13" s="53" t="str">
        <f>'по ТД (копия)'!A14</f>
        <v>ДСЭК Карагандинской области КСЭК МЗ РК</v>
      </c>
      <c r="C13" s="351">
        <f ca="1">IFERROR(__xludf.DUMMYFUNCTION("""COMPUTED_VALUE"""),2371267.2)</f>
        <v>2371267.2000000002</v>
      </c>
      <c r="D13" s="316">
        <f ca="1">IFERROR(__xludf.DUMMYFUNCTION("""COMPUTED_VALUE"""),1685389.74199999)</f>
        <v>1685389.7419999901</v>
      </c>
      <c r="E13" s="316">
        <f ca="1">'по ТД (копия)'!H14</f>
        <v>1117935.074</v>
      </c>
      <c r="F13" s="316">
        <f t="shared" ca="1" si="2"/>
        <v>685877.45800001011</v>
      </c>
      <c r="G13" s="316">
        <f t="shared" ca="1" si="3"/>
        <v>1253332.1260000002</v>
      </c>
      <c r="H13" s="684">
        <v>2354050.7999999998</v>
      </c>
      <c r="I13" s="13">
        <f t="shared" ca="1" si="4"/>
        <v>17216.400000000373</v>
      </c>
      <c r="J13" s="13">
        <v>2360607.6</v>
      </c>
      <c r="K13" s="686">
        <f t="shared" ca="1" si="5"/>
        <v>10659.600000000093</v>
      </c>
    </row>
    <row r="14" spans="1:29" ht="12.75">
      <c r="B14" s="53" t="str">
        <f>'по ТД (копия)'!A15</f>
        <v>ДСЭК Костанайской области КСЭК МЗ РК</v>
      </c>
      <c r="C14" s="351">
        <f ca="1">IFERROR(__xludf.DUMMYFUNCTION("""COMPUTED_VALUE"""),2076315)</f>
        <v>2076315</v>
      </c>
      <c r="D14" s="316">
        <f ca="1">IFERROR(__xludf.DUMMYFUNCTION("""COMPUTED_VALUE"""),1515598.36997)</f>
        <v>1515598.3699700001</v>
      </c>
      <c r="E14" s="316">
        <f ca="1">'по ТД (копия)'!H15</f>
        <v>1065683.51284</v>
      </c>
      <c r="F14" s="316">
        <f t="shared" ca="1" si="2"/>
        <v>560716.63002999988</v>
      </c>
      <c r="G14" s="316">
        <f t="shared" ca="1" si="3"/>
        <v>1010631.48716</v>
      </c>
      <c r="H14" s="684">
        <v>1596629.9</v>
      </c>
      <c r="I14" s="13">
        <f t="shared" ca="1" si="4"/>
        <v>479685.10000000009</v>
      </c>
      <c r="J14" s="13">
        <v>1630729.9</v>
      </c>
      <c r="K14" s="686">
        <f t="shared" ca="1" si="5"/>
        <v>445585.10000000009</v>
      </c>
    </row>
    <row r="15" spans="1:29" ht="12.75">
      <c r="B15" s="53" t="str">
        <f>'по ТД (копия)'!A16</f>
        <v>ДСЭК Кызылординской области КСЭК МЗ РК</v>
      </c>
      <c r="C15" s="351">
        <f ca="1">IFERROR(__xludf.DUMMYFUNCTION("""COMPUTED_VALUE"""),2316724.5)</f>
        <v>2316724.5</v>
      </c>
      <c r="D15" s="316">
        <f ca="1">IFERROR(__xludf.DUMMYFUNCTION("""COMPUTED_VALUE"""),1730026.624)</f>
        <v>1730026.6240000001</v>
      </c>
      <c r="E15" s="316">
        <f ca="1">'по ТД (копия)'!H16</f>
        <v>1145043.13099999</v>
      </c>
      <c r="F15" s="316">
        <f t="shared" ca="1" si="2"/>
        <v>586697.87599999993</v>
      </c>
      <c r="G15" s="316">
        <f t="shared" ca="1" si="3"/>
        <v>1171681.36900001</v>
      </c>
      <c r="H15" s="684">
        <f>1892954.1+14111</f>
        <v>1907065.1</v>
      </c>
      <c r="I15" s="13">
        <f t="shared" ca="1" si="4"/>
        <v>409659.39999999991</v>
      </c>
      <c r="J15" s="13">
        <v>1948653.0999999999</v>
      </c>
      <c r="K15" s="686">
        <f t="shared" ca="1" si="5"/>
        <v>368071.40000000014</v>
      </c>
      <c r="L15" s="12">
        <v>14111</v>
      </c>
    </row>
    <row r="16" spans="1:29" ht="12.75">
      <c r="B16" s="53" t="str">
        <f>'по ТД (копия)'!A17</f>
        <v>ДСЭК Мангистауской области КСЭК МЗ РК</v>
      </c>
      <c r="C16" s="351">
        <f ca="1">IFERROR(__xludf.DUMMYFUNCTION("""COMPUTED_VALUE"""),1285654.3)</f>
        <v>1285654.3</v>
      </c>
      <c r="D16" s="316">
        <f ca="1">IFERROR(__xludf.DUMMYFUNCTION("""COMPUTED_VALUE"""),989627.26983)</f>
        <v>989627.26983</v>
      </c>
      <c r="E16" s="316">
        <f ca="1">'по ТД (копия)'!H17</f>
        <v>604021.84791999997</v>
      </c>
      <c r="F16" s="316">
        <f t="shared" ca="1" si="2"/>
        <v>296027.03017000004</v>
      </c>
      <c r="G16" s="316">
        <f t="shared" ca="1" si="3"/>
        <v>681632.45208000008</v>
      </c>
      <c r="H16" s="684">
        <v>1077172.5</v>
      </c>
      <c r="I16" s="13">
        <f t="shared" ca="1" si="4"/>
        <v>208481.80000000005</v>
      </c>
      <c r="J16" s="13">
        <v>1077172.4999999998</v>
      </c>
      <c r="K16" s="686">
        <f t="shared" ca="1" si="5"/>
        <v>208481.80000000028</v>
      </c>
    </row>
    <row r="17" spans="2:12" ht="12.75">
      <c r="B17" s="53" t="str">
        <f>'по ТД (копия)'!A18</f>
        <v>ДСЭК Павлодарской области КСЭК МЗ РК</v>
      </c>
      <c r="C17" s="351">
        <f ca="1">IFERROR(__xludf.DUMMYFUNCTION("""COMPUTED_VALUE"""),2063858.4)</f>
        <v>2063858.4</v>
      </c>
      <c r="D17" s="316">
        <f ca="1">IFERROR(__xludf.DUMMYFUNCTION("""COMPUTED_VALUE"""),1524798.153)</f>
        <v>1524798.1529999999</v>
      </c>
      <c r="E17" s="316">
        <f ca="1">'по ТД (копия)'!H18</f>
        <v>1027008.96199999</v>
      </c>
      <c r="F17" s="316">
        <f t="shared" ca="1" si="2"/>
        <v>539060.24699999997</v>
      </c>
      <c r="G17" s="316">
        <f t="shared" ca="1" si="3"/>
        <v>1036849.4380000099</v>
      </c>
      <c r="H17" s="684">
        <f>1742079.7+6263.3</f>
        <v>1748343</v>
      </c>
      <c r="I17" s="13">
        <f t="shared" ca="1" si="4"/>
        <v>315515.39999999991</v>
      </c>
      <c r="J17" s="13">
        <v>1809444.2</v>
      </c>
      <c r="K17" s="686">
        <f t="shared" ca="1" si="5"/>
        <v>254414.19999999995</v>
      </c>
      <c r="L17" s="12">
        <v>6263.3</v>
      </c>
    </row>
    <row r="18" spans="2:12" ht="12.75">
      <c r="B18" s="53" t="str">
        <f>'по ТД (копия)'!A19</f>
        <v>ДСЭК СКО КСЭК МЗ РК</v>
      </c>
      <c r="C18" s="351">
        <f ca="1">IFERROR(__xludf.DUMMYFUNCTION("""COMPUTED_VALUE"""),2119859.8)</f>
        <v>2119859.7999999998</v>
      </c>
      <c r="D18" s="316">
        <f ca="1">IFERROR(__xludf.DUMMYFUNCTION("""COMPUTED_VALUE"""),1646236.487)</f>
        <v>1646236.487</v>
      </c>
      <c r="E18" s="316">
        <f ca="1">'по ТД (копия)'!H19</f>
        <v>1020831.23899999</v>
      </c>
      <c r="F18" s="316">
        <f t="shared" ca="1" si="2"/>
        <v>473623.31299999985</v>
      </c>
      <c r="G18" s="316">
        <f t="shared" ca="1" si="3"/>
        <v>1099028.5610000098</v>
      </c>
      <c r="H18" s="684">
        <v>2233570.2999999998</v>
      </c>
      <c r="I18" s="13">
        <f t="shared" ca="1" si="4"/>
        <v>-113710.5</v>
      </c>
      <c r="J18" s="13">
        <v>2236568.2999999998</v>
      </c>
      <c r="K18" s="686">
        <f t="shared" ca="1" si="5"/>
        <v>-116708.5</v>
      </c>
    </row>
    <row r="19" spans="2:12" ht="12.75">
      <c r="B19" s="53" t="str">
        <f>'по ТД (копия)'!A20</f>
        <v>ДСЭК Туркестанской области КСЭК МЗ РК</v>
      </c>
      <c r="C19" s="351">
        <f ca="1">IFERROR(__xludf.DUMMYFUNCTION("""COMPUTED_VALUE"""),3418539.09999999)</f>
        <v>3418539.0999999898</v>
      </c>
      <c r="D19" s="316">
        <f ca="1">IFERROR(__xludf.DUMMYFUNCTION("""COMPUTED_VALUE"""),2556241.216)</f>
        <v>2556241.216</v>
      </c>
      <c r="E19" s="316">
        <f ca="1">'по ТД (копия)'!H20</f>
        <v>1523452.459</v>
      </c>
      <c r="F19" s="316">
        <f t="shared" ca="1" si="2"/>
        <v>862297.88399998983</v>
      </c>
      <c r="G19" s="316">
        <f t="shared" ca="1" si="3"/>
        <v>1895086.6409999898</v>
      </c>
      <c r="H19" s="684">
        <v>2818649.3</v>
      </c>
      <c r="I19" s="13">
        <f t="shared" ca="1" si="4"/>
        <v>599889.79999999003</v>
      </c>
      <c r="J19" s="13">
        <v>2856804.8000000003</v>
      </c>
      <c r="K19" s="687">
        <f t="shared" ca="1" si="5"/>
        <v>561734.29999998957</v>
      </c>
    </row>
    <row r="20" spans="2:12" ht="12.75">
      <c r="B20" s="53" t="str">
        <f>'по ТД (копия)'!A21</f>
        <v>ДСЭК города Шымкент КСЭК МЗ РК</v>
      </c>
      <c r="C20" s="351">
        <f ca="1">IFERROR(__xludf.DUMMYFUNCTION("""COMPUTED_VALUE"""),1550598.3)</f>
        <v>1550598.3</v>
      </c>
      <c r="D20" s="316">
        <f ca="1">IFERROR(__xludf.DUMMYFUNCTION("""COMPUTED_VALUE"""),1132121.247)</f>
        <v>1132121.247</v>
      </c>
      <c r="E20" s="316">
        <f ca="1">'по ТД (копия)'!H21</f>
        <v>680878.18799999997</v>
      </c>
      <c r="F20" s="316">
        <f t="shared" ca="1" si="2"/>
        <v>418477.05300000007</v>
      </c>
      <c r="G20" s="316">
        <f t="shared" ca="1" si="3"/>
        <v>869720.11200000008</v>
      </c>
      <c r="H20" s="684">
        <v>1230840.3</v>
      </c>
      <c r="I20" s="13">
        <f t="shared" ca="1" si="4"/>
        <v>319758</v>
      </c>
      <c r="J20" s="13">
        <v>1239739</v>
      </c>
      <c r="K20" s="685">
        <f t="shared" ca="1" si="5"/>
        <v>310859.30000000005</v>
      </c>
    </row>
    <row r="21" spans="2:12" ht="12.75">
      <c r="B21" s="53" t="str">
        <f>'по ТД (копия)'!A22</f>
        <v>ДСЭК города Алматы КСЭК МЗ РК</v>
      </c>
      <c r="C21" s="351">
        <f ca="1">IFERROR(__xludf.DUMMYFUNCTION("""COMPUTED_VALUE"""),3107811.19999999)</f>
        <v>3107811.1999999899</v>
      </c>
      <c r="D21" s="316">
        <f ca="1">IFERROR(__xludf.DUMMYFUNCTION("""COMPUTED_VALUE"""),2374258.459)</f>
        <v>2374258.4589999998</v>
      </c>
      <c r="E21" s="316">
        <f ca="1">'по ТД (копия)'!H22</f>
        <v>1365898.433</v>
      </c>
      <c r="F21" s="316">
        <f t="shared" ca="1" si="2"/>
        <v>733552.74099999014</v>
      </c>
      <c r="G21" s="316">
        <f t="shared" ca="1" si="3"/>
        <v>1741912.76699999</v>
      </c>
      <c r="H21" s="684">
        <v>2471179.1</v>
      </c>
      <c r="I21" s="13">
        <f t="shared" ca="1" si="4"/>
        <v>636632.09999998985</v>
      </c>
      <c r="J21" s="13">
        <v>2502307.6999999997</v>
      </c>
      <c r="K21" s="685">
        <f t="shared" ca="1" si="5"/>
        <v>605503.49999999022</v>
      </c>
    </row>
    <row r="22" spans="2:12" ht="12.75">
      <c r="B22" s="53" t="str">
        <f>'по ТД (копия)'!A23</f>
        <v>ДСЭК города Нур-Султан КСЭК МЗ РК</v>
      </c>
      <c r="C22" s="351">
        <f ca="1">IFERROR(__xludf.DUMMYFUNCTION("""COMPUTED_VALUE"""),2106118.3)</f>
        <v>2106118.2999999998</v>
      </c>
      <c r="D22" s="316">
        <f ca="1">IFERROR(__xludf.DUMMYFUNCTION("""COMPUTED_VALUE"""),1696805.875)</f>
        <v>1696805.875</v>
      </c>
      <c r="E22" s="316">
        <f ca="1">'по ТД (копия)'!H23</f>
        <v>933511.701</v>
      </c>
      <c r="F22" s="316">
        <f t="shared" ca="1" si="2"/>
        <v>409312.42499999981</v>
      </c>
      <c r="G22" s="316">
        <f t="shared" ca="1" si="3"/>
        <v>1172606.5989999999</v>
      </c>
      <c r="H22" s="684">
        <v>1658543.8</v>
      </c>
      <c r="I22" s="13">
        <f t="shared" ca="1" si="4"/>
        <v>447574.49999999977</v>
      </c>
      <c r="J22" s="13">
        <v>1658543.7999999998</v>
      </c>
      <c r="K22" s="685">
        <f t="shared" ca="1" si="5"/>
        <v>447574.5</v>
      </c>
    </row>
    <row r="23" spans="2:12" ht="12.75">
      <c r="B23" s="53" t="str">
        <f>'по ТД (копия)'!A24</f>
        <v>ДСЭК на транспорте КСЭК МЗ РК</v>
      </c>
      <c r="C23" s="688">
        <f ca="1">IFERROR(__xludf.DUMMYFUNCTION("""COMPUTED_VALUE"""),1758925.7)</f>
        <v>1758925.7</v>
      </c>
      <c r="D23" s="316">
        <f ca="1">IFERROR(__xludf.DUMMYFUNCTION("""COMPUTED_VALUE"""),1003682.216)</f>
        <v>1003682.216</v>
      </c>
      <c r="E23" s="316">
        <f ca="1">'по ТД (копия)'!H24</f>
        <v>873843.478</v>
      </c>
      <c r="F23" s="316">
        <f t="shared" ca="1" si="2"/>
        <v>755243.48399999994</v>
      </c>
      <c r="G23" s="316">
        <f t="shared" ca="1" si="3"/>
        <v>885082.22199999995</v>
      </c>
      <c r="H23" s="684">
        <v>1360053</v>
      </c>
      <c r="I23" s="13">
        <f t="shared" ca="1" si="4"/>
        <v>398872.69999999995</v>
      </c>
      <c r="J23" s="13">
        <v>1379651.7000000002</v>
      </c>
      <c r="K23" s="685">
        <f t="shared" ca="1" si="5"/>
        <v>379273.99999999977</v>
      </c>
    </row>
    <row r="24" spans="2:12" ht="12.75">
      <c r="B24" s="407" t="str">
        <f>'по ТД (копия)'!A25</f>
        <v>Улытау</v>
      </c>
      <c r="C24" s="351">
        <f ca="1">IFERROR(__xludf.DUMMYFUNCTION("""COMPUTED_VALUE"""),496354.2)</f>
        <v>496354.2</v>
      </c>
      <c r="D24" s="316">
        <f ca="1">IFERROR(__xludf.DUMMYFUNCTION("""COMPUTED_VALUE"""),314674.634)</f>
        <v>314674.63400000002</v>
      </c>
      <c r="E24" s="316">
        <f ca="1">'по ТД (копия)'!H25</f>
        <v>225210.75399999999</v>
      </c>
      <c r="F24" s="316">
        <f t="shared" ca="1" si="2"/>
        <v>181679.56599999999</v>
      </c>
      <c r="G24" s="316">
        <f t="shared" ca="1" si="3"/>
        <v>271143.446</v>
      </c>
      <c r="H24" s="684">
        <v>142750.70000000001</v>
      </c>
      <c r="I24" s="13">
        <f t="shared" ca="1" si="4"/>
        <v>353603.5</v>
      </c>
      <c r="J24" s="13">
        <v>142750.70000000001</v>
      </c>
      <c r="K24" s="687">
        <f t="shared" ca="1" si="5"/>
        <v>353603.5</v>
      </c>
    </row>
    <row r="25" spans="2:12" ht="12.75">
      <c r="B25" s="53" t="str">
        <f>'по ТД (копия)'!A26</f>
        <v>Жетису</v>
      </c>
      <c r="C25" s="351">
        <f ca="1">IFERROR(__xludf.DUMMYFUNCTION("""COMPUTED_VALUE"""),1531644.3)</f>
        <v>1531644.3</v>
      </c>
      <c r="D25" s="316">
        <f ca="1">IFERROR(__xludf.DUMMYFUNCTION("""COMPUTED_VALUE"""),1075998.879)</f>
        <v>1075998.879</v>
      </c>
      <c r="E25" s="316">
        <f ca="1">'по ТД (копия)'!H26</f>
        <v>770178.78199999896</v>
      </c>
      <c r="F25" s="316">
        <f t="shared" ca="1" si="2"/>
        <v>455645.42100000009</v>
      </c>
      <c r="G25" s="316">
        <f t="shared" ca="1" si="3"/>
        <v>761465.51800000109</v>
      </c>
      <c r="H25" s="684">
        <v>312044.40000000002</v>
      </c>
      <c r="I25" s="13">
        <f t="shared" ca="1" si="4"/>
        <v>1219599.8999999999</v>
      </c>
      <c r="J25" s="13">
        <v>312044.39999999997</v>
      </c>
      <c r="K25" s="686">
        <f t="shared" ca="1" si="5"/>
        <v>1219599.9000000001</v>
      </c>
    </row>
    <row r="26" spans="2:12" ht="12.75">
      <c r="B26" s="53" t="str">
        <f>'по ТД (копия)'!A27</f>
        <v>Абай</v>
      </c>
      <c r="C26" s="351">
        <f ca="1">IFERROR(__xludf.DUMMYFUNCTION("""COMPUTED_VALUE"""),1816082.09999999)</f>
        <v>1816082.0999999901</v>
      </c>
      <c r="D26" s="316">
        <f ca="1">IFERROR(__xludf.DUMMYFUNCTION("""COMPUTED_VALUE"""),1364520.381)</f>
        <v>1364520.3810000001</v>
      </c>
      <c r="E26" s="316">
        <f ca="1">'по ТД (копия)'!H27</f>
        <v>934486.65</v>
      </c>
      <c r="F26" s="316">
        <f t="shared" ca="1" si="2"/>
        <v>451561.71899999003</v>
      </c>
      <c r="G26" s="316">
        <f t="shared" ca="1" si="3"/>
        <v>881595.44999999006</v>
      </c>
      <c r="H26" s="684">
        <v>311959.90000000002</v>
      </c>
      <c r="I26" s="13">
        <f t="shared" ca="1" si="4"/>
        <v>1504122.1999999899</v>
      </c>
      <c r="J26" s="13">
        <v>311959.90000000002</v>
      </c>
      <c r="K26" s="685">
        <f t="shared" ca="1" si="5"/>
        <v>1504122.1999999899</v>
      </c>
    </row>
    <row r="27" spans="2:12" ht="12.75">
      <c r="C27" s="47"/>
      <c r="H27" s="13"/>
    </row>
    <row r="28" spans="2:12" ht="12.75">
      <c r="C28" s="47"/>
      <c r="H28" s="13"/>
    </row>
    <row r="29" spans="2:12" ht="12.75">
      <c r="H29" s="13"/>
    </row>
    <row r="30" spans="2:12" ht="12.75">
      <c r="H30" s="13"/>
    </row>
    <row r="31" spans="2:12" ht="12.75">
      <c r="H31" s="13"/>
    </row>
    <row r="32" spans="2:12" ht="12.75">
      <c r="B32" s="59">
        <v>142</v>
      </c>
      <c r="H32" s="13"/>
    </row>
    <row r="33" spans="2:8" ht="38.25">
      <c r="B33" s="689" t="s">
        <v>503</v>
      </c>
      <c r="C33" s="690" t="s">
        <v>500</v>
      </c>
      <c r="D33" s="690" t="s">
        <v>9</v>
      </c>
      <c r="E33" s="690"/>
      <c r="F33" s="690" t="s">
        <v>506</v>
      </c>
      <c r="H33" s="13"/>
    </row>
    <row r="34" spans="2:8" ht="12.75">
      <c r="B34" s="12" t="s">
        <v>507</v>
      </c>
      <c r="H34" s="13"/>
    </row>
    <row r="35" spans="2:8" ht="12.75">
      <c r="B35" s="14" t="s">
        <v>89</v>
      </c>
      <c r="E35" s="13"/>
      <c r="F35" s="13">
        <f ca="1">'СВОД с ЦА (анализ)'!Y39</f>
        <v>1831.4</v>
      </c>
      <c r="H35" s="13"/>
    </row>
    <row r="36" spans="2:8" ht="12.75">
      <c r="B36" s="14" t="s">
        <v>90</v>
      </c>
      <c r="E36" s="13"/>
      <c r="F36" s="13">
        <f ca="1">'СВОД с ЦА (анализ)'!Z39</f>
        <v>11775.4</v>
      </c>
      <c r="H36" s="13"/>
    </row>
    <row r="37" spans="2:8" ht="12.75">
      <c r="B37" s="14" t="s">
        <v>91</v>
      </c>
      <c r="E37" s="13"/>
      <c r="F37" s="13">
        <f ca="1">'СВОД с ЦА (анализ)'!AA39</f>
        <v>2580</v>
      </c>
      <c r="H37" s="13"/>
    </row>
    <row r="38" spans="2:8" ht="12.75">
      <c r="B38" s="14" t="s">
        <v>92</v>
      </c>
      <c r="E38" s="13"/>
      <c r="F38" s="13">
        <f ca="1">'СВОД с ЦА (анализ)'!AB39</f>
        <v>73145.3</v>
      </c>
      <c r="H38" s="13"/>
    </row>
    <row r="39" spans="2:8" ht="12.75">
      <c r="B39" s="14" t="s">
        <v>93</v>
      </c>
      <c r="E39" s="13"/>
      <c r="F39" s="13">
        <f ca="1">'СВОД с ЦА (анализ)'!AC39</f>
        <v>81723.600000000006</v>
      </c>
      <c r="H39" s="13"/>
    </row>
    <row r="40" spans="2:8" ht="12.75">
      <c r="B40" s="14" t="s">
        <v>94</v>
      </c>
      <c r="E40" s="13"/>
      <c r="F40" s="13">
        <f ca="1">'СВОД с ЦА (анализ)'!AD39</f>
        <v>7626.7</v>
      </c>
      <c r="H40" s="13"/>
    </row>
    <row r="41" spans="2:8" ht="12.75">
      <c r="B41" s="14" t="s">
        <v>95</v>
      </c>
      <c r="E41" s="13"/>
      <c r="F41" s="13">
        <f ca="1">'СВОД с ЦА (анализ)'!AE39</f>
        <v>42304.9</v>
      </c>
      <c r="H41" s="13"/>
    </row>
    <row r="42" spans="2:8" ht="12.75">
      <c r="B42" s="14" t="s">
        <v>96</v>
      </c>
      <c r="E42" s="13"/>
      <c r="F42" s="13">
        <f ca="1">'СВОД с ЦА (анализ)'!AF39</f>
        <v>35904</v>
      </c>
      <c r="H42" s="13"/>
    </row>
    <row r="43" spans="2:8" ht="12.75">
      <c r="B43" s="14" t="s">
        <v>97</v>
      </c>
      <c r="E43" s="13"/>
      <c r="F43" s="13">
        <f ca="1">'СВОД с ЦА (анализ)'!AG39</f>
        <v>1267.46</v>
      </c>
      <c r="H43" s="13"/>
    </row>
    <row r="44" spans="2:8" ht="12.75">
      <c r="B44" s="14" t="s">
        <v>98</v>
      </c>
      <c r="E44" s="13"/>
      <c r="F44" s="13">
        <f ca="1">'СВОД с ЦА (анализ)'!AH39</f>
        <v>22776</v>
      </c>
      <c r="H44" s="13"/>
    </row>
    <row r="45" spans="2:8" ht="12.75">
      <c r="B45" s="14" t="s">
        <v>99</v>
      </c>
      <c r="E45" s="13"/>
      <c r="F45" s="13">
        <f ca="1">'СВОД с ЦА (анализ)'!AI39</f>
        <v>10898</v>
      </c>
      <c r="H45" s="13"/>
    </row>
    <row r="46" spans="2:8" ht="12.75">
      <c r="B46" s="14" t="s">
        <v>100</v>
      </c>
      <c r="E46" s="13"/>
      <c r="F46" s="13">
        <f ca="1">'СВОД с ЦА (анализ)'!AJ39</f>
        <v>23002</v>
      </c>
      <c r="H46" s="13"/>
    </row>
    <row r="47" spans="2:8" ht="12.75">
      <c r="B47" s="14" t="s">
        <v>101</v>
      </c>
      <c r="E47" s="13"/>
      <c r="F47" s="13">
        <f ca="1">'СВОД с ЦА (анализ)'!AK39</f>
        <v>18600</v>
      </c>
      <c r="H47" s="13"/>
    </row>
    <row r="48" spans="2:8" ht="12.75">
      <c r="B48" s="14" t="s">
        <v>102</v>
      </c>
      <c r="E48" s="13"/>
      <c r="F48" s="13">
        <f ca="1">'СВОД с ЦА (анализ)'!AL39</f>
        <v>102976.3</v>
      </c>
      <c r="H48" s="13"/>
    </row>
    <row r="49" spans="2:8" ht="12.75">
      <c r="B49" s="14" t="s">
        <v>103</v>
      </c>
      <c r="E49" s="13"/>
      <c r="F49" s="13">
        <f ca="1">'СВОД с ЦА (анализ)'!AM39</f>
        <v>83411.899999999994</v>
      </c>
      <c r="H49" s="13"/>
    </row>
    <row r="50" spans="2:8" ht="12.75">
      <c r="B50" s="14" t="s">
        <v>104</v>
      </c>
      <c r="E50" s="13"/>
      <c r="F50" s="13">
        <f ca="1">'СВОД с ЦА (анализ)'!AN39</f>
        <v>105705</v>
      </c>
      <c r="H50" s="13"/>
    </row>
    <row r="51" spans="2:8" ht="12.75">
      <c r="B51" s="14" t="s">
        <v>508</v>
      </c>
      <c r="E51" s="13"/>
      <c r="F51" s="13">
        <f ca="1">'СВОД с ЦА (анализ)'!AO39</f>
        <v>2318.8000000000002</v>
      </c>
      <c r="H51" s="13"/>
    </row>
    <row r="52" spans="2:8" ht="12.75">
      <c r="B52" s="14" t="s">
        <v>106</v>
      </c>
      <c r="E52" s="13"/>
      <c r="F52" s="13">
        <f ca="1">'СВОД с ЦА (анализ)'!AP39</f>
        <v>24519</v>
      </c>
      <c r="H52" s="13"/>
    </row>
    <row r="53" spans="2:8" ht="12.75">
      <c r="B53" s="367" t="s">
        <v>509</v>
      </c>
      <c r="E53" s="13"/>
      <c r="F53" s="13">
        <f ca="1">'СВОД с ЦА (анализ)'!AQ39</f>
        <v>500</v>
      </c>
      <c r="H53" s="13"/>
    </row>
    <row r="54" spans="2:8" ht="12.75">
      <c r="B54" s="14" t="s">
        <v>510</v>
      </c>
      <c r="E54" s="13"/>
      <c r="F54" s="13">
        <f ca="1">'СВОД с ЦА (анализ)'!AR39</f>
        <v>2542</v>
      </c>
      <c r="H54" s="13"/>
    </row>
    <row r="55" spans="2:8" ht="12.75">
      <c r="B55" s="14" t="s">
        <v>511</v>
      </c>
      <c r="E55" s="13"/>
      <c r="F55" s="13">
        <f ca="1">'СВОД с ЦА (анализ)'!AS39</f>
        <v>0</v>
      </c>
      <c r="H55" s="13"/>
    </row>
    <row r="56" spans="2:8" ht="12.75">
      <c r="H56" s="13"/>
    </row>
    <row r="57" spans="2:8" ht="12.75">
      <c r="H57" s="13"/>
    </row>
    <row r="58" spans="2:8" ht="12.75">
      <c r="H58" s="13"/>
    </row>
    <row r="59" spans="2:8" ht="12.75">
      <c r="B59" s="59">
        <v>159</v>
      </c>
      <c r="C59" s="255"/>
      <c r="D59" s="255"/>
      <c r="E59" s="255"/>
      <c r="F59" s="255"/>
      <c r="H59" s="13"/>
    </row>
    <row r="60" spans="2:8" ht="38.25">
      <c r="B60" s="691" t="s">
        <v>503</v>
      </c>
      <c r="C60" s="692" t="s">
        <v>500</v>
      </c>
      <c r="D60" s="692" t="s">
        <v>9</v>
      </c>
      <c r="E60" s="692"/>
      <c r="F60" s="692" t="s">
        <v>506</v>
      </c>
      <c r="H60" s="13"/>
    </row>
    <row r="61" spans="2:8" ht="12.75">
      <c r="B61" s="693"/>
      <c r="E61" s="255"/>
      <c r="F61" s="680">
        <f ca="1">SUM(F62:F83)</f>
        <v>72651.161439999851</v>
      </c>
      <c r="H61" s="13"/>
    </row>
    <row r="62" spans="2:8" ht="12.75">
      <c r="B62" s="693" t="s">
        <v>507</v>
      </c>
      <c r="F62" s="13">
        <f>'СВОД с ЦА (анализ)'!Q47</f>
        <v>0</v>
      </c>
      <c r="G62" s="12" t="s">
        <v>512</v>
      </c>
      <c r="H62" s="13"/>
    </row>
    <row r="63" spans="2:8" ht="12.75">
      <c r="B63" s="14" t="s">
        <v>89</v>
      </c>
      <c r="C63" s="13">
        <f t="shared" ref="C63:D63" ca="1" si="6">C6</f>
        <v>2360608</v>
      </c>
      <c r="D63" s="13">
        <f t="shared" ca="1" si="6"/>
        <v>1836802.48</v>
      </c>
      <c r="E63" s="13"/>
      <c r="F63" s="13">
        <f ca="1">'СВОД с ЦА (анализ)'!Y47</f>
        <v>2653.3599999999901</v>
      </c>
      <c r="H63" s="13"/>
    </row>
    <row r="64" spans="2:8" ht="12.75">
      <c r="B64" s="14" t="s">
        <v>90</v>
      </c>
      <c r="C64" s="13">
        <f t="shared" ref="C64:D64" ca="1" si="7">C7</f>
        <v>1949055.7</v>
      </c>
      <c r="D64" s="13">
        <f t="shared" ca="1" si="7"/>
        <v>1501531.2949999999</v>
      </c>
      <c r="E64" s="13"/>
      <c r="F64" s="13">
        <f ca="1">'СВОД с ЦА (анализ)'!Z47</f>
        <v>11612.279999999901</v>
      </c>
      <c r="H64" s="13"/>
    </row>
    <row r="65" spans="2:8" ht="12.75">
      <c r="B65" s="14" t="s">
        <v>91</v>
      </c>
      <c r="C65" s="13">
        <f t="shared" ref="C65:D65" ca="1" si="8">C8</f>
        <v>1823103.4</v>
      </c>
      <c r="D65" s="13">
        <f t="shared" ca="1" si="8"/>
        <v>1324233.97621</v>
      </c>
      <c r="E65" s="13"/>
      <c r="F65" s="13">
        <f ca="1">'СВОД с ЦА (анализ)'!AA47</f>
        <v>1098.9477899999899</v>
      </c>
      <c r="H65" s="13"/>
    </row>
    <row r="66" spans="2:8" ht="12.75">
      <c r="B66" s="14" t="s">
        <v>92</v>
      </c>
      <c r="C66" s="13">
        <f t="shared" ref="C66:D66" ca="1" si="9">C9</f>
        <v>1509428.5</v>
      </c>
      <c r="D66" s="13">
        <f t="shared" ca="1" si="9"/>
        <v>1081132.99599999</v>
      </c>
      <c r="E66" s="13"/>
      <c r="F66" s="13">
        <f ca="1">'СВОД с ЦА (анализ)'!AB47</f>
        <v>24288.83</v>
      </c>
      <c r="H66" s="13"/>
    </row>
    <row r="67" spans="2:8" ht="12.75">
      <c r="B67" s="14" t="s">
        <v>93</v>
      </c>
      <c r="C67" s="13">
        <f t="shared" ref="C67:D67" ca="1" si="10">C10</f>
        <v>2237806.8999999901</v>
      </c>
      <c r="D67" s="13">
        <f t="shared" ca="1" si="10"/>
        <v>1701142.54305</v>
      </c>
      <c r="E67" s="13"/>
      <c r="F67" s="13">
        <f ca="1">'СВОД с ЦА (анализ)'!AC47</f>
        <v>1001.50632</v>
      </c>
      <c r="H67" s="13"/>
    </row>
    <row r="68" spans="2:8" ht="12.75">
      <c r="B68" s="14" t="s">
        <v>94</v>
      </c>
      <c r="C68" s="13">
        <f t="shared" ref="C68:D68" ca="1" si="11">C11</f>
        <v>2620372.8999999901</v>
      </c>
      <c r="D68" s="13">
        <f t="shared" ca="1" si="11"/>
        <v>1916806.139</v>
      </c>
      <c r="E68" s="13"/>
      <c r="F68" s="13">
        <f ca="1">'СВОД с ЦА (анализ)'!AD47</f>
        <v>652.88900000000001</v>
      </c>
      <c r="H68" s="13"/>
    </row>
    <row r="69" spans="2:8" ht="12.75">
      <c r="B69" s="14" t="s">
        <v>95</v>
      </c>
      <c r="C69" s="13">
        <f t="shared" ref="C69:D69" ca="1" si="12">C12</f>
        <v>1698582</v>
      </c>
      <c r="D69" s="13">
        <f t="shared" ca="1" si="12"/>
        <v>1174114.35292</v>
      </c>
      <c r="E69" s="13"/>
      <c r="F69" s="13">
        <f ca="1">'СВОД с ЦА (анализ)'!AE47</f>
        <v>1032.55</v>
      </c>
      <c r="H69" s="13"/>
    </row>
    <row r="70" spans="2:8" ht="12.75">
      <c r="B70" s="14" t="s">
        <v>96</v>
      </c>
      <c r="C70" s="13">
        <f t="shared" ref="C70:D70" ca="1" si="13">C13</f>
        <v>2371267.2000000002</v>
      </c>
      <c r="D70" s="13">
        <f t="shared" ca="1" si="13"/>
        <v>1685389.7419999901</v>
      </c>
      <c r="E70" s="13"/>
      <c r="F70" s="13">
        <f ca="1">'СВОД с ЦА (анализ)'!AF47</f>
        <v>1168.83</v>
      </c>
      <c r="H70" s="13"/>
    </row>
    <row r="71" spans="2:8" ht="12.75">
      <c r="B71" s="14" t="s">
        <v>97</v>
      </c>
      <c r="C71" s="13">
        <f t="shared" ref="C71:D71" ca="1" si="14">C14</f>
        <v>2076315</v>
      </c>
      <c r="D71" s="13">
        <f t="shared" ca="1" si="14"/>
        <v>1515598.3699700001</v>
      </c>
      <c r="E71" s="13"/>
      <c r="F71" s="13">
        <f ca="1">'СВОД с ЦА (анализ)'!AG47</f>
        <v>8939.7423299999991</v>
      </c>
      <c r="H71" s="13"/>
    </row>
    <row r="72" spans="2:8" ht="12.75">
      <c r="B72" s="14" t="s">
        <v>98</v>
      </c>
      <c r="C72" s="13">
        <f t="shared" ref="C72:D72" ca="1" si="15">C15</f>
        <v>2316724.5</v>
      </c>
      <c r="D72" s="13">
        <f t="shared" ca="1" si="15"/>
        <v>1730026.6240000001</v>
      </c>
      <c r="E72" s="13"/>
      <c r="F72" s="13">
        <f ca="1">'СВОД с ЦА (анализ)'!AH47</f>
        <v>1399</v>
      </c>
      <c r="H72" s="13"/>
    </row>
    <row r="73" spans="2:8" ht="12.75">
      <c r="B73" s="14" t="s">
        <v>99</v>
      </c>
      <c r="C73" s="13">
        <f t="shared" ref="C73:D73" ca="1" si="16">C16</f>
        <v>1285654.3</v>
      </c>
      <c r="D73" s="13">
        <f t="shared" ca="1" si="16"/>
        <v>989627.26983</v>
      </c>
      <c r="E73" s="13"/>
      <c r="F73" s="13">
        <f ca="1">'СВОД с ЦА (анализ)'!AI47</f>
        <v>4801.0479999999998</v>
      </c>
      <c r="H73" s="13"/>
    </row>
    <row r="74" spans="2:8" ht="12.75">
      <c r="B74" s="14" t="s">
        <v>100</v>
      </c>
      <c r="C74" s="13">
        <f t="shared" ref="C74:D74" ca="1" si="17">C17</f>
        <v>2063858.4</v>
      </c>
      <c r="D74" s="13">
        <f t="shared" ca="1" si="17"/>
        <v>1524798.1529999999</v>
      </c>
      <c r="E74" s="13"/>
      <c r="F74" s="13">
        <f ca="1">'СВОД с ЦА (анализ)'!AJ47</f>
        <v>862.81299999999999</v>
      </c>
      <c r="H74" s="13"/>
    </row>
    <row r="75" spans="2:8" ht="12.75">
      <c r="B75" s="14" t="s">
        <v>101</v>
      </c>
      <c r="C75" s="13">
        <f t="shared" ref="C75:D75" ca="1" si="18">C18</f>
        <v>2119859.7999999998</v>
      </c>
      <c r="D75" s="13">
        <f t="shared" ca="1" si="18"/>
        <v>1646236.487</v>
      </c>
      <c r="E75" s="13"/>
      <c r="F75" s="13">
        <f ca="1">'СВОД с ЦА (анализ)'!AK47</f>
        <v>1538.4159999999999</v>
      </c>
      <c r="H75" s="13"/>
    </row>
    <row r="76" spans="2:8" ht="12.75">
      <c r="B76" s="14" t="s">
        <v>102</v>
      </c>
      <c r="C76" s="13">
        <f t="shared" ref="C76:D76" ca="1" si="19">C19</f>
        <v>3418539.0999999898</v>
      </c>
      <c r="D76" s="13">
        <f t="shared" ca="1" si="19"/>
        <v>2556241.216</v>
      </c>
      <c r="E76" s="13"/>
      <c r="F76" s="13">
        <f ca="1">'СВОД с ЦА (анализ)'!AL47</f>
        <v>47.299999999999201</v>
      </c>
      <c r="H76" s="13"/>
    </row>
    <row r="77" spans="2:8" ht="12.75">
      <c r="B77" s="14" t="s">
        <v>103</v>
      </c>
      <c r="C77" s="13">
        <f t="shared" ref="C77:D77" ca="1" si="20">C20</f>
        <v>1550598.3</v>
      </c>
      <c r="D77" s="13">
        <f t="shared" ca="1" si="20"/>
        <v>1132121.247</v>
      </c>
      <c r="E77" s="13"/>
      <c r="F77" s="13">
        <f ca="1">'СВОД с ЦА (анализ)'!AM47</f>
        <v>725.25199999999995</v>
      </c>
      <c r="H77" s="13"/>
    </row>
    <row r="78" spans="2:8" ht="12.75">
      <c r="B78" s="14" t="s">
        <v>104</v>
      </c>
      <c r="C78" s="13">
        <f t="shared" ref="C78:D78" ca="1" si="21">C21</f>
        <v>3107811.1999999899</v>
      </c>
      <c r="D78" s="13">
        <f t="shared" ca="1" si="21"/>
        <v>2374258.4589999998</v>
      </c>
      <c r="E78" s="13"/>
      <c r="F78" s="13">
        <f ca="1">'СВОД с ЦА (анализ)'!AN47</f>
        <v>1515.53899999999</v>
      </c>
      <c r="H78" s="13"/>
    </row>
    <row r="79" spans="2:8" ht="12.75">
      <c r="B79" s="14" t="s">
        <v>508</v>
      </c>
      <c r="C79" s="13">
        <f t="shared" ref="C79:D79" ca="1" si="22">C22</f>
        <v>2106118.2999999998</v>
      </c>
      <c r="D79" s="13">
        <f t="shared" ca="1" si="22"/>
        <v>1696805.875</v>
      </c>
      <c r="E79" s="13"/>
      <c r="F79" s="13">
        <f ca="1">'СВОД с ЦА (анализ)'!AO47</f>
        <v>837.44799999998895</v>
      </c>
      <c r="H79" s="13"/>
    </row>
    <row r="80" spans="2:8" ht="12.75">
      <c r="B80" s="14" t="s">
        <v>106</v>
      </c>
      <c r="C80" s="13">
        <f t="shared" ref="C80:D80" ca="1" si="23">C23</f>
        <v>1758925.7</v>
      </c>
      <c r="D80" s="13">
        <f t="shared" ca="1" si="23"/>
        <v>1003682.216</v>
      </c>
      <c r="E80" s="13"/>
      <c r="F80" s="13">
        <f ca="1">'СВОД с ЦА (анализ)'!AP47</f>
        <v>5949.8609999999999</v>
      </c>
      <c r="H80" s="13"/>
    </row>
    <row r="81" spans="2:8" ht="12.75">
      <c r="B81" s="14" t="s">
        <v>509</v>
      </c>
      <c r="C81" s="13">
        <f t="shared" ref="C81:D81" ca="1" si="24">C24</f>
        <v>496354.2</v>
      </c>
      <c r="D81" s="13">
        <f t="shared" ca="1" si="24"/>
        <v>314674.63400000002</v>
      </c>
      <c r="E81" s="13"/>
      <c r="F81" s="13">
        <f ca="1">'СВОД с ЦА (анализ)'!AQ47</f>
        <v>164.11999999999901</v>
      </c>
      <c r="H81" s="13"/>
    </row>
    <row r="82" spans="2:8" ht="12.75">
      <c r="B82" s="14" t="s">
        <v>510</v>
      </c>
      <c r="C82" s="13">
        <f t="shared" ref="C82:D82" ca="1" si="25">C25</f>
        <v>1531644.3</v>
      </c>
      <c r="D82" s="13">
        <f t="shared" ca="1" si="25"/>
        <v>1075998.879</v>
      </c>
      <c r="E82" s="13"/>
      <c r="F82" s="13">
        <f ca="1">'СВОД с ЦА (анализ)'!AR47</f>
        <v>2282.33699999999</v>
      </c>
      <c r="H82" s="13"/>
    </row>
    <row r="83" spans="2:8" ht="12.75">
      <c r="B83" s="14" t="s">
        <v>511</v>
      </c>
      <c r="C83" s="13">
        <f t="shared" ref="C83:D83" ca="1" si="26">C26</f>
        <v>1816082.0999999901</v>
      </c>
      <c r="D83" s="13">
        <f t="shared" ca="1" si="26"/>
        <v>1364520.3810000001</v>
      </c>
      <c r="E83" s="13"/>
      <c r="F83" s="13">
        <f ca="1">'СВОД с ЦА (анализ)'!AS47</f>
        <v>79.092000000004106</v>
      </c>
      <c r="H83" s="13"/>
    </row>
    <row r="84" spans="2:8" ht="12.75">
      <c r="H84" s="13"/>
    </row>
    <row r="85" spans="2:8" ht="12.75">
      <c r="H85" s="13"/>
    </row>
    <row r="86" spans="2:8" ht="12.75">
      <c r="H86" s="13"/>
    </row>
    <row r="87" spans="2:8" ht="12.75">
      <c r="H87" s="13"/>
    </row>
    <row r="88" spans="2:8" ht="12.75">
      <c r="H88" s="13"/>
    </row>
    <row r="89" spans="2:8" ht="38.25">
      <c r="C89" s="694" t="s">
        <v>500</v>
      </c>
      <c r="D89" s="694" t="s">
        <v>13</v>
      </c>
      <c r="E89" s="694" t="s">
        <v>506</v>
      </c>
      <c r="F89" s="694" t="s">
        <v>513</v>
      </c>
      <c r="G89" s="12" t="s">
        <v>203</v>
      </c>
      <c r="H89" s="13"/>
    </row>
    <row r="90" spans="2:8" ht="12.75">
      <c r="B90" s="59"/>
      <c r="C90" s="255"/>
      <c r="D90" s="255"/>
      <c r="E90" s="255"/>
      <c r="F90" s="255"/>
      <c r="G90" s="689" t="s">
        <v>78</v>
      </c>
      <c r="H90" s="689" t="s">
        <v>514</v>
      </c>
    </row>
    <row r="91" spans="2:8" ht="12.75">
      <c r="B91" s="59" t="s">
        <v>515</v>
      </c>
      <c r="C91" s="680">
        <f t="shared" ref="C91:H91" ca="1" si="27">SUM(C92:C112)</f>
        <v>42218709.799999945</v>
      </c>
      <c r="D91" s="680">
        <f t="shared" ca="1" si="27"/>
        <v>20267400.60903997</v>
      </c>
      <c r="E91" s="680">
        <f t="shared" ca="1" si="27"/>
        <v>11072966.465019969</v>
      </c>
      <c r="F91" s="680">
        <f t="shared" ca="1" si="27"/>
        <v>21951309.190959986</v>
      </c>
      <c r="G91" s="680">
        <f t="shared" ca="1" si="27"/>
        <v>9556983.1193899978</v>
      </c>
      <c r="H91" s="680">
        <f t="shared" ca="1" si="27"/>
        <v>211829.04399999999</v>
      </c>
    </row>
    <row r="92" spans="2:8" ht="12.75">
      <c r="B92" s="14" t="str">
        <f>'по ТД (копия)'!A7</f>
        <v>ДСЭК Акмолинской области КСЭК МЗ РК</v>
      </c>
      <c r="C92" s="13">
        <f ca="1">'по ТД (копия)'!B7</f>
        <v>2360608</v>
      </c>
      <c r="D92" s="13">
        <f ca="1">'по ТД (копия)'!H7</f>
        <v>1325731.801</v>
      </c>
      <c r="E92" s="680">
        <f t="shared" ref="E92:E112" ca="1" si="28">F6</f>
        <v>523805.52</v>
      </c>
      <c r="F92" s="13">
        <f t="shared" ref="F92:F112" ca="1" si="29">C92-D92</f>
        <v>1034876.199</v>
      </c>
      <c r="G92" s="13">
        <f ca="1">'СВОД с ЦА (анализ)'!AA63</f>
        <v>488730.70799999998</v>
      </c>
      <c r="H92" s="13">
        <f ca="1">'СВОД с ЦА (анализ)'!AA64</f>
        <v>7525</v>
      </c>
    </row>
    <row r="93" spans="2:8" ht="12.75">
      <c r="B93" s="14" t="str">
        <f>'по ТД (копия)'!A8</f>
        <v>ДСЭК Актюбинской области КСЭК МЗ РК</v>
      </c>
      <c r="C93" s="13">
        <f ca="1">'по ТД (копия)'!B8</f>
        <v>1949055.7</v>
      </c>
      <c r="D93" s="13">
        <f ca="1">'по ТД (копия)'!H8</f>
        <v>941970.73899999901</v>
      </c>
      <c r="E93" s="680">
        <f t="shared" ca="1" si="28"/>
        <v>447524.40500000003</v>
      </c>
      <c r="F93" s="13">
        <f t="shared" ca="1" si="29"/>
        <v>1007084.9610000009</v>
      </c>
      <c r="G93" s="13">
        <f ca="1">'СВОД с ЦА (анализ)'!AB63</f>
        <v>400838.99999999988</v>
      </c>
      <c r="H93" s="13">
        <f ca="1">'СВОД с ЦА (анализ)'!AB64</f>
        <v>7164.8379999999997</v>
      </c>
    </row>
    <row r="94" spans="2:8" ht="12.75">
      <c r="B94" s="14" t="str">
        <f>'по ТД (копия)'!A9</f>
        <v>ДСЭК Алматинской области КСЭК МЗ РК</v>
      </c>
      <c r="C94" s="13">
        <f ca="1">'по ТД (копия)'!B9</f>
        <v>1823103.4</v>
      </c>
      <c r="D94" s="13">
        <f ca="1">'по ТД (копия)'!H9</f>
        <v>726870.43764999998</v>
      </c>
      <c r="E94" s="680">
        <f t="shared" ca="1" si="28"/>
        <v>498869.42378999991</v>
      </c>
      <c r="F94" s="13">
        <f t="shared" ca="1" si="29"/>
        <v>1096232.9623499999</v>
      </c>
      <c r="G94" s="13">
        <f ca="1">'СВОД с ЦА (анализ)'!AC63</f>
        <v>475008.19999999891</v>
      </c>
      <c r="H94" s="13">
        <f ca="1">'СВОД с ЦА (анализ)'!AC64</f>
        <v>4684</v>
      </c>
    </row>
    <row r="95" spans="2:8" ht="12.75">
      <c r="B95" s="14" t="str">
        <f>'по ТД (копия)'!A10</f>
        <v>ДСЭК Атырауской области КСЭК МЗ РК</v>
      </c>
      <c r="C95" s="13">
        <f ca="1">'по ТД (копия)'!B10</f>
        <v>1509428.5</v>
      </c>
      <c r="D95" s="13">
        <f ca="1">'по ТД (копия)'!H10</f>
        <v>667156.56599999999</v>
      </c>
      <c r="E95" s="680">
        <f t="shared" ca="1" si="28"/>
        <v>428295.50400000997</v>
      </c>
      <c r="F95" s="13">
        <f t="shared" ca="1" si="29"/>
        <v>842271.93400000001</v>
      </c>
      <c r="G95" s="13">
        <f ca="1">'СВОД с ЦА (анализ)'!AD63</f>
        <v>300229.55000000005</v>
      </c>
      <c r="H95" s="13">
        <f ca="1">'СВОД с ЦА (анализ)'!AD64</f>
        <v>13214</v>
      </c>
    </row>
    <row r="96" spans="2:8" ht="12.75">
      <c r="B96" s="14" t="str">
        <f>'по ТД (копия)'!A11</f>
        <v>ДСЭК ВКО КСЭК МЗ РК</v>
      </c>
      <c r="C96" s="13">
        <f ca="1">'по ТД (копия)'!B11</f>
        <v>2237806.8999999901</v>
      </c>
      <c r="D96" s="13">
        <f ca="1">'по ТД (копия)'!H11</f>
        <v>1189285.1846799999</v>
      </c>
      <c r="E96" s="680">
        <f t="shared" ca="1" si="28"/>
        <v>536664.35694999015</v>
      </c>
      <c r="F96" s="13">
        <f t="shared" ca="1" si="29"/>
        <v>1048521.7153199902</v>
      </c>
      <c r="G96" s="13">
        <f ca="1">'СВОД с ЦА (анализ)'!AE63</f>
        <v>410566.00096999999</v>
      </c>
      <c r="H96" s="13">
        <f ca="1">'СВОД с ЦА (анализ)'!AE64</f>
        <v>17502.039000000001</v>
      </c>
    </row>
    <row r="97" spans="2:8" ht="12.75">
      <c r="B97" s="14" t="str">
        <f>'по ТД (копия)'!A12</f>
        <v>ДСЭК Жамбылской области КСЭК МЗ РК</v>
      </c>
      <c r="C97" s="13">
        <f ca="1">'по ТД (копия)'!B12</f>
        <v>2620372.8999999901</v>
      </c>
      <c r="D97" s="13">
        <f ca="1">'по ТД (копия)'!H12</f>
        <v>1292133.4480000001</v>
      </c>
      <c r="E97" s="680">
        <f t="shared" ca="1" si="28"/>
        <v>703566.76099999016</v>
      </c>
      <c r="F97" s="13">
        <f t="shared" ca="1" si="29"/>
        <v>1328239.45199999</v>
      </c>
      <c r="G97" s="13">
        <f ca="1">'СВОД с ЦА (анализ)'!AF63</f>
        <v>660124.80000000005</v>
      </c>
      <c r="H97" s="13">
        <f ca="1">'СВОД с ЦА (анализ)'!AF64</f>
        <v>5235</v>
      </c>
    </row>
    <row r="98" spans="2:8" ht="12.75">
      <c r="B98" s="14" t="str">
        <f>'по ТД (копия)'!A13</f>
        <v>ДСЭК ЗКО КСЭК МЗ РК</v>
      </c>
      <c r="C98" s="13">
        <f ca="1">'по ТД (копия)'!B13</f>
        <v>1698582</v>
      </c>
      <c r="D98" s="13">
        <f ca="1">'по ТД (копия)'!H13</f>
        <v>836268.22094999999</v>
      </c>
      <c r="E98" s="680">
        <f t="shared" ca="1" si="28"/>
        <v>524467.64708000002</v>
      </c>
      <c r="F98" s="13">
        <f t="shared" ca="1" si="29"/>
        <v>862313.77905000001</v>
      </c>
      <c r="G98" s="13">
        <f ca="1">'СВОД с ЦА (анализ)'!AG63</f>
        <v>419876</v>
      </c>
      <c r="H98" s="13">
        <f ca="1">'СВОД с ЦА (анализ)'!AG64</f>
        <v>31952.25</v>
      </c>
    </row>
    <row r="99" spans="2:8" ht="12.75">
      <c r="B99" s="14" t="str">
        <f>'по ТД (копия)'!A14</f>
        <v>ДСЭК Карагандинской области КСЭК МЗ РК</v>
      </c>
      <c r="C99" s="13">
        <f ca="1">'по ТД (копия)'!B14</f>
        <v>2371267.2000000002</v>
      </c>
      <c r="D99" s="13">
        <f ca="1">'по ТД (копия)'!H14</f>
        <v>1117935.074</v>
      </c>
      <c r="E99" s="680">
        <f t="shared" ca="1" si="28"/>
        <v>685877.45800001011</v>
      </c>
      <c r="F99" s="13">
        <f t="shared" ca="1" si="29"/>
        <v>1253332.1260000002</v>
      </c>
      <c r="G99" s="13">
        <f ca="1">'СВОД с ЦА (анализ)'!AH63</f>
        <v>618146.05000000016</v>
      </c>
      <c r="H99" s="13">
        <f ca="1">'СВОД с ЦА (анализ)'!AH64</f>
        <v>10558.2</v>
      </c>
    </row>
    <row r="100" spans="2:8" ht="12.75">
      <c r="B100" s="14" t="str">
        <f>'по ТД (копия)'!A15</f>
        <v>ДСЭК Костанайской области КСЭК МЗ РК</v>
      </c>
      <c r="C100" s="13">
        <f ca="1">'по ТД (копия)'!B15</f>
        <v>2076315</v>
      </c>
      <c r="D100" s="13">
        <f ca="1">'по ТД (копия)'!H15</f>
        <v>1065683.51284</v>
      </c>
      <c r="E100" s="680">
        <f t="shared" ca="1" si="28"/>
        <v>560716.63002999988</v>
      </c>
      <c r="F100" s="13">
        <f t="shared" ca="1" si="29"/>
        <v>1010631.48716</v>
      </c>
      <c r="G100" s="13">
        <f ca="1">'СВОД с ЦА (анализ)'!AI63</f>
        <v>516019.92699999985</v>
      </c>
      <c r="H100" s="13">
        <f ca="1">'СВОД с ЦА (анализ)'!AI64</f>
        <v>145.4</v>
      </c>
    </row>
    <row r="101" spans="2:8" ht="12.75">
      <c r="B101" s="14" t="str">
        <f>'по ТД (копия)'!A16</f>
        <v>ДСЭК Кызылординской области КСЭК МЗ РК</v>
      </c>
      <c r="C101" s="13">
        <f ca="1">'по ТД (копия)'!B16</f>
        <v>2316724.5</v>
      </c>
      <c r="D101" s="13">
        <f ca="1">'по ТД (копия)'!H16</f>
        <v>1145043.13099999</v>
      </c>
      <c r="E101" s="680">
        <f t="shared" ca="1" si="28"/>
        <v>586697.87599999993</v>
      </c>
      <c r="F101" s="13">
        <f t="shared" ca="1" si="29"/>
        <v>1171681.36900001</v>
      </c>
      <c r="G101" s="13">
        <f ca="1">'СВОД с ЦА (анализ)'!AJ63</f>
        <v>536879.19599999976</v>
      </c>
      <c r="H101" s="13">
        <f ca="1">'СВОД с ЦА (анализ)'!AJ64</f>
        <v>10534</v>
      </c>
    </row>
    <row r="102" spans="2:8" ht="12.75">
      <c r="B102" s="14" t="str">
        <f>'по ТД (копия)'!A17</f>
        <v>ДСЭК Мангистауской области КСЭК МЗ РК</v>
      </c>
      <c r="C102" s="13">
        <f ca="1">'по ТД (копия)'!B17</f>
        <v>1285654.3</v>
      </c>
      <c r="D102" s="13">
        <f ca="1">'по ТД (копия)'!H17</f>
        <v>604021.84791999997</v>
      </c>
      <c r="E102" s="680">
        <f t="shared" ca="1" si="28"/>
        <v>296027.03017000004</v>
      </c>
      <c r="F102" s="13">
        <f t="shared" ca="1" si="29"/>
        <v>681632.45208000008</v>
      </c>
      <c r="G102" s="13">
        <f ca="1">'СВОД с ЦА (анализ)'!AK63</f>
        <v>255659.52042000002</v>
      </c>
      <c r="H102" s="13">
        <f ca="1">'СВОД с ЦА (анализ)'!AK64</f>
        <v>0</v>
      </c>
    </row>
    <row r="103" spans="2:8" ht="12.75">
      <c r="B103" s="14" t="str">
        <f>'по ТД (копия)'!A18</f>
        <v>ДСЭК Павлодарской области КСЭК МЗ РК</v>
      </c>
      <c r="C103" s="13">
        <f ca="1">'по ТД (копия)'!B18</f>
        <v>2063858.4</v>
      </c>
      <c r="D103" s="13">
        <f ca="1">'по ТД (копия)'!H18</f>
        <v>1027008.96199999</v>
      </c>
      <c r="E103" s="680">
        <f t="shared" ca="1" si="28"/>
        <v>539060.24699999997</v>
      </c>
      <c r="F103" s="13">
        <f t="shared" ca="1" si="29"/>
        <v>1036849.4380000099</v>
      </c>
      <c r="G103" s="13">
        <f ca="1">'СВОД с ЦА (анализ)'!AL63</f>
        <v>470338</v>
      </c>
      <c r="H103" s="13">
        <f ca="1">'СВОД с ЦА (анализ)'!AL64</f>
        <v>8400</v>
      </c>
    </row>
    <row r="104" spans="2:8" ht="12.75">
      <c r="B104" s="14" t="str">
        <f>'по ТД (копия)'!A19</f>
        <v>ДСЭК СКО КСЭК МЗ РК</v>
      </c>
      <c r="C104" s="13">
        <f ca="1">'по ТД (копия)'!B19</f>
        <v>2119859.7999999998</v>
      </c>
      <c r="D104" s="13">
        <f ca="1">'по ТД (копия)'!H19</f>
        <v>1020831.23899999</v>
      </c>
      <c r="E104" s="680">
        <f t="shared" ca="1" si="28"/>
        <v>473623.31299999985</v>
      </c>
      <c r="F104" s="13">
        <f t="shared" ca="1" si="29"/>
        <v>1099028.5610000098</v>
      </c>
      <c r="G104" s="13">
        <f ca="1">'СВОД с ЦА (анализ)'!AM63</f>
        <v>386399.3</v>
      </c>
      <c r="H104" s="13">
        <f ca="1">'СВОД с ЦА (анализ)'!AM64</f>
        <v>38217.53</v>
      </c>
    </row>
    <row r="105" spans="2:8" ht="12.75">
      <c r="B105" s="14" t="str">
        <f>'по ТД (копия)'!A20</f>
        <v>ДСЭК Туркестанской области КСЭК МЗ РК</v>
      </c>
      <c r="C105" s="13">
        <f ca="1">'по ТД (копия)'!B20</f>
        <v>3418539.0999999898</v>
      </c>
      <c r="D105" s="13">
        <f ca="1">'по ТД (копия)'!H20</f>
        <v>1523452.459</v>
      </c>
      <c r="E105" s="680">
        <f t="shared" ca="1" si="28"/>
        <v>862297.88399998983</v>
      </c>
      <c r="F105" s="13">
        <f t="shared" ca="1" si="29"/>
        <v>1895086.6409999898</v>
      </c>
      <c r="G105" s="13">
        <f ca="1">'СВОД с ЦА (анализ)'!AN63</f>
        <v>735644</v>
      </c>
      <c r="H105" s="13">
        <f ca="1">'СВОД с ЦА (анализ)'!AN64</f>
        <v>5125.45</v>
      </c>
    </row>
    <row r="106" spans="2:8" ht="12.75">
      <c r="B106" s="14" t="str">
        <f>'по ТД (копия)'!A21</f>
        <v>ДСЭК города Шымкент КСЭК МЗ РК</v>
      </c>
      <c r="C106" s="13">
        <f ca="1">'по ТД (копия)'!B21</f>
        <v>1550598.3</v>
      </c>
      <c r="D106" s="13">
        <f ca="1">'по ТД (копия)'!H21</f>
        <v>680878.18799999997</v>
      </c>
      <c r="E106" s="680">
        <f t="shared" ca="1" si="28"/>
        <v>418477.05300000007</v>
      </c>
      <c r="F106" s="13">
        <f t="shared" ca="1" si="29"/>
        <v>869720.11200000008</v>
      </c>
      <c r="G106" s="13">
        <f ca="1">'СВОД с ЦА (анализ)'!AO63</f>
        <v>308563.02999999985</v>
      </c>
      <c r="H106" s="13">
        <f ca="1">'СВОД с ЦА (анализ)'!AO64</f>
        <v>610</v>
      </c>
    </row>
    <row r="107" spans="2:8" ht="12.75">
      <c r="B107" s="14" t="str">
        <f>'по ТД (копия)'!A22</f>
        <v>ДСЭК города Алматы КСЭК МЗ РК</v>
      </c>
      <c r="C107" s="13">
        <f ca="1">'по ТД (копия)'!B22</f>
        <v>3107811.1999999899</v>
      </c>
      <c r="D107" s="13">
        <f ca="1">'по ТД (копия)'!H22</f>
        <v>1365898.433</v>
      </c>
      <c r="E107" s="680">
        <f t="shared" ca="1" si="28"/>
        <v>733552.74099999014</v>
      </c>
      <c r="F107" s="13">
        <f t="shared" ca="1" si="29"/>
        <v>1741912.76699999</v>
      </c>
      <c r="G107" s="13">
        <f ca="1">'СВОД с ЦА (анализ)'!AP63</f>
        <v>598862</v>
      </c>
      <c r="H107" s="13">
        <f ca="1">'СВОД с ЦА (анализ)'!AP64</f>
        <v>827</v>
      </c>
    </row>
    <row r="108" spans="2:8" ht="12.75">
      <c r="B108" s="14" t="str">
        <f>'по ТД (копия)'!A23</f>
        <v>ДСЭК города Нур-Султан КСЭК МЗ РК</v>
      </c>
      <c r="C108" s="13">
        <f ca="1">'по ТД (копия)'!B23</f>
        <v>2106118.2999999998</v>
      </c>
      <c r="D108" s="13">
        <f ca="1">'по ТД (копия)'!H23</f>
        <v>933511.701</v>
      </c>
      <c r="E108" s="680">
        <f t="shared" ca="1" si="28"/>
        <v>409312.42499999981</v>
      </c>
      <c r="F108" s="13">
        <f t="shared" ca="1" si="29"/>
        <v>1172606.5989999999</v>
      </c>
      <c r="G108" s="13">
        <f ca="1">'СВОД с ЦА (анализ)'!AQ63</f>
        <v>356537.48</v>
      </c>
      <c r="H108" s="13">
        <f ca="1">'СВОД с ЦА (анализ)'!AQ64</f>
        <v>1202.3609999999901</v>
      </c>
    </row>
    <row r="109" spans="2:8" ht="12.75">
      <c r="B109" s="14" t="str">
        <f>'по ТД (копия)'!A24</f>
        <v>ДСЭК на транспорте КСЭК МЗ РК</v>
      </c>
      <c r="C109" s="13">
        <f ca="1">'по ТД (копия)'!B24</f>
        <v>1758925.7</v>
      </c>
      <c r="D109" s="13">
        <f ca="1">'по ТД (копия)'!H24</f>
        <v>873843.478</v>
      </c>
      <c r="E109" s="680">
        <f t="shared" ca="1" si="28"/>
        <v>755243.48399999994</v>
      </c>
      <c r="F109" s="13">
        <f t="shared" ca="1" si="29"/>
        <v>885082.22199999995</v>
      </c>
      <c r="G109" s="13">
        <f ca="1">'СВОД с ЦА (анализ)'!AR63</f>
        <v>668058.11899999995</v>
      </c>
      <c r="H109" s="13">
        <f ca="1">'СВОД с ЦА (анализ)'!AR64</f>
        <v>23726</v>
      </c>
    </row>
    <row r="110" spans="2:8" ht="12.75">
      <c r="B110" s="14" t="str">
        <f>'по ТД (копия)'!A25</f>
        <v>Улытау</v>
      </c>
      <c r="C110" s="13">
        <f ca="1">'по ТД (копия)'!B25</f>
        <v>496354.2</v>
      </c>
      <c r="D110" s="13">
        <f ca="1">'по ТД (копия)'!H25</f>
        <v>225210.75399999999</v>
      </c>
      <c r="E110" s="680">
        <f t="shared" ca="1" si="28"/>
        <v>181679.56599999999</v>
      </c>
      <c r="F110" s="13">
        <f t="shared" ca="1" si="29"/>
        <v>271143.446</v>
      </c>
      <c r="G110" s="13">
        <f ca="1">'СВОД с ЦА (анализ)'!AS63</f>
        <v>154001.44999999998</v>
      </c>
      <c r="H110" s="13">
        <f ca="1">'СВОД с ЦА (анализ)'!AS64</f>
        <v>857.01</v>
      </c>
    </row>
    <row r="111" spans="2:8" ht="12.75">
      <c r="B111" s="14" t="str">
        <f>'по ТД (копия)'!A26</f>
        <v>Жетису</v>
      </c>
      <c r="C111" s="13">
        <f ca="1">'по ТД (копия)'!B26</f>
        <v>1531644.3</v>
      </c>
      <c r="D111" s="13">
        <f ca="1">'по ТД (копия)'!H26</f>
        <v>770178.78199999896</v>
      </c>
      <c r="E111" s="680">
        <f t="shared" ca="1" si="28"/>
        <v>455645.42100000009</v>
      </c>
      <c r="F111" s="13">
        <f t="shared" ca="1" si="29"/>
        <v>761465.51800000109</v>
      </c>
      <c r="G111" s="13">
        <f ca="1">'СВОД с ЦА (анализ)'!AT63</f>
        <v>415374</v>
      </c>
      <c r="H111" s="13">
        <f ca="1">'СВОД с ЦА (анализ)'!AT64</f>
        <v>2732.1660000000002</v>
      </c>
    </row>
    <row r="112" spans="2:8" ht="12.75">
      <c r="B112" s="14" t="str">
        <f>'по ТД (копия)'!A27</f>
        <v>Абай</v>
      </c>
      <c r="C112" s="13">
        <f ca="1">'по ТД (копия)'!B27</f>
        <v>1816082.0999999901</v>
      </c>
      <c r="D112" s="13">
        <f ca="1">'по ТД (копия)'!H27</f>
        <v>934486.65</v>
      </c>
      <c r="E112" s="680">
        <f t="shared" ca="1" si="28"/>
        <v>451561.71899999003</v>
      </c>
      <c r="F112" s="13">
        <f t="shared" ca="1" si="29"/>
        <v>881595.44999999006</v>
      </c>
      <c r="G112" s="13">
        <f ca="1">'СВОД с ЦА (анализ)'!AU63</f>
        <v>381126.78799999983</v>
      </c>
      <c r="H112" s="13">
        <f ca="1">'СВОД с ЦА (анализ)'!AU64</f>
        <v>21616.799999999999</v>
      </c>
    </row>
    <row r="113" spans="8:8" ht="12.75">
      <c r="H113" s="13"/>
    </row>
    <row r="114" spans="8:8" ht="12.75">
      <c r="H114" s="13"/>
    </row>
    <row r="115" spans="8:8" ht="12.75">
      <c r="H115" s="13"/>
    </row>
    <row r="116" spans="8:8" ht="12.75">
      <c r="H116" s="13"/>
    </row>
    <row r="117" spans="8:8" ht="12.75">
      <c r="H117" s="13"/>
    </row>
    <row r="118" spans="8:8" ht="12.75">
      <c r="H118" s="13"/>
    </row>
    <row r="119" spans="8:8" ht="12.75">
      <c r="H119" s="13"/>
    </row>
    <row r="120" spans="8:8" ht="12.75">
      <c r="H120" s="13"/>
    </row>
    <row r="121" spans="8:8" ht="12.75">
      <c r="H121" s="13"/>
    </row>
    <row r="122" spans="8:8" ht="12.75">
      <c r="H122" s="13"/>
    </row>
    <row r="123" spans="8:8" ht="12.75">
      <c r="H123" s="13"/>
    </row>
    <row r="124" spans="8:8" ht="12.75">
      <c r="H124" s="13"/>
    </row>
    <row r="125" spans="8:8" ht="12.75">
      <c r="H125" s="13"/>
    </row>
    <row r="126" spans="8:8" ht="12.75">
      <c r="H126" s="13"/>
    </row>
    <row r="127" spans="8:8" ht="12.75">
      <c r="H127" s="13"/>
    </row>
    <row r="128" spans="8:8" ht="12.75">
      <c r="H128" s="13"/>
    </row>
    <row r="129" spans="8:8" ht="12.75">
      <c r="H129" s="13"/>
    </row>
    <row r="130" spans="8:8" ht="12.75">
      <c r="H130" s="13"/>
    </row>
    <row r="131" spans="8:8" ht="12.75">
      <c r="H131" s="13"/>
    </row>
    <row r="132" spans="8:8" ht="12.75">
      <c r="H132" s="13"/>
    </row>
    <row r="133" spans="8:8" ht="12.75">
      <c r="H133" s="13"/>
    </row>
    <row r="134" spans="8:8" ht="12.75">
      <c r="H134" s="13"/>
    </row>
    <row r="135" spans="8:8" ht="12.75">
      <c r="H135" s="13"/>
    </row>
    <row r="136" spans="8:8" ht="12.75">
      <c r="H136" s="13"/>
    </row>
    <row r="137" spans="8:8" ht="12.75">
      <c r="H137" s="13"/>
    </row>
    <row r="138" spans="8:8" ht="12.75">
      <c r="H138" s="13"/>
    </row>
    <row r="139" spans="8:8" ht="12.75">
      <c r="H139" s="13"/>
    </row>
    <row r="140" spans="8:8" ht="12.75">
      <c r="H140" s="13"/>
    </row>
    <row r="141" spans="8:8" ht="12.75">
      <c r="H141" s="13"/>
    </row>
    <row r="142" spans="8:8" ht="12.75">
      <c r="H142" s="13"/>
    </row>
    <row r="143" spans="8:8" ht="12.75">
      <c r="H143" s="13"/>
    </row>
    <row r="144" spans="8:8" ht="12.75">
      <c r="H144" s="13"/>
    </row>
    <row r="145" spans="8:8" ht="12.75">
      <c r="H145" s="13"/>
    </row>
    <row r="146" spans="8:8" ht="12.75">
      <c r="H146" s="13"/>
    </row>
    <row r="147" spans="8:8" ht="12.75">
      <c r="H147" s="13"/>
    </row>
    <row r="148" spans="8:8" ht="12.75">
      <c r="H148" s="13"/>
    </row>
    <row r="149" spans="8:8" ht="12.75">
      <c r="H149" s="13"/>
    </row>
    <row r="150" spans="8:8" ht="12.75">
      <c r="H150" s="13"/>
    </row>
    <row r="151" spans="8:8" ht="12.75">
      <c r="H151" s="13"/>
    </row>
    <row r="152" spans="8:8" ht="12.75">
      <c r="H152" s="13"/>
    </row>
    <row r="153" spans="8:8" ht="12.75">
      <c r="H153" s="13"/>
    </row>
    <row r="154" spans="8:8" ht="12.75">
      <c r="H154" s="13"/>
    </row>
    <row r="155" spans="8:8" ht="12.75">
      <c r="H155" s="13"/>
    </row>
    <row r="156" spans="8:8" ht="12.75">
      <c r="H156" s="13"/>
    </row>
    <row r="157" spans="8:8" ht="12.75">
      <c r="H157" s="13"/>
    </row>
    <row r="158" spans="8:8" ht="12.75">
      <c r="H158" s="13"/>
    </row>
    <row r="159" spans="8:8" ht="12.75">
      <c r="H159" s="13"/>
    </row>
    <row r="160" spans="8:8" ht="12.75">
      <c r="H160" s="13"/>
    </row>
    <row r="161" spans="8:8" ht="12.75">
      <c r="H161" s="13"/>
    </row>
    <row r="162" spans="8:8" ht="12.75">
      <c r="H162" s="13"/>
    </row>
    <row r="163" spans="8:8" ht="12.75">
      <c r="H163" s="13"/>
    </row>
    <row r="164" spans="8:8" ht="12.75">
      <c r="H164" s="13"/>
    </row>
    <row r="165" spans="8:8" ht="12.75">
      <c r="H165" s="13"/>
    </row>
    <row r="166" spans="8:8" ht="12.75">
      <c r="H166" s="13"/>
    </row>
    <row r="167" spans="8:8" ht="12.75">
      <c r="H167" s="13"/>
    </row>
    <row r="168" spans="8:8" ht="12.75">
      <c r="H168" s="13"/>
    </row>
    <row r="169" spans="8:8" ht="12.75">
      <c r="H169" s="13"/>
    </row>
    <row r="170" spans="8:8" ht="12.75">
      <c r="H170" s="13"/>
    </row>
    <row r="171" spans="8:8" ht="12.75">
      <c r="H171" s="13"/>
    </row>
    <row r="172" spans="8:8" ht="12.75">
      <c r="H172" s="13"/>
    </row>
    <row r="173" spans="8:8" ht="12.75">
      <c r="H173" s="13"/>
    </row>
    <row r="174" spans="8:8" ht="12.75">
      <c r="H174" s="13"/>
    </row>
    <row r="175" spans="8:8" ht="12.75">
      <c r="H175" s="13"/>
    </row>
    <row r="176" spans="8:8" ht="12.75">
      <c r="H176" s="13"/>
    </row>
    <row r="177" spans="8:8" ht="12.75">
      <c r="H177" s="13"/>
    </row>
    <row r="178" spans="8:8" ht="12.75">
      <c r="H178" s="13"/>
    </row>
    <row r="179" spans="8:8" ht="12.75">
      <c r="H179" s="13"/>
    </row>
    <row r="180" spans="8:8" ht="12.75">
      <c r="H180" s="13"/>
    </row>
    <row r="181" spans="8:8" ht="12.75">
      <c r="H181" s="13"/>
    </row>
    <row r="182" spans="8:8" ht="12.75">
      <c r="H182" s="13"/>
    </row>
    <row r="183" spans="8:8" ht="12.75">
      <c r="H183" s="13"/>
    </row>
    <row r="184" spans="8:8" ht="12.75">
      <c r="H184" s="13"/>
    </row>
    <row r="185" spans="8:8" ht="12.75">
      <c r="H185" s="13"/>
    </row>
    <row r="186" spans="8:8" ht="12.75">
      <c r="H186" s="13"/>
    </row>
    <row r="187" spans="8:8" ht="12.75">
      <c r="H187" s="13"/>
    </row>
    <row r="188" spans="8:8" ht="12.75">
      <c r="H188" s="13"/>
    </row>
    <row r="189" spans="8:8" ht="12.75">
      <c r="H189" s="13"/>
    </row>
    <row r="190" spans="8:8" ht="12.75">
      <c r="H190" s="13"/>
    </row>
    <row r="191" spans="8:8" ht="12.75">
      <c r="H191" s="13"/>
    </row>
    <row r="192" spans="8:8" ht="12.75">
      <c r="H192" s="13"/>
    </row>
    <row r="193" spans="8:8" ht="12.75">
      <c r="H193" s="13"/>
    </row>
    <row r="194" spans="8:8" ht="12.75">
      <c r="H194" s="13"/>
    </row>
    <row r="195" spans="8:8" ht="12.75">
      <c r="H195" s="13"/>
    </row>
    <row r="196" spans="8:8" ht="12.75">
      <c r="H196" s="13"/>
    </row>
    <row r="197" spans="8:8" ht="12.75">
      <c r="H197" s="13"/>
    </row>
    <row r="198" spans="8:8" ht="12.75">
      <c r="H198" s="13"/>
    </row>
    <row r="199" spans="8:8" ht="12.75">
      <c r="H199" s="13"/>
    </row>
    <row r="200" spans="8:8" ht="12.75">
      <c r="H200" s="13"/>
    </row>
    <row r="201" spans="8:8" ht="12.75">
      <c r="H201" s="13"/>
    </row>
    <row r="202" spans="8:8" ht="12.75">
      <c r="H202" s="13"/>
    </row>
    <row r="203" spans="8:8" ht="12.75">
      <c r="H203" s="13"/>
    </row>
    <row r="204" spans="8:8" ht="12.75">
      <c r="H204" s="13"/>
    </row>
    <row r="205" spans="8:8" ht="12.75">
      <c r="H205" s="13"/>
    </row>
    <row r="206" spans="8:8" ht="12.75">
      <c r="H206" s="13"/>
    </row>
    <row r="207" spans="8:8" ht="12.75">
      <c r="H207" s="13"/>
    </row>
    <row r="208" spans="8:8" ht="12.75">
      <c r="H208" s="13"/>
    </row>
    <row r="209" spans="8:8" ht="12.75">
      <c r="H209" s="13"/>
    </row>
    <row r="210" spans="8:8" ht="12.75">
      <c r="H210" s="13"/>
    </row>
    <row r="211" spans="8:8" ht="12.75">
      <c r="H211" s="13"/>
    </row>
    <row r="212" spans="8:8" ht="12.75">
      <c r="H212" s="13"/>
    </row>
    <row r="213" spans="8:8" ht="12.75">
      <c r="H213" s="13"/>
    </row>
    <row r="214" spans="8:8" ht="12.75">
      <c r="H214" s="13"/>
    </row>
    <row r="215" spans="8:8" ht="12.75">
      <c r="H215" s="13"/>
    </row>
    <row r="216" spans="8:8" ht="12.75">
      <c r="H216" s="13"/>
    </row>
    <row r="217" spans="8:8" ht="12.75">
      <c r="H217" s="13"/>
    </row>
    <row r="218" spans="8:8" ht="12.75">
      <c r="H218" s="13"/>
    </row>
    <row r="219" spans="8:8" ht="12.75">
      <c r="H219" s="13"/>
    </row>
    <row r="220" spans="8:8" ht="12.75">
      <c r="H220" s="13"/>
    </row>
    <row r="221" spans="8:8" ht="12.75">
      <c r="H221" s="13"/>
    </row>
    <row r="222" spans="8:8" ht="12.75">
      <c r="H222" s="13"/>
    </row>
    <row r="223" spans="8:8" ht="12.75">
      <c r="H223" s="13"/>
    </row>
    <row r="224" spans="8:8" ht="12.75">
      <c r="H224" s="13"/>
    </row>
    <row r="225" spans="8:8" ht="12.75">
      <c r="H225" s="13"/>
    </row>
    <row r="226" spans="8:8" ht="12.75">
      <c r="H226" s="13"/>
    </row>
    <row r="227" spans="8:8" ht="12.75">
      <c r="H227" s="13"/>
    </row>
    <row r="228" spans="8:8" ht="12.75">
      <c r="H228" s="13"/>
    </row>
    <row r="229" spans="8:8" ht="12.75">
      <c r="H229" s="13"/>
    </row>
    <row r="230" spans="8:8" ht="12.75">
      <c r="H230" s="13"/>
    </row>
    <row r="231" spans="8:8" ht="12.75">
      <c r="H231" s="13"/>
    </row>
    <row r="232" spans="8:8" ht="12.75">
      <c r="H232" s="13"/>
    </row>
    <row r="233" spans="8:8" ht="12.75">
      <c r="H233" s="13"/>
    </row>
    <row r="234" spans="8:8" ht="12.75">
      <c r="H234" s="13"/>
    </row>
    <row r="235" spans="8:8" ht="12.75">
      <c r="H235" s="13"/>
    </row>
    <row r="236" spans="8:8" ht="12.75">
      <c r="H236" s="13"/>
    </row>
    <row r="237" spans="8:8" ht="12.75">
      <c r="H237" s="13"/>
    </row>
    <row r="238" spans="8:8" ht="12.75">
      <c r="H238" s="13"/>
    </row>
    <row r="239" spans="8:8" ht="12.75">
      <c r="H239" s="13"/>
    </row>
    <row r="240" spans="8:8" ht="12.75">
      <c r="H240" s="13"/>
    </row>
    <row r="241" spans="8:8" ht="12.75">
      <c r="H241" s="13"/>
    </row>
    <row r="242" spans="8:8" ht="12.75">
      <c r="H242" s="13"/>
    </row>
    <row r="243" spans="8:8" ht="12.75">
      <c r="H243" s="13"/>
    </row>
    <row r="244" spans="8:8" ht="12.75">
      <c r="H244" s="13"/>
    </row>
    <row r="245" spans="8:8" ht="12.75">
      <c r="H245" s="13"/>
    </row>
    <row r="246" spans="8:8" ht="12.75">
      <c r="H246" s="13"/>
    </row>
    <row r="247" spans="8:8" ht="12.75">
      <c r="H247" s="13"/>
    </row>
    <row r="248" spans="8:8" ht="12.75">
      <c r="H248" s="13"/>
    </row>
    <row r="249" spans="8:8" ht="12.75">
      <c r="H249" s="13"/>
    </row>
    <row r="250" spans="8:8" ht="12.75">
      <c r="H250" s="13"/>
    </row>
    <row r="251" spans="8:8" ht="12.75">
      <c r="H251" s="13"/>
    </row>
    <row r="252" spans="8:8" ht="12.75">
      <c r="H252" s="13"/>
    </row>
    <row r="253" spans="8:8" ht="12.75">
      <c r="H253" s="13"/>
    </row>
    <row r="254" spans="8:8" ht="12.75">
      <c r="H254" s="13"/>
    </row>
    <row r="255" spans="8:8" ht="12.75">
      <c r="H255" s="13"/>
    </row>
    <row r="256" spans="8:8" ht="12.75">
      <c r="H256" s="13"/>
    </row>
    <row r="257" spans="8:8" ht="12.75">
      <c r="H257" s="13"/>
    </row>
    <row r="258" spans="8:8" ht="12.75">
      <c r="H258" s="13"/>
    </row>
    <row r="259" spans="8:8" ht="12.75">
      <c r="H259" s="13"/>
    </row>
    <row r="260" spans="8:8" ht="12.75">
      <c r="H260" s="13"/>
    </row>
    <row r="261" spans="8:8" ht="12.75">
      <c r="H261" s="13"/>
    </row>
    <row r="262" spans="8:8" ht="12.75">
      <c r="H262" s="13"/>
    </row>
    <row r="263" spans="8:8" ht="12.75">
      <c r="H263" s="13"/>
    </row>
    <row r="264" spans="8:8" ht="12.75">
      <c r="H264" s="13"/>
    </row>
    <row r="265" spans="8:8" ht="12.75">
      <c r="H265" s="13"/>
    </row>
    <row r="266" spans="8:8" ht="12.75">
      <c r="H266" s="13"/>
    </row>
    <row r="267" spans="8:8" ht="12.75">
      <c r="H267" s="13"/>
    </row>
    <row r="268" spans="8:8" ht="12.75">
      <c r="H268" s="13"/>
    </row>
    <row r="269" spans="8:8" ht="12.75">
      <c r="H269" s="13"/>
    </row>
    <row r="270" spans="8:8" ht="12.75">
      <c r="H270" s="13"/>
    </row>
    <row r="271" spans="8:8" ht="12.75">
      <c r="H271" s="13"/>
    </row>
    <row r="272" spans="8:8" ht="12.75">
      <c r="H272" s="13"/>
    </row>
    <row r="273" spans="8:8" ht="12.75">
      <c r="H273" s="13"/>
    </row>
    <row r="274" spans="8:8" ht="12.75">
      <c r="H274" s="13"/>
    </row>
    <row r="275" spans="8:8" ht="12.75">
      <c r="H275" s="13"/>
    </row>
    <row r="276" spans="8:8" ht="12.75">
      <c r="H276" s="13"/>
    </row>
    <row r="277" spans="8:8" ht="12.75">
      <c r="H277" s="13"/>
    </row>
    <row r="278" spans="8:8" ht="12.75">
      <c r="H278" s="13"/>
    </row>
    <row r="279" spans="8:8" ht="12.75">
      <c r="H279" s="13"/>
    </row>
    <row r="280" spans="8:8" ht="12.75">
      <c r="H280" s="13"/>
    </row>
    <row r="281" spans="8:8" ht="12.75">
      <c r="H281" s="13"/>
    </row>
    <row r="282" spans="8:8" ht="12.75">
      <c r="H282" s="13"/>
    </row>
    <row r="283" spans="8:8" ht="12.75">
      <c r="H283" s="13"/>
    </row>
    <row r="284" spans="8:8" ht="12.75">
      <c r="H284" s="13"/>
    </row>
    <row r="285" spans="8:8" ht="12.75">
      <c r="H285" s="13"/>
    </row>
    <row r="286" spans="8:8" ht="12.75">
      <c r="H286" s="13"/>
    </row>
    <row r="287" spans="8:8" ht="12.75">
      <c r="H287" s="13"/>
    </row>
    <row r="288" spans="8:8" ht="12.75">
      <c r="H288" s="13"/>
    </row>
    <row r="289" spans="8:8" ht="12.75">
      <c r="H289" s="13"/>
    </row>
    <row r="290" spans="8:8" ht="12.75">
      <c r="H290" s="13"/>
    </row>
    <row r="291" spans="8:8" ht="12.75">
      <c r="H291" s="13"/>
    </row>
    <row r="292" spans="8:8" ht="12.75">
      <c r="H292" s="13"/>
    </row>
    <row r="293" spans="8:8" ht="12.75">
      <c r="H293" s="13"/>
    </row>
    <row r="294" spans="8:8" ht="12.75">
      <c r="H294" s="13"/>
    </row>
    <row r="295" spans="8:8" ht="12.75">
      <c r="H295" s="13"/>
    </row>
    <row r="296" spans="8:8" ht="12.75">
      <c r="H296" s="13"/>
    </row>
    <row r="297" spans="8:8" ht="12.75">
      <c r="H297" s="13"/>
    </row>
    <row r="298" spans="8:8" ht="12.75">
      <c r="H298" s="13"/>
    </row>
    <row r="299" spans="8:8" ht="12.75">
      <c r="H299" s="13"/>
    </row>
    <row r="300" spans="8:8" ht="12.75">
      <c r="H300" s="13"/>
    </row>
    <row r="301" spans="8:8" ht="12.75">
      <c r="H301" s="13"/>
    </row>
    <row r="302" spans="8:8" ht="12.75">
      <c r="H302" s="13"/>
    </row>
    <row r="303" spans="8:8" ht="12.75">
      <c r="H303" s="13"/>
    </row>
    <row r="304" spans="8:8" ht="12.75">
      <c r="H304" s="13"/>
    </row>
    <row r="305" spans="8:8" ht="12.75">
      <c r="H305" s="13"/>
    </row>
    <row r="306" spans="8:8" ht="12.75">
      <c r="H306" s="13"/>
    </row>
    <row r="307" spans="8:8" ht="12.75">
      <c r="H307" s="13"/>
    </row>
    <row r="308" spans="8:8" ht="12.75">
      <c r="H308" s="13"/>
    </row>
    <row r="309" spans="8:8" ht="12.75">
      <c r="H309" s="13"/>
    </row>
    <row r="310" spans="8:8" ht="12.75">
      <c r="H310" s="13"/>
    </row>
    <row r="311" spans="8:8" ht="12.75">
      <c r="H311" s="13"/>
    </row>
    <row r="312" spans="8:8" ht="12.75">
      <c r="H312" s="13"/>
    </row>
    <row r="313" spans="8:8" ht="12.75">
      <c r="H313" s="13"/>
    </row>
    <row r="314" spans="8:8" ht="12.75">
      <c r="H314" s="13"/>
    </row>
    <row r="315" spans="8:8" ht="12.75">
      <c r="H315" s="13"/>
    </row>
    <row r="316" spans="8:8" ht="12.75">
      <c r="H316" s="13"/>
    </row>
    <row r="317" spans="8:8" ht="12.75">
      <c r="H317" s="13"/>
    </row>
    <row r="318" spans="8:8" ht="12.75">
      <c r="H318" s="13"/>
    </row>
    <row r="319" spans="8:8" ht="12.75">
      <c r="H319" s="13"/>
    </row>
    <row r="320" spans="8:8" ht="12.75">
      <c r="H320" s="13"/>
    </row>
    <row r="321" spans="8:8" ht="12.75">
      <c r="H321" s="13"/>
    </row>
    <row r="322" spans="8:8" ht="12.75">
      <c r="H322" s="13"/>
    </row>
    <row r="323" spans="8:8" ht="12.75">
      <c r="H323" s="13"/>
    </row>
    <row r="324" spans="8:8" ht="12.75">
      <c r="H324" s="13"/>
    </row>
    <row r="325" spans="8:8" ht="12.75">
      <c r="H325" s="13"/>
    </row>
    <row r="326" spans="8:8" ht="12.75">
      <c r="H326" s="13"/>
    </row>
    <row r="327" spans="8:8" ht="12.75">
      <c r="H327" s="13"/>
    </row>
    <row r="328" spans="8:8" ht="12.75">
      <c r="H328" s="13"/>
    </row>
    <row r="329" spans="8:8" ht="12.75">
      <c r="H329" s="13"/>
    </row>
    <row r="330" spans="8:8" ht="12.75">
      <c r="H330" s="13"/>
    </row>
    <row r="331" spans="8:8" ht="12.75">
      <c r="H331" s="13"/>
    </row>
    <row r="332" spans="8:8" ht="12.75">
      <c r="H332" s="13"/>
    </row>
    <row r="333" spans="8:8" ht="12.75">
      <c r="H333" s="13"/>
    </row>
    <row r="334" spans="8:8" ht="12.75">
      <c r="H334" s="13"/>
    </row>
    <row r="335" spans="8:8" ht="12.75">
      <c r="H335" s="13"/>
    </row>
    <row r="336" spans="8:8" ht="12.75">
      <c r="H336" s="13"/>
    </row>
    <row r="337" spans="8:8" ht="12.75">
      <c r="H337" s="13"/>
    </row>
    <row r="338" spans="8:8" ht="12.75">
      <c r="H338" s="13"/>
    </row>
    <row r="339" spans="8:8" ht="12.75">
      <c r="H339" s="13"/>
    </row>
    <row r="340" spans="8:8" ht="12.75">
      <c r="H340" s="13"/>
    </row>
    <row r="341" spans="8:8" ht="12.75">
      <c r="H341" s="13"/>
    </row>
    <row r="342" spans="8:8" ht="12.75">
      <c r="H342" s="13"/>
    </row>
    <row r="343" spans="8:8" ht="12.75">
      <c r="H343" s="13"/>
    </row>
    <row r="344" spans="8:8" ht="12.75">
      <c r="H344" s="13"/>
    </row>
    <row r="345" spans="8:8" ht="12.75">
      <c r="H345" s="13"/>
    </row>
    <row r="346" spans="8:8" ht="12.75">
      <c r="H346" s="13"/>
    </row>
    <row r="347" spans="8:8" ht="12.75">
      <c r="H347" s="13"/>
    </row>
    <row r="348" spans="8:8" ht="12.75">
      <c r="H348" s="13"/>
    </row>
    <row r="349" spans="8:8" ht="12.75">
      <c r="H349" s="13"/>
    </row>
    <row r="350" spans="8:8" ht="12.75">
      <c r="H350" s="13"/>
    </row>
    <row r="351" spans="8:8" ht="12.75">
      <c r="H351" s="13"/>
    </row>
    <row r="352" spans="8:8" ht="12.75">
      <c r="H352" s="13"/>
    </row>
    <row r="353" spans="8:8" ht="12.75">
      <c r="H353" s="13"/>
    </row>
    <row r="354" spans="8:8" ht="12.75">
      <c r="H354" s="13"/>
    </row>
    <row r="355" spans="8:8" ht="12.75">
      <c r="H355" s="13"/>
    </row>
    <row r="356" spans="8:8" ht="12.75">
      <c r="H356" s="13"/>
    </row>
    <row r="357" spans="8:8" ht="12.75">
      <c r="H357" s="13"/>
    </row>
    <row r="358" spans="8:8" ht="12.75">
      <c r="H358" s="13"/>
    </row>
    <row r="359" spans="8:8" ht="12.75">
      <c r="H359" s="13"/>
    </row>
    <row r="360" spans="8:8" ht="12.75">
      <c r="H360" s="13"/>
    </row>
    <row r="361" spans="8:8" ht="12.75">
      <c r="H361" s="13"/>
    </row>
    <row r="362" spans="8:8" ht="12.75">
      <c r="H362" s="13"/>
    </row>
    <row r="363" spans="8:8" ht="12.75">
      <c r="H363" s="13"/>
    </row>
    <row r="364" spans="8:8" ht="12.75">
      <c r="H364" s="13"/>
    </row>
    <row r="365" spans="8:8" ht="12.75">
      <c r="H365" s="13"/>
    </row>
    <row r="366" spans="8:8" ht="12.75">
      <c r="H366" s="13"/>
    </row>
    <row r="367" spans="8:8" ht="12.75">
      <c r="H367" s="13"/>
    </row>
    <row r="368" spans="8:8" ht="12.75">
      <c r="H368" s="13"/>
    </row>
    <row r="369" spans="8:8" ht="12.75">
      <c r="H369" s="13"/>
    </row>
    <row r="370" spans="8:8" ht="12.75">
      <c r="H370" s="13"/>
    </row>
    <row r="371" spans="8:8" ht="12.75">
      <c r="H371" s="13"/>
    </row>
    <row r="372" spans="8:8" ht="12.75">
      <c r="H372" s="13"/>
    </row>
    <row r="373" spans="8:8" ht="12.75">
      <c r="H373" s="13"/>
    </row>
    <row r="374" spans="8:8" ht="12.75">
      <c r="H374" s="13"/>
    </row>
    <row r="375" spans="8:8" ht="12.75">
      <c r="H375" s="13"/>
    </row>
    <row r="376" spans="8:8" ht="12.75">
      <c r="H376" s="13"/>
    </row>
    <row r="377" spans="8:8" ht="12.75">
      <c r="H377" s="13"/>
    </row>
    <row r="378" spans="8:8" ht="12.75">
      <c r="H378" s="13"/>
    </row>
    <row r="379" spans="8:8" ht="12.75">
      <c r="H379" s="13"/>
    </row>
    <row r="380" spans="8:8" ht="12.75">
      <c r="H380" s="13"/>
    </row>
    <row r="381" spans="8:8" ht="12.75">
      <c r="H381" s="13"/>
    </row>
    <row r="382" spans="8:8" ht="12.75">
      <c r="H382" s="13"/>
    </row>
    <row r="383" spans="8:8" ht="12.75">
      <c r="H383" s="13"/>
    </row>
    <row r="384" spans="8:8" ht="12.75">
      <c r="H384" s="13"/>
    </row>
    <row r="385" spans="8:8" ht="12.75">
      <c r="H385" s="13"/>
    </row>
    <row r="386" spans="8:8" ht="12.75">
      <c r="H386" s="13"/>
    </row>
    <row r="387" spans="8:8" ht="12.75">
      <c r="H387" s="13"/>
    </row>
    <row r="388" spans="8:8" ht="12.75">
      <c r="H388" s="13"/>
    </row>
    <row r="389" spans="8:8" ht="12.75">
      <c r="H389" s="13"/>
    </row>
    <row r="390" spans="8:8" ht="12.75">
      <c r="H390" s="13"/>
    </row>
    <row r="391" spans="8:8" ht="12.75">
      <c r="H391" s="13"/>
    </row>
    <row r="392" spans="8:8" ht="12.75">
      <c r="H392" s="13"/>
    </row>
    <row r="393" spans="8:8" ht="12.75">
      <c r="H393" s="13"/>
    </row>
    <row r="394" spans="8:8" ht="12.75">
      <c r="H394" s="13"/>
    </row>
    <row r="395" spans="8:8" ht="12.75">
      <c r="H395" s="13"/>
    </row>
    <row r="396" spans="8:8" ht="12.75">
      <c r="H396" s="13"/>
    </row>
    <row r="397" spans="8:8" ht="12.75">
      <c r="H397" s="13"/>
    </row>
    <row r="398" spans="8:8" ht="12.75">
      <c r="H398" s="13"/>
    </row>
    <row r="399" spans="8:8" ht="12.75">
      <c r="H399" s="13"/>
    </row>
    <row r="400" spans="8:8" ht="12.75">
      <c r="H400" s="13"/>
    </row>
    <row r="401" spans="8:8" ht="12.75">
      <c r="H401" s="13"/>
    </row>
    <row r="402" spans="8:8" ht="12.75">
      <c r="H402" s="13"/>
    </row>
    <row r="403" spans="8:8" ht="12.75">
      <c r="H403" s="13"/>
    </row>
    <row r="404" spans="8:8" ht="12.75">
      <c r="H404" s="13"/>
    </row>
    <row r="405" spans="8:8" ht="12.75">
      <c r="H405" s="13"/>
    </row>
    <row r="406" spans="8:8" ht="12.75">
      <c r="H406" s="13"/>
    </row>
    <row r="407" spans="8:8" ht="12.75">
      <c r="H407" s="13"/>
    </row>
    <row r="408" spans="8:8" ht="12.75">
      <c r="H408" s="13"/>
    </row>
    <row r="409" spans="8:8" ht="12.75">
      <c r="H409" s="13"/>
    </row>
    <row r="410" spans="8:8" ht="12.75">
      <c r="H410" s="13"/>
    </row>
    <row r="411" spans="8:8" ht="12.75">
      <c r="H411" s="13"/>
    </row>
    <row r="412" spans="8:8" ht="12.75">
      <c r="H412" s="13"/>
    </row>
    <row r="413" spans="8:8" ht="12.75">
      <c r="H413" s="13"/>
    </row>
    <row r="414" spans="8:8" ht="12.75">
      <c r="H414" s="13"/>
    </row>
    <row r="415" spans="8:8" ht="12.75">
      <c r="H415" s="13"/>
    </row>
    <row r="416" spans="8:8" ht="12.75">
      <c r="H416" s="13"/>
    </row>
    <row r="417" spans="8:8" ht="12.75">
      <c r="H417" s="13"/>
    </row>
    <row r="418" spans="8:8" ht="12.75">
      <c r="H418" s="13"/>
    </row>
    <row r="419" spans="8:8" ht="12.75">
      <c r="H419" s="13"/>
    </row>
    <row r="420" spans="8:8" ht="12.75">
      <c r="H420" s="13"/>
    </row>
    <row r="421" spans="8:8" ht="12.75">
      <c r="H421" s="13"/>
    </row>
    <row r="422" spans="8:8" ht="12.75">
      <c r="H422" s="13"/>
    </row>
    <row r="423" spans="8:8" ht="12.75">
      <c r="H423" s="13"/>
    </row>
    <row r="424" spans="8:8" ht="12.75">
      <c r="H424" s="13"/>
    </row>
    <row r="425" spans="8:8" ht="12.75">
      <c r="H425" s="13"/>
    </row>
    <row r="426" spans="8:8" ht="12.75">
      <c r="H426" s="13"/>
    </row>
    <row r="427" spans="8:8" ht="12.75">
      <c r="H427" s="13"/>
    </row>
    <row r="428" spans="8:8" ht="12.75">
      <c r="H428" s="13"/>
    </row>
    <row r="429" spans="8:8" ht="12.75">
      <c r="H429" s="13"/>
    </row>
    <row r="430" spans="8:8" ht="12.75">
      <c r="H430" s="13"/>
    </row>
    <row r="431" spans="8:8" ht="12.75">
      <c r="H431" s="13"/>
    </row>
    <row r="432" spans="8:8" ht="12.75">
      <c r="H432" s="13"/>
    </row>
    <row r="433" spans="8:8" ht="12.75">
      <c r="H433" s="13"/>
    </row>
    <row r="434" spans="8:8" ht="12.75">
      <c r="H434" s="13"/>
    </row>
    <row r="435" spans="8:8" ht="12.75">
      <c r="H435" s="13"/>
    </row>
    <row r="436" spans="8:8" ht="12.75">
      <c r="H436" s="13"/>
    </row>
    <row r="437" spans="8:8" ht="12.75">
      <c r="H437" s="13"/>
    </row>
    <row r="438" spans="8:8" ht="12.75">
      <c r="H438" s="13"/>
    </row>
    <row r="439" spans="8:8" ht="12.75">
      <c r="H439" s="13"/>
    </row>
    <row r="440" spans="8:8" ht="12.75">
      <c r="H440" s="13"/>
    </row>
    <row r="441" spans="8:8" ht="12.75">
      <c r="H441" s="13"/>
    </row>
    <row r="442" spans="8:8" ht="12.75">
      <c r="H442" s="13"/>
    </row>
    <row r="443" spans="8:8" ht="12.75">
      <c r="H443" s="13"/>
    </row>
    <row r="444" spans="8:8" ht="12.75">
      <c r="H444" s="13"/>
    </row>
    <row r="445" spans="8:8" ht="12.75">
      <c r="H445" s="13"/>
    </row>
    <row r="446" spans="8:8" ht="12.75">
      <c r="H446" s="13"/>
    </row>
    <row r="447" spans="8:8" ht="12.75">
      <c r="H447" s="13"/>
    </row>
    <row r="448" spans="8:8" ht="12.75">
      <c r="H448" s="13"/>
    </row>
    <row r="449" spans="8:8" ht="12.75">
      <c r="H449" s="13"/>
    </row>
    <row r="450" spans="8:8" ht="12.75">
      <c r="H450" s="13"/>
    </row>
    <row r="451" spans="8:8" ht="12.75">
      <c r="H451" s="13"/>
    </row>
    <row r="452" spans="8:8" ht="12.75">
      <c r="H452" s="13"/>
    </row>
    <row r="453" spans="8:8" ht="12.75">
      <c r="H453" s="13"/>
    </row>
    <row r="454" spans="8:8" ht="12.75">
      <c r="H454" s="13"/>
    </row>
    <row r="455" spans="8:8" ht="12.75">
      <c r="H455" s="13"/>
    </row>
    <row r="456" spans="8:8" ht="12.75">
      <c r="H456" s="13"/>
    </row>
    <row r="457" spans="8:8" ht="12.75">
      <c r="H457" s="13"/>
    </row>
    <row r="458" spans="8:8" ht="12.75">
      <c r="H458" s="13"/>
    </row>
    <row r="459" spans="8:8" ht="12.75">
      <c r="H459" s="13"/>
    </row>
    <row r="460" spans="8:8" ht="12.75">
      <c r="H460" s="13"/>
    </row>
    <row r="461" spans="8:8" ht="12.75">
      <c r="H461" s="13"/>
    </row>
    <row r="462" spans="8:8" ht="12.75">
      <c r="H462" s="13"/>
    </row>
    <row r="463" spans="8:8" ht="12.75">
      <c r="H463" s="13"/>
    </row>
    <row r="464" spans="8:8" ht="12.75">
      <c r="H464" s="13"/>
    </row>
    <row r="465" spans="8:8" ht="12.75">
      <c r="H465" s="13"/>
    </row>
    <row r="466" spans="8:8" ht="12.75">
      <c r="H466" s="13"/>
    </row>
    <row r="467" spans="8:8" ht="12.75">
      <c r="H467" s="13"/>
    </row>
    <row r="468" spans="8:8" ht="12.75">
      <c r="H468" s="13"/>
    </row>
    <row r="469" spans="8:8" ht="12.75">
      <c r="H469" s="13"/>
    </row>
    <row r="470" spans="8:8" ht="12.75">
      <c r="H470" s="13"/>
    </row>
    <row r="471" spans="8:8" ht="12.75">
      <c r="H471" s="13"/>
    </row>
    <row r="472" spans="8:8" ht="12.75">
      <c r="H472" s="13"/>
    </row>
    <row r="473" spans="8:8" ht="12.75">
      <c r="H473" s="13"/>
    </row>
    <row r="474" spans="8:8" ht="12.75">
      <c r="H474" s="13"/>
    </row>
    <row r="475" spans="8:8" ht="12.75">
      <c r="H475" s="13"/>
    </row>
    <row r="476" spans="8:8" ht="12.75">
      <c r="H476" s="13"/>
    </row>
    <row r="477" spans="8:8" ht="12.75">
      <c r="H477" s="13"/>
    </row>
    <row r="478" spans="8:8" ht="12.75">
      <c r="H478" s="13"/>
    </row>
    <row r="479" spans="8:8" ht="12.75">
      <c r="H479" s="13"/>
    </row>
    <row r="480" spans="8:8" ht="12.75">
      <c r="H480" s="13"/>
    </row>
    <row r="481" spans="8:8" ht="12.75">
      <c r="H481" s="13"/>
    </row>
    <row r="482" spans="8:8" ht="12.75">
      <c r="H482" s="13"/>
    </row>
    <row r="483" spans="8:8" ht="12.75">
      <c r="H483" s="13"/>
    </row>
    <row r="484" spans="8:8" ht="12.75">
      <c r="H484" s="13"/>
    </row>
    <row r="485" spans="8:8" ht="12.75">
      <c r="H485" s="13"/>
    </row>
    <row r="486" spans="8:8" ht="12.75">
      <c r="H486" s="13"/>
    </row>
    <row r="487" spans="8:8" ht="12.75">
      <c r="H487" s="13"/>
    </row>
    <row r="488" spans="8:8" ht="12.75">
      <c r="H488" s="13"/>
    </row>
    <row r="489" spans="8:8" ht="12.75">
      <c r="H489" s="13"/>
    </row>
    <row r="490" spans="8:8" ht="12.75">
      <c r="H490" s="13"/>
    </row>
    <row r="491" spans="8:8" ht="12.75">
      <c r="H491" s="13"/>
    </row>
    <row r="492" spans="8:8" ht="12.75">
      <c r="H492" s="13"/>
    </row>
    <row r="493" spans="8:8" ht="12.75">
      <c r="H493" s="13"/>
    </row>
    <row r="494" spans="8:8" ht="12.75">
      <c r="H494" s="13"/>
    </row>
    <row r="495" spans="8:8" ht="12.75">
      <c r="H495" s="13"/>
    </row>
    <row r="496" spans="8:8" ht="12.75">
      <c r="H496" s="13"/>
    </row>
    <row r="497" spans="8:8" ht="12.75">
      <c r="H497" s="13"/>
    </row>
    <row r="498" spans="8:8" ht="12.75">
      <c r="H498" s="13"/>
    </row>
    <row r="499" spans="8:8" ht="12.75">
      <c r="H499" s="13"/>
    </row>
    <row r="500" spans="8:8" ht="12.75">
      <c r="H500" s="13"/>
    </row>
    <row r="501" spans="8:8" ht="12.75">
      <c r="H501" s="13"/>
    </row>
    <row r="502" spans="8:8" ht="12.75">
      <c r="H502" s="13"/>
    </row>
    <row r="503" spans="8:8" ht="12.75">
      <c r="H503" s="13"/>
    </row>
    <row r="504" spans="8:8" ht="12.75">
      <c r="H504" s="13"/>
    </row>
    <row r="505" spans="8:8" ht="12.75">
      <c r="H505" s="13"/>
    </row>
    <row r="506" spans="8:8" ht="12.75">
      <c r="H506" s="13"/>
    </row>
    <row r="507" spans="8:8" ht="12.75">
      <c r="H507" s="13"/>
    </row>
    <row r="508" spans="8:8" ht="12.75">
      <c r="H508" s="13"/>
    </row>
    <row r="509" spans="8:8" ht="12.75">
      <c r="H509" s="13"/>
    </row>
    <row r="510" spans="8:8" ht="12.75">
      <c r="H510" s="13"/>
    </row>
    <row r="511" spans="8:8" ht="12.75">
      <c r="H511" s="13"/>
    </row>
    <row r="512" spans="8:8" ht="12.75">
      <c r="H512" s="13"/>
    </row>
    <row r="513" spans="8:8" ht="12.75">
      <c r="H513" s="13"/>
    </row>
    <row r="514" spans="8:8" ht="12.75">
      <c r="H514" s="13"/>
    </row>
    <row r="515" spans="8:8" ht="12.75">
      <c r="H515" s="13"/>
    </row>
    <row r="516" spans="8:8" ht="12.75">
      <c r="H516" s="13"/>
    </row>
    <row r="517" spans="8:8" ht="12.75">
      <c r="H517" s="13"/>
    </row>
    <row r="518" spans="8:8" ht="12.75">
      <c r="H518" s="13"/>
    </row>
    <row r="519" spans="8:8" ht="12.75">
      <c r="H519" s="13"/>
    </row>
    <row r="520" spans="8:8" ht="12.75">
      <c r="H520" s="13"/>
    </row>
    <row r="521" spans="8:8" ht="12.75">
      <c r="H521" s="13"/>
    </row>
    <row r="522" spans="8:8" ht="12.75">
      <c r="H522" s="13"/>
    </row>
    <row r="523" spans="8:8" ht="12.75">
      <c r="H523" s="13"/>
    </row>
    <row r="524" spans="8:8" ht="12.75">
      <c r="H524" s="13"/>
    </row>
    <row r="525" spans="8:8" ht="12.75">
      <c r="H525" s="13"/>
    </row>
    <row r="526" spans="8:8" ht="12.75">
      <c r="H526" s="13"/>
    </row>
    <row r="527" spans="8:8" ht="12.75">
      <c r="H527" s="13"/>
    </row>
    <row r="528" spans="8:8" ht="12.75">
      <c r="H528" s="13"/>
    </row>
    <row r="529" spans="8:8" ht="12.75">
      <c r="H529" s="13"/>
    </row>
    <row r="530" spans="8:8" ht="12.75">
      <c r="H530" s="13"/>
    </row>
    <row r="531" spans="8:8" ht="12.75">
      <c r="H531" s="13"/>
    </row>
    <row r="532" spans="8:8" ht="12.75">
      <c r="H532" s="13"/>
    </row>
    <row r="533" spans="8:8" ht="12.75">
      <c r="H533" s="13"/>
    </row>
    <row r="534" spans="8:8" ht="12.75">
      <c r="H534" s="13"/>
    </row>
    <row r="535" spans="8:8" ht="12.75">
      <c r="H535" s="13"/>
    </row>
    <row r="536" spans="8:8" ht="12.75">
      <c r="H536" s="13"/>
    </row>
    <row r="537" spans="8:8" ht="12.75">
      <c r="H537" s="13"/>
    </row>
    <row r="538" spans="8:8" ht="12.75">
      <c r="H538" s="13"/>
    </row>
    <row r="539" spans="8:8" ht="12.75">
      <c r="H539" s="13"/>
    </row>
    <row r="540" spans="8:8" ht="12.75">
      <c r="H540" s="13"/>
    </row>
    <row r="541" spans="8:8" ht="12.75">
      <c r="H541" s="13"/>
    </row>
    <row r="542" spans="8:8" ht="12.75">
      <c r="H542" s="13"/>
    </row>
    <row r="543" spans="8:8" ht="12.75">
      <c r="H543" s="13"/>
    </row>
    <row r="544" spans="8:8" ht="12.75">
      <c r="H544" s="13"/>
    </row>
    <row r="545" spans="8:8" ht="12.75">
      <c r="H545" s="13"/>
    </row>
    <row r="546" spans="8:8" ht="12.75">
      <c r="H546" s="13"/>
    </row>
    <row r="547" spans="8:8" ht="12.75">
      <c r="H547" s="13"/>
    </row>
    <row r="548" spans="8:8" ht="12.75">
      <c r="H548" s="13"/>
    </row>
    <row r="549" spans="8:8" ht="12.75">
      <c r="H549" s="13"/>
    </row>
    <row r="550" spans="8:8" ht="12.75">
      <c r="H550" s="13"/>
    </row>
    <row r="551" spans="8:8" ht="12.75">
      <c r="H551" s="13"/>
    </row>
    <row r="552" spans="8:8" ht="12.75">
      <c r="H552" s="13"/>
    </row>
    <row r="553" spans="8:8" ht="12.75">
      <c r="H553" s="13"/>
    </row>
    <row r="554" spans="8:8" ht="12.75">
      <c r="H554" s="13"/>
    </row>
    <row r="555" spans="8:8" ht="12.75">
      <c r="H555" s="13"/>
    </row>
    <row r="556" spans="8:8" ht="12.75">
      <c r="H556" s="13"/>
    </row>
    <row r="557" spans="8:8" ht="12.75">
      <c r="H557" s="13"/>
    </row>
    <row r="558" spans="8:8" ht="12.75">
      <c r="H558" s="13"/>
    </row>
    <row r="559" spans="8:8" ht="12.75">
      <c r="H559" s="13"/>
    </row>
    <row r="560" spans="8:8" ht="12.75">
      <c r="H560" s="13"/>
    </row>
    <row r="561" spans="8:8" ht="12.75">
      <c r="H561" s="13"/>
    </row>
    <row r="562" spans="8:8" ht="12.75">
      <c r="H562" s="13"/>
    </row>
    <row r="563" spans="8:8" ht="12.75">
      <c r="H563" s="13"/>
    </row>
    <row r="564" spans="8:8" ht="12.75">
      <c r="H564" s="13"/>
    </row>
    <row r="565" spans="8:8" ht="12.75">
      <c r="H565" s="13"/>
    </row>
    <row r="566" spans="8:8" ht="12.75">
      <c r="H566" s="13"/>
    </row>
    <row r="567" spans="8:8" ht="12.75">
      <c r="H567" s="13"/>
    </row>
    <row r="568" spans="8:8" ht="12.75">
      <c r="H568" s="13"/>
    </row>
    <row r="569" spans="8:8" ht="12.75">
      <c r="H569" s="13"/>
    </row>
    <row r="570" spans="8:8" ht="12.75">
      <c r="H570" s="13"/>
    </row>
    <row r="571" spans="8:8" ht="12.75">
      <c r="H571" s="13"/>
    </row>
    <row r="572" spans="8:8" ht="12.75">
      <c r="H572" s="13"/>
    </row>
    <row r="573" spans="8:8" ht="12.75">
      <c r="H573" s="13"/>
    </row>
    <row r="574" spans="8:8" ht="12.75">
      <c r="H574" s="13"/>
    </row>
    <row r="575" spans="8:8" ht="12.75">
      <c r="H575" s="13"/>
    </row>
    <row r="576" spans="8:8" ht="12.75">
      <c r="H576" s="13"/>
    </row>
    <row r="577" spans="8:8" ht="12.75">
      <c r="H577" s="13"/>
    </row>
    <row r="578" spans="8:8" ht="12.75">
      <c r="H578" s="13"/>
    </row>
    <row r="579" spans="8:8" ht="12.75">
      <c r="H579" s="13"/>
    </row>
    <row r="580" spans="8:8" ht="12.75">
      <c r="H580" s="13"/>
    </row>
    <row r="581" spans="8:8" ht="12.75">
      <c r="H581" s="13"/>
    </row>
    <row r="582" spans="8:8" ht="12.75">
      <c r="H582" s="13"/>
    </row>
    <row r="583" spans="8:8" ht="12.75">
      <c r="H583" s="13"/>
    </row>
    <row r="584" spans="8:8" ht="12.75">
      <c r="H584" s="13"/>
    </row>
    <row r="585" spans="8:8" ht="12.75">
      <c r="H585" s="13"/>
    </row>
    <row r="586" spans="8:8" ht="12.75">
      <c r="H586" s="13"/>
    </row>
    <row r="587" spans="8:8" ht="12.75">
      <c r="H587" s="13"/>
    </row>
    <row r="588" spans="8:8" ht="12.75">
      <c r="H588" s="13"/>
    </row>
    <row r="589" spans="8:8" ht="12.75">
      <c r="H589" s="13"/>
    </row>
    <row r="590" spans="8:8" ht="12.75">
      <c r="H590" s="13"/>
    </row>
    <row r="591" spans="8:8" ht="12.75">
      <c r="H591" s="13"/>
    </row>
    <row r="592" spans="8:8" ht="12.75">
      <c r="H592" s="13"/>
    </row>
    <row r="593" spans="8:8" ht="12.75">
      <c r="H593" s="13"/>
    </row>
    <row r="594" spans="8:8" ht="12.75">
      <c r="H594" s="13"/>
    </row>
    <row r="595" spans="8:8" ht="12.75">
      <c r="H595" s="13"/>
    </row>
    <row r="596" spans="8:8" ht="12.75">
      <c r="H596" s="13"/>
    </row>
    <row r="597" spans="8:8" ht="12.75">
      <c r="H597" s="13"/>
    </row>
    <row r="598" spans="8:8" ht="12.75">
      <c r="H598" s="13"/>
    </row>
    <row r="599" spans="8:8" ht="12.75">
      <c r="H599" s="13"/>
    </row>
    <row r="600" spans="8:8" ht="12.75">
      <c r="H600" s="13"/>
    </row>
    <row r="601" spans="8:8" ht="12.75">
      <c r="H601" s="13"/>
    </row>
    <row r="602" spans="8:8" ht="12.75">
      <c r="H602" s="13"/>
    </row>
    <row r="603" spans="8:8" ht="12.75">
      <c r="H603" s="13"/>
    </row>
    <row r="604" spans="8:8" ht="12.75">
      <c r="H604" s="13"/>
    </row>
    <row r="605" spans="8:8" ht="12.75">
      <c r="H605" s="13"/>
    </row>
    <row r="606" spans="8:8" ht="12.75">
      <c r="H606" s="13"/>
    </row>
    <row r="607" spans="8:8" ht="12.75">
      <c r="H607" s="13"/>
    </row>
    <row r="608" spans="8:8" ht="12.75">
      <c r="H608" s="13"/>
    </row>
    <row r="609" spans="8:8" ht="12.75">
      <c r="H609" s="13"/>
    </row>
    <row r="610" spans="8:8" ht="12.75">
      <c r="H610" s="13"/>
    </row>
    <row r="611" spans="8:8" ht="12.75">
      <c r="H611" s="13"/>
    </row>
    <row r="612" spans="8:8" ht="12.75">
      <c r="H612" s="13"/>
    </row>
    <row r="613" spans="8:8" ht="12.75">
      <c r="H613" s="13"/>
    </row>
    <row r="614" spans="8:8" ht="12.75">
      <c r="H614" s="13"/>
    </row>
    <row r="615" spans="8:8" ht="12.75">
      <c r="H615" s="13"/>
    </row>
    <row r="616" spans="8:8" ht="12.75">
      <c r="H616" s="13"/>
    </row>
    <row r="617" spans="8:8" ht="12.75">
      <c r="H617" s="13"/>
    </row>
    <row r="618" spans="8:8" ht="12.75">
      <c r="H618" s="13"/>
    </row>
    <row r="619" spans="8:8" ht="12.75">
      <c r="H619" s="13"/>
    </row>
    <row r="620" spans="8:8" ht="12.75">
      <c r="H620" s="13"/>
    </row>
    <row r="621" spans="8:8" ht="12.75">
      <c r="H621" s="13"/>
    </row>
    <row r="622" spans="8:8" ht="12.75">
      <c r="H622" s="13"/>
    </row>
    <row r="623" spans="8:8" ht="12.75">
      <c r="H623" s="13"/>
    </row>
    <row r="624" spans="8:8" ht="12.75">
      <c r="H624" s="13"/>
    </row>
    <row r="625" spans="8:8" ht="12.75">
      <c r="H625" s="13"/>
    </row>
    <row r="626" spans="8:8" ht="12.75">
      <c r="H626" s="13"/>
    </row>
    <row r="627" spans="8:8" ht="12.75">
      <c r="H627" s="13"/>
    </row>
    <row r="628" spans="8:8" ht="12.75">
      <c r="H628" s="13"/>
    </row>
    <row r="629" spans="8:8" ht="12.75">
      <c r="H629" s="13"/>
    </row>
    <row r="630" spans="8:8" ht="12.75">
      <c r="H630" s="13"/>
    </row>
    <row r="631" spans="8:8" ht="12.75">
      <c r="H631" s="13"/>
    </row>
    <row r="632" spans="8:8" ht="12.75">
      <c r="H632" s="13"/>
    </row>
    <row r="633" spans="8:8" ht="12.75">
      <c r="H633" s="13"/>
    </row>
    <row r="634" spans="8:8" ht="12.75">
      <c r="H634" s="13"/>
    </row>
    <row r="635" spans="8:8" ht="12.75">
      <c r="H635" s="13"/>
    </row>
    <row r="636" spans="8:8" ht="12.75">
      <c r="H636" s="13"/>
    </row>
    <row r="637" spans="8:8" ht="12.75">
      <c r="H637" s="13"/>
    </row>
    <row r="638" spans="8:8" ht="12.75">
      <c r="H638" s="13"/>
    </row>
    <row r="639" spans="8:8" ht="12.75">
      <c r="H639" s="13"/>
    </row>
    <row r="640" spans="8:8" ht="12.75">
      <c r="H640" s="13"/>
    </row>
    <row r="641" spans="8:8" ht="12.75">
      <c r="H641" s="13"/>
    </row>
    <row r="642" spans="8:8" ht="12.75">
      <c r="H642" s="13"/>
    </row>
    <row r="643" spans="8:8" ht="12.75">
      <c r="H643" s="13"/>
    </row>
    <row r="644" spans="8:8" ht="12.75">
      <c r="H644" s="13"/>
    </row>
    <row r="645" spans="8:8" ht="12.75">
      <c r="H645" s="13"/>
    </row>
    <row r="646" spans="8:8" ht="12.75">
      <c r="H646" s="13"/>
    </row>
    <row r="647" spans="8:8" ht="12.75">
      <c r="H647" s="13"/>
    </row>
    <row r="648" spans="8:8" ht="12.75">
      <c r="H648" s="13"/>
    </row>
    <row r="649" spans="8:8" ht="12.75">
      <c r="H649" s="13"/>
    </row>
    <row r="650" spans="8:8" ht="12.75">
      <c r="H650" s="13"/>
    </row>
    <row r="651" spans="8:8" ht="12.75">
      <c r="H651" s="13"/>
    </row>
    <row r="652" spans="8:8" ht="12.75">
      <c r="H652" s="13"/>
    </row>
    <row r="653" spans="8:8" ht="12.75">
      <c r="H653" s="13"/>
    </row>
    <row r="654" spans="8:8" ht="12.75">
      <c r="H654" s="13"/>
    </row>
    <row r="655" spans="8:8" ht="12.75">
      <c r="H655" s="13"/>
    </row>
    <row r="656" spans="8:8" ht="12.75">
      <c r="H656" s="13"/>
    </row>
    <row r="657" spans="8:8" ht="12.75">
      <c r="H657" s="13"/>
    </row>
    <row r="658" spans="8:8" ht="12.75">
      <c r="H658" s="13"/>
    </row>
    <row r="659" spans="8:8" ht="12.75">
      <c r="H659" s="13"/>
    </row>
    <row r="660" spans="8:8" ht="12.75">
      <c r="H660" s="13"/>
    </row>
    <row r="661" spans="8:8" ht="12.75">
      <c r="H661" s="13"/>
    </row>
    <row r="662" spans="8:8" ht="12.75">
      <c r="H662" s="13"/>
    </row>
    <row r="663" spans="8:8" ht="12.75">
      <c r="H663" s="13"/>
    </row>
    <row r="664" spans="8:8" ht="12.75">
      <c r="H664" s="13"/>
    </row>
    <row r="665" spans="8:8" ht="12.75">
      <c r="H665" s="13"/>
    </row>
    <row r="666" spans="8:8" ht="12.75">
      <c r="H666" s="13"/>
    </row>
    <row r="667" spans="8:8" ht="12.75">
      <c r="H667" s="13"/>
    </row>
    <row r="668" spans="8:8" ht="12.75">
      <c r="H668" s="13"/>
    </row>
    <row r="669" spans="8:8" ht="12.75">
      <c r="H669" s="13"/>
    </row>
    <row r="670" spans="8:8" ht="12.75">
      <c r="H670" s="13"/>
    </row>
    <row r="671" spans="8:8" ht="12.75">
      <c r="H671" s="13"/>
    </row>
    <row r="672" spans="8:8" ht="12.75">
      <c r="H672" s="13"/>
    </row>
    <row r="673" spans="8:8" ht="12.75">
      <c r="H673" s="13"/>
    </row>
    <row r="674" spans="8:8" ht="12.75">
      <c r="H674" s="13"/>
    </row>
    <row r="675" spans="8:8" ht="12.75">
      <c r="H675" s="13"/>
    </row>
    <row r="676" spans="8:8" ht="12.75">
      <c r="H676" s="13"/>
    </row>
    <row r="677" spans="8:8" ht="12.75">
      <c r="H677" s="13"/>
    </row>
    <row r="678" spans="8:8" ht="12.75">
      <c r="H678" s="13"/>
    </row>
    <row r="679" spans="8:8" ht="12.75">
      <c r="H679" s="13"/>
    </row>
    <row r="680" spans="8:8" ht="12.75">
      <c r="H680" s="13"/>
    </row>
    <row r="681" spans="8:8" ht="12.75">
      <c r="H681" s="13"/>
    </row>
    <row r="682" spans="8:8" ht="12.75">
      <c r="H682" s="13"/>
    </row>
    <row r="683" spans="8:8" ht="12.75">
      <c r="H683" s="13"/>
    </row>
    <row r="684" spans="8:8" ht="12.75">
      <c r="H684" s="13"/>
    </row>
    <row r="685" spans="8:8" ht="12.75">
      <c r="H685" s="13"/>
    </row>
    <row r="686" spans="8:8" ht="12.75">
      <c r="H686" s="13"/>
    </row>
    <row r="687" spans="8:8" ht="12.75">
      <c r="H687" s="13"/>
    </row>
    <row r="688" spans="8:8" ht="12.75">
      <c r="H688" s="13"/>
    </row>
    <row r="689" spans="8:8" ht="12.75">
      <c r="H689" s="13"/>
    </row>
    <row r="690" spans="8:8" ht="12.75">
      <c r="H690" s="13"/>
    </row>
    <row r="691" spans="8:8" ht="12.75">
      <c r="H691" s="13"/>
    </row>
    <row r="692" spans="8:8" ht="12.75">
      <c r="H692" s="13"/>
    </row>
    <row r="693" spans="8:8" ht="12.75">
      <c r="H693" s="13"/>
    </row>
    <row r="694" spans="8:8" ht="12.75">
      <c r="H694" s="13"/>
    </row>
    <row r="695" spans="8:8" ht="12.75">
      <c r="H695" s="13"/>
    </row>
    <row r="696" spans="8:8" ht="12.75">
      <c r="H696" s="13"/>
    </row>
    <row r="697" spans="8:8" ht="12.75">
      <c r="H697" s="13"/>
    </row>
    <row r="698" spans="8:8" ht="12.75">
      <c r="H698" s="13"/>
    </row>
    <row r="699" spans="8:8" ht="12.75">
      <c r="H699" s="13"/>
    </row>
    <row r="700" spans="8:8" ht="12.75">
      <c r="H700" s="13"/>
    </row>
    <row r="701" spans="8:8" ht="12.75">
      <c r="H701" s="13"/>
    </row>
    <row r="702" spans="8:8" ht="12.75">
      <c r="H702" s="13"/>
    </row>
    <row r="703" spans="8:8" ht="12.75">
      <c r="H703" s="13"/>
    </row>
    <row r="704" spans="8:8" ht="12.75">
      <c r="H704" s="13"/>
    </row>
    <row r="705" spans="8:8" ht="12.75">
      <c r="H705" s="13"/>
    </row>
    <row r="706" spans="8:8" ht="12.75">
      <c r="H706" s="13"/>
    </row>
    <row r="707" spans="8:8" ht="12.75">
      <c r="H707" s="13"/>
    </row>
    <row r="708" spans="8:8" ht="12.75">
      <c r="H708" s="13"/>
    </row>
    <row r="709" spans="8:8" ht="12.75">
      <c r="H709" s="13"/>
    </row>
    <row r="710" spans="8:8" ht="12.75">
      <c r="H710" s="13"/>
    </row>
    <row r="711" spans="8:8" ht="12.75">
      <c r="H711" s="13"/>
    </row>
    <row r="712" spans="8:8" ht="12.75">
      <c r="H712" s="13"/>
    </row>
    <row r="713" spans="8:8" ht="12.75">
      <c r="H713" s="13"/>
    </row>
    <row r="714" spans="8:8" ht="12.75">
      <c r="H714" s="13"/>
    </row>
    <row r="715" spans="8:8" ht="12.75">
      <c r="H715" s="13"/>
    </row>
    <row r="716" spans="8:8" ht="12.75">
      <c r="H716" s="13"/>
    </row>
    <row r="717" spans="8:8" ht="12.75">
      <c r="H717" s="13"/>
    </row>
    <row r="718" spans="8:8" ht="12.75">
      <c r="H718" s="13"/>
    </row>
    <row r="719" spans="8:8" ht="12.75">
      <c r="H719" s="13"/>
    </row>
    <row r="720" spans="8:8" ht="12.75">
      <c r="H720" s="13"/>
    </row>
    <row r="721" spans="8:8" ht="12.75">
      <c r="H721" s="13"/>
    </row>
    <row r="722" spans="8:8" ht="12.75">
      <c r="H722" s="13"/>
    </row>
    <row r="723" spans="8:8" ht="12.75">
      <c r="H723" s="13"/>
    </row>
    <row r="724" spans="8:8" ht="12.75">
      <c r="H724" s="13"/>
    </row>
    <row r="725" spans="8:8" ht="12.75">
      <c r="H725" s="13"/>
    </row>
    <row r="726" spans="8:8" ht="12.75">
      <c r="H726" s="13"/>
    </row>
    <row r="727" spans="8:8" ht="12.75">
      <c r="H727" s="13"/>
    </row>
    <row r="728" spans="8:8" ht="12.75">
      <c r="H728" s="13"/>
    </row>
    <row r="729" spans="8:8" ht="12.75">
      <c r="H729" s="13"/>
    </row>
    <row r="730" spans="8:8" ht="12.75">
      <c r="H730" s="13"/>
    </row>
    <row r="731" spans="8:8" ht="12.75">
      <c r="H731" s="13"/>
    </row>
    <row r="732" spans="8:8" ht="12.75">
      <c r="H732" s="13"/>
    </row>
    <row r="733" spans="8:8" ht="12.75">
      <c r="H733" s="13"/>
    </row>
    <row r="734" spans="8:8" ht="12.75">
      <c r="H734" s="13"/>
    </row>
    <row r="735" spans="8:8" ht="12.75">
      <c r="H735" s="13"/>
    </row>
    <row r="736" spans="8:8" ht="12.75">
      <c r="H736" s="13"/>
    </row>
    <row r="737" spans="8:8" ht="12.75">
      <c r="H737" s="13"/>
    </row>
    <row r="738" spans="8:8" ht="12.75">
      <c r="H738" s="13"/>
    </row>
    <row r="739" spans="8:8" ht="12.75">
      <c r="H739" s="13"/>
    </row>
    <row r="740" spans="8:8" ht="12.75">
      <c r="H740" s="13"/>
    </row>
    <row r="741" spans="8:8" ht="12.75">
      <c r="H741" s="13"/>
    </row>
    <row r="742" spans="8:8" ht="12.75">
      <c r="H742" s="13"/>
    </row>
    <row r="743" spans="8:8" ht="12.75">
      <c r="H743" s="13"/>
    </row>
    <row r="744" spans="8:8" ht="12.75">
      <c r="H744" s="13"/>
    </row>
    <row r="745" spans="8:8" ht="12.75">
      <c r="H745" s="13"/>
    </row>
    <row r="746" spans="8:8" ht="12.75">
      <c r="H746" s="13"/>
    </row>
    <row r="747" spans="8:8" ht="12.75">
      <c r="H747" s="13"/>
    </row>
    <row r="748" spans="8:8" ht="12.75">
      <c r="H748" s="13"/>
    </row>
    <row r="749" spans="8:8" ht="12.75">
      <c r="H749" s="13"/>
    </row>
    <row r="750" spans="8:8" ht="12.75">
      <c r="H750" s="13"/>
    </row>
    <row r="751" spans="8:8" ht="12.75">
      <c r="H751" s="13"/>
    </row>
    <row r="752" spans="8:8" ht="12.75">
      <c r="H752" s="13"/>
    </row>
    <row r="753" spans="8:8" ht="12.75">
      <c r="H753" s="13"/>
    </row>
    <row r="754" spans="8:8" ht="12.75">
      <c r="H754" s="13"/>
    </row>
    <row r="755" spans="8:8" ht="12.75">
      <c r="H755" s="13"/>
    </row>
    <row r="756" spans="8:8" ht="12.75">
      <c r="H756" s="13"/>
    </row>
    <row r="757" spans="8:8" ht="12.75">
      <c r="H757" s="13"/>
    </row>
    <row r="758" spans="8:8" ht="12.75">
      <c r="H758" s="13"/>
    </row>
    <row r="759" spans="8:8" ht="12.75">
      <c r="H759" s="13"/>
    </row>
    <row r="760" spans="8:8" ht="12.75">
      <c r="H760" s="13"/>
    </row>
    <row r="761" spans="8:8" ht="12.75">
      <c r="H761" s="13"/>
    </row>
    <row r="762" spans="8:8" ht="12.75">
      <c r="H762" s="13"/>
    </row>
    <row r="763" spans="8:8" ht="12.75">
      <c r="H763" s="13"/>
    </row>
    <row r="764" spans="8:8" ht="12.75">
      <c r="H764" s="13"/>
    </row>
    <row r="765" spans="8:8" ht="12.75">
      <c r="H765" s="13"/>
    </row>
    <row r="766" spans="8:8" ht="12.75">
      <c r="H766" s="13"/>
    </row>
    <row r="767" spans="8:8" ht="12.75">
      <c r="H767" s="13"/>
    </row>
    <row r="768" spans="8:8" ht="12.75">
      <c r="H768" s="13"/>
    </row>
    <row r="769" spans="8:8" ht="12.75">
      <c r="H769" s="13"/>
    </row>
    <row r="770" spans="8:8" ht="12.75">
      <c r="H770" s="13"/>
    </row>
    <row r="771" spans="8:8" ht="12.75">
      <c r="H771" s="13"/>
    </row>
    <row r="772" spans="8:8" ht="12.75">
      <c r="H772" s="13"/>
    </row>
    <row r="773" spans="8:8" ht="12.75">
      <c r="H773" s="13"/>
    </row>
    <row r="774" spans="8:8" ht="12.75">
      <c r="H774" s="13"/>
    </row>
    <row r="775" spans="8:8" ht="12.75">
      <c r="H775" s="13"/>
    </row>
    <row r="776" spans="8:8" ht="12.75">
      <c r="H776" s="13"/>
    </row>
    <row r="777" spans="8:8" ht="12.75">
      <c r="H777" s="13"/>
    </row>
    <row r="778" spans="8:8" ht="12.75">
      <c r="H778" s="13"/>
    </row>
    <row r="779" spans="8:8" ht="12.75">
      <c r="H779" s="13"/>
    </row>
    <row r="780" spans="8:8" ht="12.75">
      <c r="H780" s="13"/>
    </row>
    <row r="781" spans="8:8" ht="12.75">
      <c r="H781" s="13"/>
    </row>
    <row r="782" spans="8:8" ht="12.75">
      <c r="H782" s="13"/>
    </row>
    <row r="783" spans="8:8" ht="12.75">
      <c r="H783" s="13"/>
    </row>
    <row r="784" spans="8:8" ht="12.75">
      <c r="H784" s="13"/>
    </row>
    <row r="785" spans="8:8" ht="12.75">
      <c r="H785" s="13"/>
    </row>
    <row r="786" spans="8:8" ht="12.75">
      <c r="H786" s="13"/>
    </row>
    <row r="787" spans="8:8" ht="12.75">
      <c r="H787" s="13"/>
    </row>
    <row r="788" spans="8:8" ht="12.75">
      <c r="H788" s="13"/>
    </row>
    <row r="789" spans="8:8" ht="12.75">
      <c r="H789" s="13"/>
    </row>
    <row r="790" spans="8:8" ht="12.75">
      <c r="H790" s="13"/>
    </row>
    <row r="791" spans="8:8" ht="12.75">
      <c r="H791" s="13"/>
    </row>
    <row r="792" spans="8:8" ht="12.75">
      <c r="H792" s="13"/>
    </row>
    <row r="793" spans="8:8" ht="12.75">
      <c r="H793" s="13"/>
    </row>
    <row r="794" spans="8:8" ht="12.75">
      <c r="H794" s="13"/>
    </row>
    <row r="795" spans="8:8" ht="12.75">
      <c r="H795" s="13"/>
    </row>
    <row r="796" spans="8:8" ht="12.75">
      <c r="H796" s="13"/>
    </row>
    <row r="797" spans="8:8" ht="12.75">
      <c r="H797" s="13"/>
    </row>
    <row r="798" spans="8:8" ht="12.75">
      <c r="H798" s="13"/>
    </row>
    <row r="799" spans="8:8" ht="12.75">
      <c r="H799" s="13"/>
    </row>
    <row r="800" spans="8:8" ht="12.75">
      <c r="H800" s="13"/>
    </row>
    <row r="801" spans="8:8" ht="12.75">
      <c r="H801" s="13"/>
    </row>
    <row r="802" spans="8:8" ht="12.75">
      <c r="H802" s="13"/>
    </row>
    <row r="803" spans="8:8" ht="12.75">
      <c r="H803" s="13"/>
    </row>
    <row r="804" spans="8:8" ht="12.75">
      <c r="H804" s="13"/>
    </row>
    <row r="805" spans="8:8" ht="12.75">
      <c r="H805" s="13"/>
    </row>
    <row r="806" spans="8:8" ht="12.75">
      <c r="H806" s="13"/>
    </row>
    <row r="807" spans="8:8" ht="12.75">
      <c r="H807" s="13"/>
    </row>
    <row r="808" spans="8:8" ht="12.75">
      <c r="H808" s="13"/>
    </row>
    <row r="809" spans="8:8" ht="12.75">
      <c r="H809" s="13"/>
    </row>
    <row r="810" spans="8:8" ht="12.75">
      <c r="H810" s="13"/>
    </row>
    <row r="811" spans="8:8" ht="12.75">
      <c r="H811" s="13"/>
    </row>
    <row r="812" spans="8:8" ht="12.75">
      <c r="H812" s="13"/>
    </row>
    <row r="813" spans="8:8" ht="12.75">
      <c r="H813" s="13"/>
    </row>
    <row r="814" spans="8:8" ht="12.75">
      <c r="H814" s="13"/>
    </row>
    <row r="815" spans="8:8" ht="12.75">
      <c r="H815" s="13"/>
    </row>
    <row r="816" spans="8:8" ht="12.75">
      <c r="H816" s="13"/>
    </row>
    <row r="817" spans="8:8" ht="12.75">
      <c r="H817" s="13"/>
    </row>
    <row r="818" spans="8:8" ht="12.75">
      <c r="H818" s="13"/>
    </row>
    <row r="819" spans="8:8" ht="12.75">
      <c r="H819" s="13"/>
    </row>
    <row r="820" spans="8:8" ht="12.75">
      <c r="H820" s="13"/>
    </row>
    <row r="821" spans="8:8" ht="12.75">
      <c r="H821" s="13"/>
    </row>
    <row r="822" spans="8:8" ht="12.75">
      <c r="H822" s="13"/>
    </row>
    <row r="823" spans="8:8" ht="12.75">
      <c r="H823" s="13"/>
    </row>
    <row r="824" spans="8:8" ht="12.75">
      <c r="H824" s="13"/>
    </row>
    <row r="825" spans="8:8" ht="12.75">
      <c r="H825" s="13"/>
    </row>
    <row r="826" spans="8:8" ht="12.75">
      <c r="H826" s="13"/>
    </row>
    <row r="827" spans="8:8" ht="12.75">
      <c r="H827" s="13"/>
    </row>
    <row r="828" spans="8:8" ht="12.75">
      <c r="H828" s="13"/>
    </row>
    <row r="829" spans="8:8" ht="12.75">
      <c r="H829" s="13"/>
    </row>
    <row r="830" spans="8:8" ht="12.75">
      <c r="H830" s="13"/>
    </row>
    <row r="831" spans="8:8" ht="12.75">
      <c r="H831" s="13"/>
    </row>
    <row r="832" spans="8:8" ht="12.75">
      <c r="H832" s="13"/>
    </row>
    <row r="833" spans="8:8" ht="12.75">
      <c r="H833" s="13"/>
    </row>
    <row r="834" spans="8:8" ht="12.75">
      <c r="H834" s="13"/>
    </row>
    <row r="835" spans="8:8" ht="12.75">
      <c r="H835" s="13"/>
    </row>
    <row r="836" spans="8:8" ht="12.75">
      <c r="H836" s="13"/>
    </row>
    <row r="837" spans="8:8" ht="12.75">
      <c r="H837" s="13"/>
    </row>
    <row r="838" spans="8:8" ht="12.75">
      <c r="H838" s="13"/>
    </row>
    <row r="839" spans="8:8" ht="12.75">
      <c r="H839" s="13"/>
    </row>
    <row r="840" spans="8:8" ht="12.75">
      <c r="H840" s="13"/>
    </row>
    <row r="841" spans="8:8" ht="12.75">
      <c r="H841" s="13"/>
    </row>
    <row r="842" spans="8:8" ht="12.75">
      <c r="H842" s="13"/>
    </row>
    <row r="843" spans="8:8" ht="12.75">
      <c r="H843" s="13"/>
    </row>
    <row r="844" spans="8:8" ht="12.75">
      <c r="H844" s="13"/>
    </row>
    <row r="845" spans="8:8" ht="12.75">
      <c r="H845" s="13"/>
    </row>
    <row r="846" spans="8:8" ht="12.75">
      <c r="H846" s="13"/>
    </row>
    <row r="847" spans="8:8" ht="12.75">
      <c r="H847" s="13"/>
    </row>
    <row r="848" spans="8:8" ht="12.75">
      <c r="H848" s="13"/>
    </row>
    <row r="849" spans="8:8" ht="12.75">
      <c r="H849" s="13"/>
    </row>
    <row r="850" spans="8:8" ht="12.75">
      <c r="H850" s="13"/>
    </row>
    <row r="851" spans="8:8" ht="12.75">
      <c r="H851" s="13"/>
    </row>
    <row r="852" spans="8:8" ht="12.75">
      <c r="H852" s="13"/>
    </row>
    <row r="853" spans="8:8" ht="12.75">
      <c r="H853" s="13"/>
    </row>
    <row r="854" spans="8:8" ht="12.75">
      <c r="H854" s="13"/>
    </row>
    <row r="855" spans="8:8" ht="12.75">
      <c r="H855" s="13"/>
    </row>
    <row r="856" spans="8:8" ht="12.75">
      <c r="H856" s="13"/>
    </row>
    <row r="857" spans="8:8" ht="12.75">
      <c r="H857" s="13"/>
    </row>
    <row r="858" spans="8:8" ht="12.75">
      <c r="H858" s="13"/>
    </row>
    <row r="859" spans="8:8" ht="12.75">
      <c r="H859" s="13"/>
    </row>
    <row r="860" spans="8:8" ht="12.75">
      <c r="H860" s="13"/>
    </row>
    <row r="861" spans="8:8" ht="12.75">
      <c r="H861" s="13"/>
    </row>
    <row r="862" spans="8:8" ht="12.75">
      <c r="H862" s="13"/>
    </row>
    <row r="863" spans="8:8" ht="12.75">
      <c r="H863" s="13"/>
    </row>
    <row r="864" spans="8:8" ht="12.75">
      <c r="H864" s="13"/>
    </row>
    <row r="865" spans="8:8" ht="12.75">
      <c r="H865" s="13"/>
    </row>
    <row r="866" spans="8:8" ht="12.75">
      <c r="H866" s="13"/>
    </row>
    <row r="867" spans="8:8" ht="12.75">
      <c r="H867" s="13"/>
    </row>
    <row r="868" spans="8:8" ht="12.75">
      <c r="H868" s="13"/>
    </row>
    <row r="869" spans="8:8" ht="12.75">
      <c r="H869" s="13"/>
    </row>
    <row r="870" spans="8:8" ht="12.75">
      <c r="H870" s="13"/>
    </row>
    <row r="871" spans="8:8" ht="12.75">
      <c r="H871" s="13"/>
    </row>
    <row r="872" spans="8:8" ht="12.75">
      <c r="H872" s="13"/>
    </row>
    <row r="873" spans="8:8" ht="12.75">
      <c r="H873" s="13"/>
    </row>
    <row r="874" spans="8:8" ht="12.75">
      <c r="H874" s="13"/>
    </row>
    <row r="875" spans="8:8" ht="12.75">
      <c r="H875" s="13"/>
    </row>
    <row r="876" spans="8:8" ht="12.75">
      <c r="H876" s="13"/>
    </row>
    <row r="877" spans="8:8" ht="12.75">
      <c r="H877" s="13"/>
    </row>
    <row r="878" spans="8:8" ht="12.75">
      <c r="H878" s="13"/>
    </row>
    <row r="879" spans="8:8" ht="12.75">
      <c r="H879" s="13"/>
    </row>
    <row r="880" spans="8:8" ht="12.75">
      <c r="H880" s="13"/>
    </row>
    <row r="881" spans="8:8" ht="12.75">
      <c r="H881" s="13"/>
    </row>
    <row r="882" spans="8:8" ht="12.75">
      <c r="H882" s="13"/>
    </row>
    <row r="883" spans="8:8" ht="12.75">
      <c r="H883" s="13"/>
    </row>
    <row r="884" spans="8:8" ht="12.75">
      <c r="H884" s="13"/>
    </row>
    <row r="885" spans="8:8" ht="12.75">
      <c r="H885" s="13"/>
    </row>
    <row r="886" spans="8:8" ht="12.75">
      <c r="H886" s="13"/>
    </row>
    <row r="887" spans="8:8" ht="12.75">
      <c r="H887" s="13"/>
    </row>
    <row r="888" spans="8:8" ht="12.75">
      <c r="H888" s="13"/>
    </row>
    <row r="889" spans="8:8" ht="12.75">
      <c r="H889" s="13"/>
    </row>
    <row r="890" spans="8:8" ht="12.75">
      <c r="H890" s="13"/>
    </row>
    <row r="891" spans="8:8" ht="12.75">
      <c r="H891" s="13"/>
    </row>
    <row r="892" spans="8:8" ht="12.75">
      <c r="H892" s="13"/>
    </row>
    <row r="893" spans="8:8" ht="12.75">
      <c r="H893" s="13"/>
    </row>
    <row r="894" spans="8:8" ht="12.75">
      <c r="H894" s="13"/>
    </row>
    <row r="895" spans="8:8" ht="12.75">
      <c r="H895" s="13"/>
    </row>
    <row r="896" spans="8:8" ht="12.75">
      <c r="H896" s="13"/>
    </row>
    <row r="897" spans="8:8" ht="12.75">
      <c r="H897" s="13"/>
    </row>
    <row r="898" spans="8:8" ht="12.75">
      <c r="H898" s="13"/>
    </row>
    <row r="899" spans="8:8" ht="12.75">
      <c r="H899" s="13"/>
    </row>
    <row r="900" spans="8:8" ht="12.75">
      <c r="H900" s="13"/>
    </row>
    <row r="901" spans="8:8" ht="12.75">
      <c r="H901" s="13"/>
    </row>
    <row r="902" spans="8:8" ht="12.75">
      <c r="H902" s="13"/>
    </row>
    <row r="903" spans="8:8" ht="12.75">
      <c r="H903" s="13"/>
    </row>
    <row r="904" spans="8:8" ht="12.75">
      <c r="H904" s="13"/>
    </row>
    <row r="905" spans="8:8" ht="12.75">
      <c r="H905" s="13"/>
    </row>
    <row r="906" spans="8:8" ht="12.75">
      <c r="H906" s="13"/>
    </row>
    <row r="907" spans="8:8" ht="12.75">
      <c r="H907" s="13"/>
    </row>
    <row r="908" spans="8:8" ht="12.75">
      <c r="H908" s="13"/>
    </row>
    <row r="909" spans="8:8" ht="12.75">
      <c r="H909" s="13"/>
    </row>
    <row r="910" spans="8:8" ht="12.75">
      <c r="H910" s="13"/>
    </row>
    <row r="911" spans="8:8" ht="12.75">
      <c r="H911" s="13"/>
    </row>
    <row r="912" spans="8:8" ht="12.75">
      <c r="H912" s="13"/>
    </row>
    <row r="913" spans="8:8" ht="12.75">
      <c r="H913" s="13"/>
    </row>
    <row r="914" spans="8:8" ht="12.75">
      <c r="H914" s="13"/>
    </row>
    <row r="915" spans="8:8" ht="12.75">
      <c r="H915" s="13"/>
    </row>
    <row r="916" spans="8:8" ht="12.75">
      <c r="H916" s="13"/>
    </row>
    <row r="917" spans="8:8" ht="12.75">
      <c r="H917" s="13"/>
    </row>
    <row r="918" spans="8:8" ht="12.75">
      <c r="H918" s="13"/>
    </row>
    <row r="919" spans="8:8" ht="12.75">
      <c r="H919" s="13"/>
    </row>
    <row r="920" spans="8:8" ht="12.75">
      <c r="H920" s="13"/>
    </row>
    <row r="921" spans="8:8" ht="12.75">
      <c r="H921" s="13"/>
    </row>
    <row r="922" spans="8:8" ht="12.75">
      <c r="H922" s="13"/>
    </row>
    <row r="923" spans="8:8" ht="12.75">
      <c r="H923" s="13"/>
    </row>
    <row r="924" spans="8:8" ht="12.75">
      <c r="H924" s="13"/>
    </row>
    <row r="925" spans="8:8" ht="12.75">
      <c r="H925" s="13"/>
    </row>
    <row r="926" spans="8:8" ht="12.75">
      <c r="H926" s="13"/>
    </row>
    <row r="927" spans="8:8" ht="12.75">
      <c r="H927" s="13"/>
    </row>
    <row r="928" spans="8:8" ht="12.75">
      <c r="H928" s="13"/>
    </row>
    <row r="929" spans="8:8" ht="12.75">
      <c r="H929" s="13"/>
    </row>
    <row r="930" spans="8:8" ht="12.75">
      <c r="H930" s="13"/>
    </row>
    <row r="931" spans="8:8" ht="12.75">
      <c r="H931" s="13"/>
    </row>
    <row r="932" spans="8:8" ht="12.75">
      <c r="H932" s="13"/>
    </row>
    <row r="933" spans="8:8" ht="12.75">
      <c r="H933" s="13"/>
    </row>
    <row r="934" spans="8:8" ht="12.75">
      <c r="H934" s="13"/>
    </row>
    <row r="935" spans="8:8" ht="12.75">
      <c r="H935" s="13"/>
    </row>
    <row r="936" spans="8:8" ht="12.75">
      <c r="H936" s="13"/>
    </row>
    <row r="937" spans="8:8" ht="12.75">
      <c r="H937" s="13"/>
    </row>
    <row r="938" spans="8:8" ht="12.75">
      <c r="H938" s="13"/>
    </row>
    <row r="939" spans="8:8" ht="12.75">
      <c r="H939" s="13"/>
    </row>
    <row r="940" spans="8:8" ht="12.75">
      <c r="H940" s="13"/>
    </row>
    <row r="941" spans="8:8" ht="12.75">
      <c r="H941" s="13"/>
    </row>
    <row r="942" spans="8:8" ht="12.75">
      <c r="H942" s="13"/>
    </row>
    <row r="943" spans="8:8" ht="12.75">
      <c r="H943" s="13"/>
    </row>
    <row r="944" spans="8:8" ht="12.75">
      <c r="H944" s="13"/>
    </row>
    <row r="945" spans="8:8" ht="12.75">
      <c r="H945" s="13"/>
    </row>
    <row r="946" spans="8:8" ht="12.75">
      <c r="H946" s="13"/>
    </row>
    <row r="947" spans="8:8" ht="12.75">
      <c r="H947" s="13"/>
    </row>
    <row r="948" spans="8:8" ht="12.75">
      <c r="H948" s="13"/>
    </row>
    <row r="949" spans="8:8" ht="12.75">
      <c r="H949" s="13"/>
    </row>
    <row r="950" spans="8:8" ht="12.75">
      <c r="H950" s="13"/>
    </row>
    <row r="951" spans="8:8" ht="12.75">
      <c r="H951" s="13"/>
    </row>
    <row r="952" spans="8:8" ht="12.75">
      <c r="H952" s="13"/>
    </row>
    <row r="953" spans="8:8" ht="12.75">
      <c r="H953" s="13"/>
    </row>
    <row r="954" spans="8:8" ht="12.75">
      <c r="H954" s="13"/>
    </row>
    <row r="955" spans="8:8" ht="12.75">
      <c r="H955" s="13"/>
    </row>
    <row r="956" spans="8:8" ht="12.75">
      <c r="H956" s="13"/>
    </row>
    <row r="957" spans="8:8" ht="12.75">
      <c r="H957" s="13"/>
    </row>
    <row r="958" spans="8:8" ht="12.75">
      <c r="H958" s="13"/>
    </row>
    <row r="959" spans="8:8" ht="12.75">
      <c r="H959" s="13"/>
    </row>
    <row r="960" spans="8:8" ht="12.75">
      <c r="H960" s="13"/>
    </row>
    <row r="961" spans="8:8" ht="12.75">
      <c r="H961" s="13"/>
    </row>
    <row r="962" spans="8:8" ht="12.75">
      <c r="H962" s="13"/>
    </row>
    <row r="963" spans="8:8" ht="12.75">
      <c r="H963" s="13"/>
    </row>
    <row r="964" spans="8:8" ht="12.75">
      <c r="H964" s="13"/>
    </row>
    <row r="965" spans="8:8" ht="12.75">
      <c r="H965" s="13"/>
    </row>
    <row r="966" spans="8:8" ht="12.75">
      <c r="H966" s="13"/>
    </row>
    <row r="967" spans="8:8" ht="12.75">
      <c r="H967" s="13"/>
    </row>
    <row r="968" spans="8:8" ht="12.75">
      <c r="H968" s="13"/>
    </row>
    <row r="969" spans="8:8" ht="12.75">
      <c r="H969" s="13"/>
    </row>
    <row r="970" spans="8:8" ht="12.75">
      <c r="H970" s="13"/>
    </row>
    <row r="971" spans="8:8" ht="12.75">
      <c r="H971" s="13"/>
    </row>
    <row r="972" spans="8:8" ht="12.75">
      <c r="H972" s="13"/>
    </row>
    <row r="973" spans="8:8" ht="12.75">
      <c r="H973" s="13"/>
    </row>
    <row r="974" spans="8:8" ht="12.75">
      <c r="H974" s="13"/>
    </row>
    <row r="975" spans="8:8" ht="12.75">
      <c r="H975" s="13"/>
    </row>
    <row r="976" spans="8:8" ht="12.75">
      <c r="H976" s="13"/>
    </row>
    <row r="977" spans="8:8" ht="12.75">
      <c r="H977" s="13"/>
    </row>
    <row r="978" spans="8:8" ht="12.75">
      <c r="H978" s="13"/>
    </row>
    <row r="979" spans="8:8" ht="12.75">
      <c r="H979" s="13"/>
    </row>
    <row r="980" spans="8:8" ht="12.75">
      <c r="H980" s="13"/>
    </row>
    <row r="981" spans="8:8" ht="12.75">
      <c r="H981" s="13"/>
    </row>
    <row r="982" spans="8:8" ht="12.75">
      <c r="H982" s="13"/>
    </row>
    <row r="983" spans="8:8" ht="12.75">
      <c r="H983" s="13"/>
    </row>
    <row r="984" spans="8:8" ht="12.75">
      <c r="H984" s="13"/>
    </row>
    <row r="985" spans="8:8" ht="12.75">
      <c r="H985" s="13"/>
    </row>
    <row r="986" spans="8:8" ht="12.75">
      <c r="H986" s="13"/>
    </row>
    <row r="987" spans="8:8" ht="12.75">
      <c r="H987" s="13"/>
    </row>
    <row r="988" spans="8:8" ht="12.75">
      <c r="H988" s="13"/>
    </row>
    <row r="989" spans="8:8" ht="12.75">
      <c r="H989" s="13"/>
    </row>
    <row r="990" spans="8:8" ht="12.75">
      <c r="H990" s="13"/>
    </row>
    <row r="991" spans="8:8" ht="12.75">
      <c r="H991" s="13"/>
    </row>
    <row r="992" spans="8:8" ht="12.75">
      <c r="H992" s="13"/>
    </row>
    <row r="993" spans="8:8" ht="12.75">
      <c r="H993" s="13"/>
    </row>
  </sheetData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31"/>
  <sheetViews>
    <sheetView workbookViewId="0">
      <selection sqref="A1:M2"/>
    </sheetView>
  </sheetViews>
  <sheetFormatPr defaultColWidth="12.5703125" defaultRowHeight="15.75" customHeight="1"/>
  <cols>
    <col min="3" max="3" width="42.28515625" customWidth="1"/>
    <col min="4" max="4" width="19" customWidth="1"/>
    <col min="5" max="5" width="18.42578125" customWidth="1"/>
    <col min="7" max="7" width="18.28515625" customWidth="1"/>
    <col min="8" max="8" width="80.42578125" customWidth="1"/>
  </cols>
  <sheetData>
    <row r="1" spans="1:10" ht="15.75" customHeight="1">
      <c r="A1" s="930" t="s">
        <v>516</v>
      </c>
      <c r="B1" s="865"/>
      <c r="C1" s="865"/>
      <c r="D1" s="865"/>
      <c r="E1" s="865"/>
      <c r="F1" s="865"/>
      <c r="G1" s="865"/>
      <c r="H1" s="865"/>
    </row>
    <row r="2" spans="1:10" ht="12.75">
      <c r="A2" s="695"/>
      <c r="B2" s="695"/>
      <c r="C2" s="695"/>
      <c r="D2" s="695"/>
      <c r="E2" s="695"/>
      <c r="F2" s="695"/>
      <c r="G2" s="695"/>
      <c r="H2" s="695"/>
    </row>
    <row r="3" spans="1:10" ht="12.75">
      <c r="A3" s="929" t="s">
        <v>1</v>
      </c>
      <c r="B3" s="929" t="s">
        <v>2</v>
      </c>
      <c r="C3" s="929" t="s">
        <v>517</v>
      </c>
      <c r="D3" s="929" t="s">
        <v>518</v>
      </c>
      <c r="E3" s="929" t="s">
        <v>519</v>
      </c>
      <c r="F3" s="929" t="s">
        <v>11</v>
      </c>
      <c r="G3" s="929" t="s">
        <v>520</v>
      </c>
      <c r="H3" s="929" t="s">
        <v>190</v>
      </c>
    </row>
    <row r="4" spans="1:10" ht="12.75">
      <c r="A4" s="863"/>
      <c r="B4" s="863"/>
      <c r="C4" s="863"/>
      <c r="D4" s="863"/>
      <c r="E4" s="863"/>
      <c r="F4" s="863"/>
      <c r="G4" s="863"/>
      <c r="H4" s="863"/>
    </row>
    <row r="5" spans="1:10" ht="12.75">
      <c r="A5" s="862"/>
      <c r="B5" s="862"/>
      <c r="C5" s="862"/>
      <c r="D5" s="862"/>
      <c r="E5" s="862"/>
      <c r="F5" s="862"/>
      <c r="G5" s="862"/>
      <c r="H5" s="862"/>
    </row>
    <row r="6" spans="1:10" ht="14.25">
      <c r="A6" s="928">
        <v>1</v>
      </c>
      <c r="B6" s="868"/>
      <c r="C6" s="696">
        <v>2</v>
      </c>
      <c r="D6" s="696">
        <v>3</v>
      </c>
      <c r="E6" s="696">
        <v>4</v>
      </c>
      <c r="F6" s="696">
        <v>5</v>
      </c>
      <c r="G6" s="696">
        <v>6</v>
      </c>
      <c r="H6" s="696">
        <v>7</v>
      </c>
    </row>
    <row r="7" spans="1:10" ht="12.75">
      <c r="A7" s="697"/>
      <c r="B7" s="698"/>
      <c r="C7" s="698"/>
      <c r="D7" s="699">
        <f t="shared" ref="D7:E7" ca="1" si="0">D8+D13+D16</f>
        <v>46597341.399999887</v>
      </c>
      <c r="E7" s="699">
        <f t="shared" ca="1" si="0"/>
        <v>39871353.099999897</v>
      </c>
      <c r="F7" s="700">
        <f t="shared" ref="F7:F16" ca="1" si="1">E7/D7*100</f>
        <v>85.565725215387488</v>
      </c>
      <c r="G7" s="699">
        <f ca="1">G8+G13+G16</f>
        <v>-6725988.2999999896</v>
      </c>
      <c r="H7" s="698"/>
    </row>
    <row r="8" spans="1:10" ht="30">
      <c r="A8" s="701">
        <v>1</v>
      </c>
      <c r="B8" s="698"/>
      <c r="C8" s="702" t="s">
        <v>15</v>
      </c>
      <c r="D8" s="703">
        <f t="shared" ref="D8:E8" ca="1" si="2">SUM(D9:D12)</f>
        <v>26153214.999999989</v>
      </c>
      <c r="E8" s="703">
        <f t="shared" si="2"/>
        <v>20076178.399999999</v>
      </c>
      <c r="F8" s="700">
        <f t="shared" ca="1" si="1"/>
        <v>76.763711077204107</v>
      </c>
      <c r="G8" s="704">
        <f t="shared" ref="G8:G12" ca="1" si="3">E8-D8</f>
        <v>-6077036.5999999903</v>
      </c>
      <c r="H8" s="698"/>
    </row>
    <row r="9" spans="1:10" ht="45">
      <c r="A9" s="697"/>
      <c r="B9" s="705">
        <v>100</v>
      </c>
      <c r="C9" s="702" t="s">
        <v>16</v>
      </c>
      <c r="D9" s="706">
        <f ca="1">'СВОД с ЦА (анализ)'!E10</f>
        <v>2780991.5999999898</v>
      </c>
      <c r="E9" s="706">
        <v>2288722.6</v>
      </c>
      <c r="F9" s="700">
        <f t="shared" ca="1" si="1"/>
        <v>82.298795868351732</v>
      </c>
      <c r="G9" s="704">
        <f t="shared" ca="1" si="3"/>
        <v>-492268.99999998976</v>
      </c>
      <c r="H9" s="698"/>
    </row>
    <row r="10" spans="1:10" ht="75">
      <c r="A10" s="697"/>
      <c r="B10" s="705">
        <v>104</v>
      </c>
      <c r="C10" s="702" t="s">
        <v>25</v>
      </c>
      <c r="D10" s="707">
        <f ca="1">'СВОД с ЦА (анализ)'!E19</f>
        <v>725359</v>
      </c>
      <c r="E10" s="708">
        <v>355790.6</v>
      </c>
      <c r="F10" s="700">
        <f t="shared" ca="1" si="1"/>
        <v>49.050277173096354</v>
      </c>
      <c r="G10" s="704">
        <f t="shared" ca="1" si="3"/>
        <v>-369568.4</v>
      </c>
      <c r="H10" s="698"/>
      <c r="I10" s="14">
        <f>362356.1+40193.2+780350</f>
        <v>1182899.3</v>
      </c>
    </row>
    <row r="11" spans="1:10" ht="165.75">
      <c r="A11" s="697"/>
      <c r="B11" s="705">
        <v>111</v>
      </c>
      <c r="C11" s="702" t="s">
        <v>30</v>
      </c>
      <c r="D11" s="707">
        <f ca="1">'СВОД с ЦА (анализ)'!E23</f>
        <v>906077.19999999902</v>
      </c>
      <c r="E11" s="708">
        <f>1462308.1-362356.1-40193.2-780350</f>
        <v>279408.80000000005</v>
      </c>
      <c r="F11" s="700">
        <f t="shared" ca="1" si="1"/>
        <v>30.83719577095642</v>
      </c>
      <c r="G11" s="704">
        <f t="shared" ca="1" si="3"/>
        <v>-626668.39999999898</v>
      </c>
      <c r="H11" s="709" t="s">
        <v>521</v>
      </c>
      <c r="I11" s="12">
        <v>1461350.3</v>
      </c>
      <c r="J11" s="13">
        <f ca="1">I11-D11</f>
        <v>555273.10000000102</v>
      </c>
    </row>
    <row r="12" spans="1:10" ht="15">
      <c r="A12" s="697"/>
      <c r="B12" s="705">
        <v>123</v>
      </c>
      <c r="C12" s="702" t="s">
        <v>36</v>
      </c>
      <c r="D12" s="707">
        <f ca="1">'СВОД с ЦА (анализ)'!E30</f>
        <v>21740787.199999999</v>
      </c>
      <c r="E12" s="708">
        <v>17152256.399999999</v>
      </c>
      <c r="F12" s="700">
        <f t="shared" ca="1" si="1"/>
        <v>78.894366805632501</v>
      </c>
      <c r="G12" s="704">
        <f t="shared" ca="1" si="3"/>
        <v>-4588530.8000000007</v>
      </c>
      <c r="H12" s="710"/>
    </row>
    <row r="13" spans="1:10" ht="15">
      <c r="A13" s="701">
        <v>70</v>
      </c>
      <c r="B13" s="698"/>
      <c r="C13" s="702" t="s">
        <v>51</v>
      </c>
      <c r="D13" s="711">
        <f t="shared" ref="D13:E13" ca="1" si="4">SUM(D14:D15)</f>
        <v>20365689.999999899</v>
      </c>
      <c r="E13" s="711">
        <f t="shared" ca="1" si="4"/>
        <v>19746424.699999899</v>
      </c>
      <c r="F13" s="700">
        <f t="shared" ca="1" si="1"/>
        <v>96.95927169666237</v>
      </c>
      <c r="G13" s="711">
        <f ca="1">SUM(G14:G15)</f>
        <v>-619265.30000000005</v>
      </c>
      <c r="H13" s="710"/>
    </row>
    <row r="14" spans="1:10" ht="45">
      <c r="A14" s="697"/>
      <c r="B14" s="712">
        <v>100</v>
      </c>
      <c r="C14" s="702" t="s">
        <v>52</v>
      </c>
      <c r="D14" s="706">
        <f ca="1">'СВОД с ЦА (анализ)'!E54</f>
        <v>19211866.999999899</v>
      </c>
      <c r="E14" s="713">
        <f ca="1">D14</f>
        <v>19211866.999999899</v>
      </c>
      <c r="F14" s="700">
        <f t="shared" ca="1" si="1"/>
        <v>100</v>
      </c>
      <c r="G14" s="704">
        <f t="shared" ref="G14:G16" ca="1" si="5">E14-D14</f>
        <v>0</v>
      </c>
      <c r="H14" s="714"/>
    </row>
    <row r="15" spans="1:10" ht="333">
      <c r="A15" s="697"/>
      <c r="B15" s="712">
        <v>112</v>
      </c>
      <c r="C15" s="702" t="s">
        <v>53</v>
      </c>
      <c r="D15" s="707">
        <f ca="1">'СВОД с ЦА (анализ)'!E57</f>
        <v>1153823</v>
      </c>
      <c r="E15" s="708">
        <f ca="1">D15-208917.9-31500-367920-10927.4</f>
        <v>534557.69999999995</v>
      </c>
      <c r="F15" s="700">
        <f t="shared" ca="1" si="1"/>
        <v>46.329263673891049</v>
      </c>
      <c r="G15" s="704">
        <f t="shared" ca="1" si="5"/>
        <v>-619265.30000000005</v>
      </c>
      <c r="H15" s="715" t="s">
        <v>522</v>
      </c>
      <c r="I15" s="14">
        <f>81832.9+150142.2+23080</f>
        <v>255055.1</v>
      </c>
    </row>
    <row r="16" spans="1:10" ht="45">
      <c r="A16" s="716">
        <v>138</v>
      </c>
      <c r="B16" s="705">
        <v>0</v>
      </c>
      <c r="C16" s="702" t="s">
        <v>55</v>
      </c>
      <c r="D16" s="717">
        <f ca="1">'СВОД с ЦА (анализ)'!E59</f>
        <v>78436.399999999907</v>
      </c>
      <c r="E16" s="718">
        <v>48750</v>
      </c>
      <c r="F16" s="700">
        <f t="shared" ca="1" si="1"/>
        <v>62.152266039746927</v>
      </c>
      <c r="G16" s="704">
        <f t="shared" ca="1" si="5"/>
        <v>-29686.399999999907</v>
      </c>
      <c r="H16" s="710"/>
      <c r="I16" s="14">
        <f>208917.9+31500+161069.6-150142.2+367920</f>
        <v>619265.30000000005</v>
      </c>
    </row>
    <row r="17" spans="1:8" ht="15">
      <c r="A17" s="719"/>
      <c r="B17" s="719"/>
      <c r="C17" s="720"/>
      <c r="D17" s="719"/>
      <c r="E17" s="719"/>
      <c r="F17" s="719"/>
      <c r="G17" s="719"/>
      <c r="H17" s="719"/>
    </row>
    <row r="18" spans="1:8" ht="15">
      <c r="A18" s="719"/>
      <c r="B18" s="719"/>
      <c r="C18" s="720"/>
      <c r="D18" s="719"/>
      <c r="E18" s="719"/>
      <c r="F18" s="719"/>
      <c r="G18" s="719"/>
      <c r="H18" s="719"/>
    </row>
    <row r="19" spans="1:8" ht="15">
      <c r="A19" s="719"/>
      <c r="B19" s="719"/>
      <c r="C19" s="720"/>
      <c r="D19" s="719"/>
      <c r="E19" s="719"/>
      <c r="F19" s="719"/>
      <c r="G19" s="719"/>
      <c r="H19" s="719"/>
    </row>
    <row r="20" spans="1:8" ht="15">
      <c r="A20" s="719"/>
      <c r="B20" s="719"/>
      <c r="C20" s="720"/>
      <c r="D20" s="719"/>
      <c r="E20" s="719"/>
      <c r="F20" s="719"/>
      <c r="G20" s="719"/>
      <c r="H20" s="719"/>
    </row>
    <row r="21" spans="1:8" ht="18">
      <c r="A21" s="719"/>
      <c r="B21" s="719"/>
      <c r="C21" s="720"/>
      <c r="D21" s="719"/>
      <c r="E21" s="719"/>
      <c r="F21" s="719"/>
      <c r="G21" s="719"/>
      <c r="H21" s="721"/>
    </row>
    <row r="22" spans="1:8" ht="18">
      <c r="A22" s="719"/>
      <c r="B22" s="719"/>
      <c r="C22" s="720"/>
      <c r="D22" s="719"/>
      <c r="E22" s="719"/>
      <c r="F22" s="719"/>
      <c r="G22" s="719"/>
      <c r="H22" s="721"/>
    </row>
    <row r="23" spans="1:8" ht="18">
      <c r="A23" s="719"/>
      <c r="B23" s="719"/>
      <c r="C23" s="720"/>
      <c r="D23" s="719"/>
      <c r="E23" s="719"/>
      <c r="F23" s="719"/>
      <c r="G23" s="719"/>
      <c r="H23" s="721"/>
    </row>
    <row r="24" spans="1:8" ht="12.75">
      <c r="A24" s="272"/>
      <c r="B24" s="272"/>
      <c r="C24" s="722"/>
      <c r="D24" s="272"/>
      <c r="E24" s="272"/>
      <c r="F24" s="272"/>
      <c r="G24" s="272"/>
      <c r="H24" s="272"/>
    </row>
    <row r="25" spans="1:8" ht="12.75">
      <c r="A25" s="272"/>
      <c r="B25" s="272"/>
      <c r="C25" s="272"/>
      <c r="D25" s="272"/>
      <c r="E25" s="272"/>
      <c r="F25" s="272"/>
      <c r="G25" s="272"/>
      <c r="H25" s="272"/>
    </row>
    <row r="26" spans="1:8" ht="12.75">
      <c r="A26" s="272"/>
      <c r="B26" s="272"/>
      <c r="C26" s="272"/>
      <c r="D26" s="723">
        <f ca="1">D15+92400+Капремонт!C27</f>
        <v>1255311.3</v>
      </c>
      <c r="E26" s="272"/>
      <c r="F26" s="272"/>
      <c r="G26" s="272"/>
      <c r="H26" s="272"/>
    </row>
    <row r="27" spans="1:8" ht="12.75">
      <c r="A27" s="272"/>
      <c r="B27" s="272"/>
      <c r="C27" s="272"/>
      <c r="D27" s="272"/>
      <c r="E27" s="272"/>
      <c r="F27" s="272"/>
      <c r="G27" s="272"/>
      <c r="H27" s="272"/>
    </row>
    <row r="28" spans="1:8" ht="12.75">
      <c r="A28" s="272"/>
      <c r="B28" s="272"/>
      <c r="C28" s="272"/>
      <c r="D28" s="272"/>
      <c r="E28" s="272"/>
      <c r="F28" s="272"/>
      <c r="G28" s="272"/>
      <c r="H28" s="272"/>
    </row>
    <row r="29" spans="1:8" ht="12.75">
      <c r="A29" s="272"/>
      <c r="B29" s="272"/>
      <c r="C29" s="272"/>
      <c r="D29" s="272"/>
      <c r="E29" s="272"/>
      <c r="F29" s="272"/>
      <c r="G29" s="272"/>
      <c r="H29" s="272"/>
    </row>
    <row r="30" spans="1:8" ht="12.75">
      <c r="A30" s="272"/>
      <c r="B30" s="272"/>
      <c r="C30" s="272"/>
      <c r="D30" s="272"/>
      <c r="E30" s="272"/>
      <c r="F30" s="272"/>
      <c r="G30" s="272"/>
      <c r="H30" s="272"/>
    </row>
    <row r="31" spans="1:8" ht="12.75">
      <c r="A31" s="272"/>
      <c r="B31" s="272"/>
      <c r="C31" s="272"/>
      <c r="D31" s="272"/>
      <c r="E31" s="272"/>
      <c r="F31" s="272"/>
      <c r="G31" s="272"/>
      <c r="H31" s="272"/>
    </row>
  </sheetData>
  <mergeCells count="10">
    <mergeCell ref="A6:B6"/>
    <mergeCell ref="G3:G5"/>
    <mergeCell ref="H3:H5"/>
    <mergeCell ref="A1:H1"/>
    <mergeCell ref="A3:A5"/>
    <mergeCell ref="B3:B5"/>
    <mergeCell ref="C3:C5"/>
    <mergeCell ref="D3:D5"/>
    <mergeCell ref="E3:E5"/>
    <mergeCell ref="F3:F5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J1000"/>
  <sheetViews>
    <sheetView workbookViewId="0">
      <selection sqref="A1:M2"/>
    </sheetView>
  </sheetViews>
  <sheetFormatPr defaultColWidth="12.5703125" defaultRowHeight="15.75" customHeight="1"/>
  <cols>
    <col min="1" max="1" width="3.140625" customWidth="1"/>
    <col min="2" max="2" width="24.42578125" customWidth="1"/>
    <col min="4" max="4" width="15.42578125" customWidth="1"/>
    <col min="5" max="5" width="14.28515625" customWidth="1"/>
    <col min="6" max="6" width="8.42578125" customWidth="1"/>
    <col min="7" max="7" width="17.7109375" customWidth="1"/>
    <col min="8" max="8" width="26" customWidth="1"/>
    <col min="9" max="9" width="15.42578125" customWidth="1"/>
    <col min="10" max="10" width="14.7109375" customWidth="1"/>
    <col min="11" max="12" width="15" customWidth="1"/>
    <col min="13" max="13" width="34" customWidth="1"/>
    <col min="14" max="14" width="15" customWidth="1"/>
    <col min="15" max="18" width="14.42578125" customWidth="1"/>
    <col min="19" max="19" width="18.85546875" customWidth="1"/>
    <col min="20" max="20" width="18.5703125" customWidth="1"/>
  </cols>
  <sheetData>
    <row r="1" spans="2:20" ht="12.75">
      <c r="F1" s="724"/>
      <c r="G1" s="724"/>
      <c r="H1" s="47"/>
      <c r="I1" s="47"/>
      <c r="O1" s="19"/>
      <c r="P1" s="19"/>
      <c r="Q1" s="19"/>
    </row>
    <row r="2" spans="2:20" ht="12.75">
      <c r="F2" s="724"/>
      <c r="G2" s="724"/>
      <c r="H2" s="47"/>
      <c r="I2" s="47"/>
      <c r="O2" s="19"/>
      <c r="P2" s="19"/>
      <c r="Q2" s="19"/>
    </row>
    <row r="3" spans="2:20" ht="12.75">
      <c r="F3" s="724"/>
      <c r="G3" s="724"/>
      <c r="H3" s="47"/>
      <c r="I3" s="47"/>
      <c r="O3" s="19"/>
      <c r="P3" s="19"/>
      <c r="Q3" s="19"/>
    </row>
    <row r="4" spans="2:20" ht="28.5">
      <c r="B4" s="725" t="s">
        <v>87</v>
      </c>
      <c r="F4" s="724"/>
      <c r="G4" s="724"/>
      <c r="H4" s="47"/>
      <c r="I4" s="47"/>
      <c r="O4" s="19"/>
      <c r="P4" s="19"/>
      <c r="Q4" s="19"/>
    </row>
    <row r="5" spans="2:20" ht="38.25">
      <c r="B5" s="726"/>
      <c r="C5" s="353" t="s">
        <v>523</v>
      </c>
      <c r="D5" s="353" t="s">
        <v>9</v>
      </c>
      <c r="E5" s="353" t="s">
        <v>506</v>
      </c>
      <c r="F5" s="727" t="s">
        <v>524</v>
      </c>
      <c r="G5" s="728" t="s">
        <v>525</v>
      </c>
      <c r="H5" s="729"/>
      <c r="I5" s="729" t="s">
        <v>526</v>
      </c>
      <c r="J5" s="353" t="s">
        <v>9</v>
      </c>
      <c r="K5" s="353" t="s">
        <v>13</v>
      </c>
      <c r="L5" s="353"/>
      <c r="M5" s="353"/>
      <c r="N5" s="353"/>
      <c r="O5" s="730"/>
      <c r="P5" s="730"/>
      <c r="Q5" s="730"/>
      <c r="R5" s="353"/>
      <c r="S5" s="353"/>
    </row>
    <row r="6" spans="2:20" ht="25.5">
      <c r="B6" s="931" t="s">
        <v>89</v>
      </c>
      <c r="C6" s="731">
        <f ca="1">IFERROR(__xludf.DUMMYFUNCTION("IMPORTRANGE(""https://docs.google.com/spreadsheets/d/1PsUKG3ee57b5sx42omjfZd9CYxuRONokMWtiORmUc0s/edit#gid=223128675"",""'Акмола'!E29"")"),2481.4)</f>
        <v>2481.4</v>
      </c>
      <c r="D6" s="731">
        <f t="shared" ref="D6:D9" ca="1" si="0">C6-E6</f>
        <v>0</v>
      </c>
      <c r="E6" s="731">
        <f ca="1">'СВОД с ЦА (анализ)'!Y29</f>
        <v>2481.4</v>
      </c>
      <c r="F6" s="732">
        <v>1</v>
      </c>
      <c r="G6" s="733" t="s">
        <v>527</v>
      </c>
      <c r="H6" s="734" t="s">
        <v>528</v>
      </c>
      <c r="I6" s="735">
        <v>1062.5</v>
      </c>
      <c r="J6" s="571"/>
      <c r="K6" s="571"/>
      <c r="L6" s="736"/>
      <c r="M6" s="737" t="s">
        <v>529</v>
      </c>
      <c r="N6" s="53"/>
      <c r="O6" s="738"/>
      <c r="P6" s="739"/>
      <c r="Q6" s="739"/>
      <c r="R6" s="53"/>
      <c r="S6" s="53"/>
    </row>
    <row r="7" spans="2:20" ht="25.5" hidden="1">
      <c r="B7" s="863"/>
      <c r="C7" s="731">
        <f ca="1">IFERROR(__xludf.DUMMYFUNCTION("IMPORTRANGE(""https://docs.google.com/spreadsheets/d/1PsUKG3ee57b5sx42omjfZd9CYxuRONokMWtiORmUc0s/edit#gid=223128675"",""'Актобе'!E29"")"),0)</f>
        <v>0</v>
      </c>
      <c r="D7" s="731">
        <f t="shared" ca="1" si="0"/>
        <v>0</v>
      </c>
      <c r="E7" s="731">
        <f ca="1">'СВОД с ЦА (анализ)'!Z29</f>
        <v>0</v>
      </c>
      <c r="F7" s="732"/>
      <c r="G7" s="733" t="s">
        <v>527</v>
      </c>
      <c r="H7" s="740"/>
      <c r="I7" s="741"/>
      <c r="J7" s="571"/>
      <c r="K7" s="742"/>
      <c r="L7" s="736"/>
      <c r="M7" s="736"/>
      <c r="N7" s="53"/>
      <c r="O7" s="738"/>
      <c r="P7" s="35"/>
      <c r="Q7" s="739"/>
      <c r="R7" s="53"/>
      <c r="S7" s="53"/>
      <c r="T7" s="743"/>
    </row>
    <row r="8" spans="2:20" ht="25.5" hidden="1">
      <c r="B8" s="863"/>
      <c r="C8" s="731">
        <f ca="1">IFERROR(__xludf.DUMMYFUNCTION("IMPORTRANGE(""https://docs.google.com/spreadsheets/d/1PsUKG3ee57b5sx42omjfZd9CYxuRONokMWtiORmUc0s/edit#gid=223128675"",""'Алматинская'!E29"")"),0)</f>
        <v>0</v>
      </c>
      <c r="D8" s="731">
        <f t="shared" ca="1" si="0"/>
        <v>0</v>
      </c>
      <c r="E8" s="731">
        <f ca="1">'СВОД с ЦА (анализ)'!AA29</f>
        <v>0</v>
      </c>
      <c r="F8" s="732"/>
      <c r="G8" s="733" t="s">
        <v>527</v>
      </c>
      <c r="H8" s="740"/>
      <c r="I8" s="741"/>
      <c r="J8" s="571"/>
      <c r="K8" s="742"/>
      <c r="L8" s="736"/>
      <c r="M8" s="736"/>
      <c r="N8" s="53"/>
      <c r="O8" s="738"/>
      <c r="P8" s="738"/>
      <c r="Q8" s="739"/>
      <c r="R8" s="53"/>
      <c r="S8" s="53"/>
      <c r="T8" s="744"/>
    </row>
    <row r="9" spans="2:20" ht="25.5" hidden="1">
      <c r="B9" s="863"/>
      <c r="C9" s="731">
        <f ca="1">IFERROR(__xludf.DUMMYFUNCTION("IMPORTRANGE(""https://docs.google.com/spreadsheets/d/1PsUKG3ee57b5sx42omjfZd9CYxuRONokMWtiORmUc0s/edit#gid=223128675"",""'Атырау'!E29"")"),0)</f>
        <v>0</v>
      </c>
      <c r="D9" s="731">
        <f t="shared" ca="1" si="0"/>
        <v>0</v>
      </c>
      <c r="E9" s="731">
        <f ca="1">'СВОД с ЦА (анализ)'!AB29</f>
        <v>0</v>
      </c>
      <c r="F9" s="732"/>
      <c r="G9" s="733" t="s">
        <v>527</v>
      </c>
      <c r="H9" s="740"/>
      <c r="I9" s="741"/>
      <c r="J9" s="742"/>
      <c r="K9" s="742"/>
      <c r="L9" s="736"/>
      <c r="M9" s="737"/>
      <c r="N9" s="53"/>
      <c r="O9" s="738"/>
      <c r="P9" s="738"/>
      <c r="Q9" s="739"/>
      <c r="R9" s="53"/>
      <c r="S9" s="53"/>
      <c r="T9" s="743"/>
    </row>
    <row r="10" spans="2:20" ht="25.5">
      <c r="B10" s="863"/>
      <c r="C10" s="53"/>
      <c r="D10" s="53"/>
      <c r="E10" s="53"/>
      <c r="F10" s="732">
        <v>2</v>
      </c>
      <c r="G10" s="733" t="s">
        <v>527</v>
      </c>
      <c r="H10" s="733" t="s">
        <v>530</v>
      </c>
      <c r="I10" s="745"/>
      <c r="J10" s="571"/>
      <c r="K10" s="742"/>
      <c r="L10" s="736"/>
      <c r="M10" s="737" t="s">
        <v>531</v>
      </c>
      <c r="N10" s="53"/>
      <c r="O10" s="738"/>
      <c r="P10" s="738"/>
      <c r="Q10" s="739"/>
      <c r="R10" s="53"/>
      <c r="S10" s="53"/>
    </row>
    <row r="11" spans="2:20" ht="25.5">
      <c r="B11" s="863"/>
      <c r="C11" s="53"/>
      <c r="D11" s="53"/>
      <c r="E11" s="53"/>
      <c r="F11" s="732">
        <v>3</v>
      </c>
      <c r="G11" s="733" t="s">
        <v>527</v>
      </c>
      <c r="H11" s="733" t="s">
        <v>532</v>
      </c>
      <c r="I11" s="745"/>
      <c r="J11" s="571"/>
      <c r="K11" s="742"/>
      <c r="L11" s="736"/>
      <c r="M11" s="737" t="s">
        <v>531</v>
      </c>
      <c r="N11" s="53"/>
      <c r="O11" s="738"/>
      <c r="P11" s="738"/>
      <c r="Q11" s="739"/>
      <c r="R11" s="53"/>
      <c r="S11" s="53"/>
    </row>
    <row r="12" spans="2:20" ht="25.5">
      <c r="B12" s="862"/>
      <c r="C12" s="53"/>
      <c r="D12" s="53"/>
      <c r="E12" s="53"/>
      <c r="F12" s="732">
        <v>4</v>
      </c>
      <c r="G12" s="733" t="s">
        <v>527</v>
      </c>
      <c r="H12" s="733" t="s">
        <v>533</v>
      </c>
      <c r="I12" s="745"/>
      <c r="J12" s="571"/>
      <c r="K12" s="742"/>
      <c r="L12" s="736"/>
      <c r="M12" s="737" t="s">
        <v>531</v>
      </c>
      <c r="N12" s="53"/>
      <c r="O12" s="738"/>
      <c r="P12" s="738"/>
      <c r="Q12" s="739"/>
      <c r="R12" s="53"/>
      <c r="S12" s="53"/>
    </row>
    <row r="13" spans="2:20" ht="39" customHeight="1">
      <c r="B13" s="746" t="s">
        <v>93</v>
      </c>
      <c r="C13" s="731">
        <f ca="1">IFERROR(__xludf.DUMMYFUNCTION("IMPORTRANGE(""https://docs.google.com/spreadsheets/d/1PsUKG3ee57b5sx42omjfZd9CYxuRONokMWtiORmUc0s/edit#gid=223128675"",""'ВКО'!E29"")"),3954.4)</f>
        <v>3954.4</v>
      </c>
      <c r="D13" s="731">
        <f t="shared" ref="D13:D17" ca="1" si="1">C13-E13</f>
        <v>3177.6309000000001</v>
      </c>
      <c r="E13" s="731">
        <f ca="1">'СВОД с ЦА (анализ)'!AC29</f>
        <v>776.76909999999998</v>
      </c>
      <c r="F13" s="732">
        <v>5</v>
      </c>
      <c r="G13" s="733" t="s">
        <v>534</v>
      </c>
      <c r="H13" s="747" t="s">
        <v>535</v>
      </c>
      <c r="I13" s="748"/>
      <c r="J13" s="358"/>
      <c r="K13" s="292"/>
      <c r="L13" s="53"/>
      <c r="M13" s="573" t="s">
        <v>536</v>
      </c>
      <c r="N13" s="53"/>
      <c r="O13" s="738"/>
      <c r="P13" s="738"/>
      <c r="Q13" s="739"/>
      <c r="R13" s="53"/>
      <c r="S13" s="53"/>
    </row>
    <row r="14" spans="2:20" ht="30" hidden="1">
      <c r="B14" s="746" t="s">
        <v>94</v>
      </c>
      <c r="C14" s="731">
        <f ca="1">IFERROR(__xludf.DUMMYFUNCTION("IMPORTRANGE(""https://docs.google.com/spreadsheets/d/1PsUKG3ee57b5sx42omjfZd9CYxuRONokMWtiORmUc0s/edit#gid=223128675"",""'Жамбыл'!E29"")"),0)</f>
        <v>0</v>
      </c>
      <c r="D14" s="731">
        <f t="shared" ca="1" si="1"/>
        <v>0</v>
      </c>
      <c r="E14" s="731">
        <f ca="1">'СВОД с ЦА (анализ)'!AD29</f>
        <v>0</v>
      </c>
      <c r="F14" s="732"/>
      <c r="G14" s="740"/>
      <c r="H14" s="749"/>
      <c r="I14" s="750"/>
      <c r="J14" s="358"/>
      <c r="K14" s="292"/>
      <c r="L14" s="53"/>
      <c r="M14" s="53"/>
      <c r="N14" s="53"/>
      <c r="O14" s="738"/>
      <c r="P14" s="738"/>
      <c r="Q14" s="739"/>
      <c r="R14" s="53"/>
      <c r="S14" s="53"/>
    </row>
    <row r="15" spans="2:20" ht="30" hidden="1">
      <c r="B15" s="746" t="s">
        <v>95</v>
      </c>
      <c r="C15" s="53" t="str">
        <f ca="1">IFERROR(__xludf.DUMMYFUNCTION("IMPORTRANGE(""https://docs.google.com/spreadsheets/d/1PsUKG3ee57b5sx42omjfZd9CYxuRONokMWtiORmUc0s/edit#gid=223128675"",""'ЗКО'!E29"")"),"")</f>
        <v/>
      </c>
      <c r="D15" s="731" t="e">
        <f t="shared" ca="1" si="1"/>
        <v>#VALUE!</v>
      </c>
      <c r="E15" s="731">
        <f ca="1">'СВОД с ЦА (анализ)'!AE29</f>
        <v>0</v>
      </c>
      <c r="F15" s="732">
        <v>3</v>
      </c>
      <c r="G15" s="740"/>
      <c r="H15" s="749"/>
      <c r="I15" s="750"/>
      <c r="J15" s="358"/>
      <c r="K15" s="292"/>
      <c r="L15" s="53"/>
      <c r="M15" s="751"/>
      <c r="N15" s="53"/>
      <c r="O15" s="738"/>
      <c r="P15" s="738"/>
      <c r="Q15" s="739"/>
      <c r="R15" s="53"/>
      <c r="S15" s="53"/>
      <c r="T15" s="743"/>
    </row>
    <row r="16" spans="2:20" ht="45" hidden="1">
      <c r="B16" s="746" t="s">
        <v>96</v>
      </c>
      <c r="C16" s="731">
        <f ca="1">IFERROR(__xludf.DUMMYFUNCTION("IMPORTRANGE(""https://docs.google.com/spreadsheets/d/1PsUKG3ee57b5sx42omjfZd9CYxuRONokMWtiORmUc0s/edit#gid=223128675"",""'Караганда'!E29"")"),0)</f>
        <v>0</v>
      </c>
      <c r="D16" s="731">
        <f t="shared" ca="1" si="1"/>
        <v>0</v>
      </c>
      <c r="E16" s="731">
        <f ca="1">'СВОД с ЦА (анализ)'!AF29</f>
        <v>0</v>
      </c>
      <c r="F16" s="732">
        <v>3</v>
      </c>
      <c r="G16" s="740"/>
      <c r="H16" s="749"/>
      <c r="I16" s="750"/>
      <c r="J16" s="358"/>
      <c r="K16" s="292"/>
      <c r="L16" s="751"/>
      <c r="M16" s="751"/>
      <c r="N16" s="53"/>
      <c r="O16" s="738"/>
      <c r="P16" s="738"/>
      <c r="Q16" s="739"/>
      <c r="R16" s="53"/>
      <c r="S16" s="53"/>
    </row>
    <row r="17" spans="1:36" ht="30" hidden="1">
      <c r="B17" s="752" t="s">
        <v>99</v>
      </c>
      <c r="C17" s="731">
        <f ca="1">IFERROR(__xludf.DUMMYFUNCTION("IMPORTRANGE(""https://docs.google.com/spreadsheets/d/1PsUKG3ee57b5sx42omjfZd9CYxuRONokMWtiORmUc0s/edit#gid=223128675"",""'Мангистау'!E29"")"),0)</f>
        <v>0</v>
      </c>
      <c r="D17" s="731">
        <f t="shared" ca="1" si="1"/>
        <v>0</v>
      </c>
      <c r="E17" s="731">
        <f ca="1">'СВОД с ЦА (анализ)'!AI29</f>
        <v>0</v>
      </c>
      <c r="F17" s="732"/>
      <c r="G17" s="740"/>
      <c r="H17" s="749"/>
      <c r="I17" s="750"/>
      <c r="J17" s="292"/>
      <c r="K17" s="292"/>
      <c r="L17" s="53"/>
      <c r="M17" s="751"/>
      <c r="N17" s="53"/>
      <c r="O17" s="738"/>
      <c r="P17" s="738"/>
      <c r="Q17" s="739"/>
      <c r="R17" s="53"/>
      <c r="S17" s="53"/>
    </row>
    <row r="18" spans="1:36" ht="66" customHeight="1">
      <c r="B18" s="931" t="s">
        <v>100</v>
      </c>
      <c r="C18" s="53"/>
      <c r="D18" s="53"/>
      <c r="E18" s="53"/>
      <c r="F18" s="732">
        <v>6</v>
      </c>
      <c r="G18" s="733" t="s">
        <v>537</v>
      </c>
      <c r="H18" s="733" t="s">
        <v>538</v>
      </c>
      <c r="I18" s="753">
        <f ca="1">C19-I19</f>
        <v>620.4</v>
      </c>
      <c r="J18" s="571">
        <v>620.4</v>
      </c>
      <c r="K18" s="571"/>
      <c r="L18" s="736"/>
      <c r="M18" s="321" t="s">
        <v>539</v>
      </c>
      <c r="N18" s="53"/>
      <c r="O18" s="739"/>
      <c r="P18" s="739"/>
      <c r="Q18" s="739"/>
      <c r="R18" s="53"/>
      <c r="S18" s="53"/>
    </row>
    <row r="19" spans="1:36" ht="63.75" customHeight="1">
      <c r="B19" s="862"/>
      <c r="C19" s="731">
        <f ca="1">IFERROR(__xludf.DUMMYFUNCTION("IMPORTRANGE(""https://docs.google.com/spreadsheets/d/1PsUKG3ee57b5sx42omjfZd9CYxuRONokMWtiORmUc0s/edit#gid=223128675"",""'Павлодар'!E29"")"),731.6)</f>
        <v>731.6</v>
      </c>
      <c r="D19" s="731">
        <f t="shared" ref="D19:D26" ca="1" si="2">C19-E19</f>
        <v>620.43100000000106</v>
      </c>
      <c r="E19" s="731">
        <f ca="1">'СВОД с ЦА (анализ)'!AJ29</f>
        <v>111.168999999999</v>
      </c>
      <c r="F19" s="732">
        <v>7</v>
      </c>
      <c r="G19" s="733" t="s">
        <v>540</v>
      </c>
      <c r="H19" s="733" t="s">
        <v>541</v>
      </c>
      <c r="I19" s="732">
        <v>111.2</v>
      </c>
      <c r="J19" s="742"/>
      <c r="K19" s="571"/>
      <c r="L19" s="736"/>
      <c r="M19" s="321" t="s">
        <v>542</v>
      </c>
      <c r="N19" s="53"/>
      <c r="O19" s="739"/>
      <c r="P19" s="739"/>
      <c r="Q19" s="739"/>
      <c r="R19" s="53"/>
      <c r="S19" s="53"/>
    </row>
    <row r="20" spans="1:36" ht="30" hidden="1">
      <c r="B20" s="746" t="s">
        <v>101</v>
      </c>
      <c r="C20" s="731">
        <f ca="1">IFERROR(__xludf.DUMMYFUNCTION("IMPORTRANGE(""https://docs.google.com/spreadsheets/d/1PsUKG3ee57b5sx42omjfZd9CYxuRONokMWtiORmUc0s/edit#gid=223128675"",""'СКО'!E29"")"),0)</f>
        <v>0</v>
      </c>
      <c r="D20" s="731">
        <f t="shared" ca="1" si="2"/>
        <v>0</v>
      </c>
      <c r="E20" s="731">
        <f ca="1">'СВОД с ЦА (анализ)'!AK29</f>
        <v>0</v>
      </c>
      <c r="F20" s="732">
        <v>4</v>
      </c>
      <c r="G20" s="733" t="s">
        <v>527</v>
      </c>
      <c r="H20" s="749"/>
      <c r="I20" s="750"/>
      <c r="J20" s="358"/>
      <c r="K20" s="292"/>
      <c r="L20" s="53"/>
      <c r="M20" s="751"/>
      <c r="N20" s="53"/>
      <c r="O20" s="738"/>
      <c r="P20" s="738"/>
      <c r="Q20" s="739"/>
      <c r="R20" s="53"/>
      <c r="S20" s="53"/>
    </row>
    <row r="21" spans="1:36" ht="30" hidden="1">
      <c r="B21" s="752" t="s">
        <v>102</v>
      </c>
      <c r="C21" s="53" t="str">
        <f ca="1">IFERROR(__xludf.DUMMYFUNCTION("IMPORTRANGE(""https://docs.google.com/spreadsheets/d/1PsUKG3ee57b5sx42omjfZd9CYxuRONokMWtiORmUc0s/edit#gid=223128675"",""'Туркестан'!E29"")"),"")</f>
        <v/>
      </c>
      <c r="D21" s="731" t="e">
        <f t="shared" ca="1" si="2"/>
        <v>#VALUE!</v>
      </c>
      <c r="E21" s="731">
        <f ca="1">'СВОД с ЦА (анализ)'!AL29</f>
        <v>0</v>
      </c>
      <c r="F21" s="732">
        <v>4</v>
      </c>
      <c r="G21" s="733" t="s">
        <v>527</v>
      </c>
      <c r="H21" s="749"/>
      <c r="I21" s="750"/>
      <c r="J21" s="358"/>
      <c r="K21" s="292"/>
      <c r="L21" s="53"/>
      <c r="M21" s="53"/>
      <c r="N21" s="53"/>
      <c r="O21" s="738"/>
      <c r="P21" s="738"/>
      <c r="Q21" s="739"/>
      <c r="R21" s="53"/>
      <c r="S21" s="53"/>
    </row>
    <row r="22" spans="1:36" ht="45">
      <c r="B22" s="746" t="s">
        <v>103</v>
      </c>
      <c r="C22" s="731">
        <f ca="1">IFERROR(__xludf.DUMMYFUNCTION("IMPORTRANGE(""https://docs.google.com/spreadsheets/d/1PsUKG3ee57b5sx42omjfZd9CYxuRONokMWtiORmUc0s/edit#gid=223128675"",""'Шымкент'!E29"")"),1920.9)</f>
        <v>1920.9</v>
      </c>
      <c r="D22" s="731">
        <f t="shared" ca="1" si="2"/>
        <v>0</v>
      </c>
      <c r="E22" s="731">
        <f ca="1">'СВОД с ЦА (анализ)'!AM29</f>
        <v>1920.9</v>
      </c>
      <c r="F22" s="732">
        <v>8</v>
      </c>
      <c r="G22" s="733" t="s">
        <v>527</v>
      </c>
      <c r="H22" s="747" t="s">
        <v>543</v>
      </c>
      <c r="I22" s="754">
        <v>1920.9</v>
      </c>
      <c r="J22" s="358"/>
      <c r="K22" s="292"/>
      <c r="L22" s="53"/>
      <c r="M22" s="573" t="s">
        <v>544</v>
      </c>
      <c r="N22" s="53"/>
      <c r="O22" s="738"/>
      <c r="P22" s="739"/>
      <c r="Q22" s="739"/>
      <c r="R22" s="53"/>
      <c r="S22" s="53"/>
    </row>
    <row r="23" spans="1:36" ht="28.5" hidden="1">
      <c r="B23" s="726" t="s">
        <v>105</v>
      </c>
      <c r="C23" s="53">
        <f ca="1">IFERROR(__xludf.DUMMYFUNCTION("IMPORTRANGE(""https://docs.google.com/spreadsheets/d/1PsUKG3ee57b5sx42omjfZd9CYxuRONokMWtiORmUc0s/edit#gid=223128675"",""'Нур-Султан'!E29"")"),0)</f>
        <v>0</v>
      </c>
      <c r="D23" s="731">
        <f t="shared" ca="1" si="2"/>
        <v>0</v>
      </c>
      <c r="E23" s="731">
        <f ca="1">'СВОД с ЦА (анализ)'!AO29</f>
        <v>0</v>
      </c>
      <c r="F23" s="755"/>
      <c r="G23" s="755"/>
      <c r="H23" s="111"/>
      <c r="I23" s="756"/>
      <c r="J23" s="292"/>
      <c r="K23" s="292"/>
      <c r="L23" s="53"/>
      <c r="M23" s="53"/>
      <c r="N23" s="53"/>
      <c r="O23" s="738"/>
      <c r="P23" s="739"/>
      <c r="Q23" s="739"/>
      <c r="R23" s="53"/>
      <c r="S23" s="53"/>
    </row>
    <row r="24" spans="1:36" ht="12.75" hidden="1">
      <c r="B24" s="757" t="s">
        <v>107</v>
      </c>
      <c r="C24" s="53">
        <f ca="1">IFERROR(__xludf.DUMMYFUNCTION("IMPORTRANGE(""https://docs.google.com/spreadsheets/d/1PsUKG3ee57b5sx42omjfZd9CYxuRONokMWtiORmUc0s/edit#gid=223128675"",""'Улытау'!E29"")"),0)</f>
        <v>0</v>
      </c>
      <c r="D24" s="731">
        <f t="shared" ca="1" si="2"/>
        <v>0</v>
      </c>
      <c r="E24" s="731">
        <f ca="1">'СВОД с ЦА (анализ)'!AQ29</f>
        <v>0</v>
      </c>
      <c r="F24" s="740"/>
      <c r="G24" s="740"/>
      <c r="H24" s="749"/>
      <c r="I24" s="750"/>
      <c r="J24" s="358"/>
      <c r="K24" s="292"/>
      <c r="L24" s="53"/>
      <c r="M24" s="53"/>
      <c r="N24" s="53"/>
      <c r="O24" s="739"/>
      <c r="P24" s="739"/>
      <c r="Q24" s="739"/>
      <c r="R24" s="53"/>
      <c r="S24" s="53"/>
    </row>
    <row r="25" spans="1:36" ht="12.75" hidden="1">
      <c r="B25" s="758" t="s">
        <v>108</v>
      </c>
      <c r="C25" s="53">
        <f ca="1">IFERROR(__xludf.DUMMYFUNCTION("IMPORTRANGE(""https://docs.google.com/spreadsheets/d/1PsUKG3ee57b5sx42omjfZd9CYxuRONokMWtiORmUc0s/edit#gid=223128675"",""'Жетису'!E29"")"),0)</f>
        <v>0</v>
      </c>
      <c r="D25" s="731">
        <f t="shared" ca="1" si="2"/>
        <v>0</v>
      </c>
      <c r="E25" s="731">
        <f ca="1">'СВОД с ЦА (анализ)'!AR29</f>
        <v>0</v>
      </c>
      <c r="F25" s="740"/>
      <c r="G25" s="740"/>
      <c r="H25" s="749"/>
      <c r="I25" s="750"/>
      <c r="J25" s="358"/>
      <c r="K25" s="292"/>
      <c r="L25" s="53"/>
      <c r="M25" s="53"/>
      <c r="N25" s="53"/>
      <c r="O25" s="739"/>
      <c r="P25" s="739"/>
      <c r="Q25" s="739"/>
      <c r="R25" s="53"/>
      <c r="S25" s="53"/>
    </row>
    <row r="26" spans="1:36" ht="12.75" hidden="1">
      <c r="B26" s="758" t="s">
        <v>109</v>
      </c>
      <c r="C26" s="53">
        <f ca="1">IFERROR(__xludf.DUMMYFUNCTION("IMPORTRANGE(""https://docs.google.com/spreadsheets/d/1PsUKG3ee57b5sx42omjfZd9CYxuRONokMWtiORmUc0s/edit#gid=223128675"",""'Абай'!E29"")"),0)</f>
        <v>0</v>
      </c>
      <c r="D26" s="316">
        <f t="shared" ca="1" si="2"/>
        <v>0</v>
      </c>
      <c r="E26" s="316">
        <f ca="1">'СВОД с ЦА (анализ)'!AS29</f>
        <v>0</v>
      </c>
      <c r="F26" s="759"/>
      <c r="G26" s="759"/>
      <c r="H26" s="760"/>
      <c r="I26" s="761"/>
      <c r="J26" s="292"/>
      <c r="K26" s="292"/>
      <c r="L26" s="53"/>
      <c r="M26" s="751"/>
      <c r="N26" s="53"/>
      <c r="O26" s="739"/>
      <c r="P26" s="739"/>
      <c r="Q26" s="739"/>
      <c r="R26" s="53"/>
      <c r="S26" s="53"/>
    </row>
    <row r="27" spans="1:36" ht="12.75">
      <c r="A27" s="255"/>
      <c r="B27" s="255"/>
      <c r="C27" s="762">
        <f t="shared" ref="C27:E27" ca="1" si="3">SUM(C6:C26)</f>
        <v>9088.3000000000011</v>
      </c>
      <c r="D27" s="762" t="e">
        <f t="shared" ca="1" si="3"/>
        <v>#VALUE!</v>
      </c>
      <c r="E27" s="762">
        <f t="shared" ca="1" si="3"/>
        <v>5290.2380999999987</v>
      </c>
      <c r="F27" s="763"/>
      <c r="G27" s="763"/>
      <c r="H27" s="764"/>
      <c r="I27" s="765"/>
      <c r="J27" s="356"/>
      <c r="K27" s="356"/>
      <c r="L27" s="678"/>
      <c r="M27" s="678"/>
      <c r="N27" s="678"/>
      <c r="O27" s="766"/>
      <c r="P27" s="766"/>
      <c r="Q27" s="766"/>
      <c r="R27" s="678"/>
      <c r="S27" s="678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55"/>
      <c r="AI27" s="255"/>
      <c r="AJ27" s="255"/>
    </row>
    <row r="28" spans="1:36" ht="12.75">
      <c r="F28" s="724"/>
      <c r="G28" s="724"/>
      <c r="H28" s="47"/>
      <c r="I28" s="47"/>
      <c r="O28" s="19"/>
      <c r="P28" s="19"/>
      <c r="Q28" s="19"/>
    </row>
    <row r="29" spans="1:36" ht="12.75">
      <c r="E29" s="14">
        <f>J27</f>
        <v>0</v>
      </c>
      <c r="F29" s="724"/>
      <c r="G29" s="724"/>
      <c r="H29" s="47"/>
      <c r="I29" s="47"/>
      <c r="O29" s="19"/>
      <c r="P29" s="19"/>
      <c r="Q29" s="19"/>
    </row>
    <row r="30" spans="1:36" ht="12.75">
      <c r="F30" s="724"/>
      <c r="G30" s="724"/>
      <c r="H30" s="47"/>
      <c r="I30" s="47"/>
      <c r="O30" s="19"/>
      <c r="P30" s="19"/>
      <c r="Q30" s="19"/>
    </row>
    <row r="31" spans="1:36" ht="12.75">
      <c r="E31" s="767">
        <f ca="1">E27-E29</f>
        <v>5290.2380999999987</v>
      </c>
      <c r="F31" s="724"/>
      <c r="G31" s="724"/>
      <c r="H31" s="47"/>
      <c r="I31" s="47"/>
      <c r="O31" s="19"/>
      <c r="P31" s="19"/>
      <c r="Q31" s="19"/>
    </row>
    <row r="32" spans="1:36" ht="12.75">
      <c r="F32" s="724"/>
      <c r="G32" s="724"/>
      <c r="H32" s="47"/>
      <c r="I32" s="47"/>
      <c r="O32" s="19"/>
      <c r="P32" s="19"/>
      <c r="Q32" s="19"/>
    </row>
    <row r="33" spans="5:17" ht="12.75">
      <c r="E33" s="12">
        <v>239458</v>
      </c>
      <c r="F33" s="724"/>
      <c r="G33" s="724"/>
      <c r="H33" s="47"/>
      <c r="I33" s="47"/>
      <c r="O33" s="19"/>
      <c r="P33" s="19"/>
      <c r="Q33" s="19"/>
    </row>
    <row r="34" spans="5:17" ht="12.75">
      <c r="F34" s="724"/>
      <c r="G34" s="724"/>
      <c r="H34" s="47"/>
      <c r="I34" s="47"/>
      <c r="O34" s="19"/>
      <c r="P34" s="19"/>
      <c r="Q34" s="19"/>
    </row>
    <row r="35" spans="5:17" ht="12.75">
      <c r="F35" s="724"/>
      <c r="G35" s="724"/>
      <c r="H35" s="47"/>
      <c r="I35" s="47"/>
      <c r="O35" s="19"/>
      <c r="P35" s="19"/>
      <c r="Q35" s="19"/>
    </row>
    <row r="36" spans="5:17" ht="12.75">
      <c r="F36" s="724"/>
      <c r="G36" s="724"/>
      <c r="H36" s="47"/>
      <c r="I36" s="47"/>
      <c r="O36" s="19"/>
      <c r="P36" s="19"/>
      <c r="Q36" s="19"/>
    </row>
    <row r="37" spans="5:17" ht="12.75">
      <c r="F37" s="724"/>
      <c r="G37" s="724"/>
      <c r="H37" s="47"/>
      <c r="I37" s="47"/>
      <c r="O37" s="19"/>
      <c r="P37" s="19"/>
      <c r="Q37" s="19"/>
    </row>
    <row r="38" spans="5:17" ht="12.75">
      <c r="F38" s="724"/>
      <c r="G38" s="724"/>
      <c r="H38" s="47"/>
      <c r="I38" s="47"/>
      <c r="O38" s="19"/>
      <c r="P38" s="19"/>
      <c r="Q38" s="19"/>
    </row>
    <row r="39" spans="5:17" ht="12.75">
      <c r="F39" s="724"/>
      <c r="G39" s="724"/>
      <c r="H39" s="47"/>
      <c r="I39" s="47"/>
      <c r="O39" s="19"/>
      <c r="P39" s="19"/>
      <c r="Q39" s="19"/>
    </row>
    <row r="40" spans="5:17" ht="12.75">
      <c r="F40" s="724"/>
      <c r="G40" s="724"/>
      <c r="H40" s="47"/>
      <c r="I40" s="47"/>
      <c r="O40" s="19"/>
      <c r="P40" s="19"/>
      <c r="Q40" s="19"/>
    </row>
    <row r="41" spans="5:17" ht="12.75">
      <c r="F41" s="724"/>
      <c r="G41" s="724"/>
      <c r="H41" s="47"/>
      <c r="I41" s="47"/>
      <c r="O41" s="19"/>
      <c r="P41" s="19"/>
      <c r="Q41" s="19"/>
    </row>
    <row r="42" spans="5:17" ht="12.75">
      <c r="F42" s="724"/>
      <c r="G42" s="724"/>
      <c r="H42" s="47"/>
      <c r="I42" s="47"/>
      <c r="O42" s="19"/>
      <c r="P42" s="19"/>
      <c r="Q42" s="19"/>
    </row>
    <row r="43" spans="5:17" ht="12.75">
      <c r="F43" s="724"/>
      <c r="G43" s="724"/>
      <c r="H43" s="47"/>
      <c r="I43" s="47"/>
      <c r="O43" s="19"/>
      <c r="P43" s="19"/>
      <c r="Q43" s="19"/>
    </row>
    <row r="44" spans="5:17" ht="12.75">
      <c r="F44" s="724"/>
      <c r="G44" s="724"/>
      <c r="H44" s="47"/>
      <c r="I44" s="47"/>
      <c r="O44" s="19"/>
      <c r="P44" s="19"/>
      <c r="Q44" s="19"/>
    </row>
    <row r="45" spans="5:17" ht="12.75">
      <c r="F45" s="724"/>
      <c r="G45" s="724"/>
      <c r="H45" s="47"/>
      <c r="I45" s="47"/>
      <c r="O45" s="19"/>
      <c r="P45" s="19"/>
      <c r="Q45" s="19"/>
    </row>
    <row r="46" spans="5:17" ht="12.75">
      <c r="F46" s="724"/>
      <c r="G46" s="724"/>
      <c r="H46" s="47"/>
      <c r="I46" s="47"/>
      <c r="O46" s="19"/>
      <c r="P46" s="19"/>
      <c r="Q46" s="19"/>
    </row>
    <row r="47" spans="5:17" ht="12.75">
      <c r="F47" s="724"/>
      <c r="G47" s="724"/>
      <c r="H47" s="47"/>
      <c r="I47" s="47"/>
      <c r="O47" s="19"/>
      <c r="P47" s="19"/>
      <c r="Q47" s="19"/>
    </row>
    <row r="48" spans="5:17" ht="12.75">
      <c r="F48" s="724"/>
      <c r="G48" s="724"/>
      <c r="H48" s="47"/>
      <c r="I48" s="47"/>
      <c r="O48" s="19"/>
      <c r="P48" s="19"/>
      <c r="Q48" s="19"/>
    </row>
    <row r="49" spans="6:17" ht="12.75">
      <c r="F49" s="724"/>
      <c r="G49" s="724"/>
      <c r="H49" s="47"/>
      <c r="I49" s="47"/>
      <c r="O49" s="19"/>
      <c r="P49" s="19"/>
      <c r="Q49" s="19"/>
    </row>
    <row r="50" spans="6:17" ht="12.75">
      <c r="F50" s="724"/>
      <c r="G50" s="724"/>
      <c r="H50" s="47"/>
      <c r="I50" s="47"/>
      <c r="O50" s="19"/>
      <c r="P50" s="19"/>
      <c r="Q50" s="19"/>
    </row>
    <row r="51" spans="6:17" ht="12.75">
      <c r="F51" s="724"/>
      <c r="G51" s="724"/>
      <c r="H51" s="47"/>
      <c r="I51" s="47"/>
      <c r="O51" s="19"/>
      <c r="P51" s="19"/>
      <c r="Q51" s="19"/>
    </row>
    <row r="52" spans="6:17" ht="12.75">
      <c r="F52" s="724"/>
      <c r="G52" s="724"/>
      <c r="H52" s="47"/>
      <c r="I52" s="47"/>
      <c r="O52" s="19"/>
      <c r="P52" s="19"/>
      <c r="Q52" s="19"/>
    </row>
    <row r="53" spans="6:17" ht="12.75">
      <c r="F53" s="724"/>
      <c r="G53" s="724"/>
      <c r="H53" s="47"/>
      <c r="I53" s="47"/>
      <c r="O53" s="19"/>
      <c r="P53" s="19"/>
      <c r="Q53" s="19"/>
    </row>
    <row r="54" spans="6:17" ht="12.75">
      <c r="F54" s="724"/>
      <c r="G54" s="724"/>
      <c r="H54" s="47"/>
      <c r="I54" s="47"/>
      <c r="O54" s="19"/>
      <c r="P54" s="19"/>
      <c r="Q54" s="19"/>
    </row>
    <row r="55" spans="6:17" ht="12.75">
      <c r="F55" s="724"/>
      <c r="G55" s="724"/>
      <c r="H55" s="47"/>
      <c r="I55" s="47"/>
      <c r="O55" s="19"/>
      <c r="P55" s="19"/>
      <c r="Q55" s="19"/>
    </row>
    <row r="56" spans="6:17" ht="12.75">
      <c r="F56" s="724"/>
      <c r="G56" s="724"/>
      <c r="H56" s="47"/>
      <c r="I56" s="47"/>
      <c r="O56" s="19"/>
      <c r="P56" s="19"/>
      <c r="Q56" s="19"/>
    </row>
    <row r="57" spans="6:17" ht="12.75">
      <c r="F57" s="724"/>
      <c r="G57" s="724"/>
      <c r="H57" s="47"/>
      <c r="I57" s="47"/>
      <c r="O57" s="19"/>
      <c r="P57" s="19"/>
      <c r="Q57" s="19"/>
    </row>
    <row r="58" spans="6:17" ht="12.75">
      <c r="F58" s="724"/>
      <c r="G58" s="724"/>
      <c r="H58" s="47"/>
      <c r="I58" s="47"/>
      <c r="O58" s="19"/>
      <c r="P58" s="19"/>
      <c r="Q58" s="19"/>
    </row>
    <row r="59" spans="6:17" ht="12.75">
      <c r="F59" s="724"/>
      <c r="G59" s="724"/>
      <c r="H59" s="47"/>
      <c r="I59" s="47"/>
      <c r="O59" s="19"/>
      <c r="P59" s="19"/>
      <c r="Q59" s="19"/>
    </row>
    <row r="60" spans="6:17" ht="12.75">
      <c r="F60" s="724"/>
      <c r="G60" s="724"/>
      <c r="H60" s="47"/>
      <c r="I60" s="47"/>
      <c r="O60" s="19"/>
      <c r="P60" s="19"/>
      <c r="Q60" s="19"/>
    </row>
    <row r="61" spans="6:17" ht="12.75">
      <c r="F61" s="724"/>
      <c r="G61" s="724"/>
      <c r="H61" s="47"/>
      <c r="I61" s="47"/>
      <c r="O61" s="19"/>
      <c r="P61" s="19"/>
      <c r="Q61" s="19"/>
    </row>
    <row r="62" spans="6:17" ht="12.75">
      <c r="F62" s="724"/>
      <c r="G62" s="724"/>
      <c r="H62" s="47"/>
      <c r="I62" s="47"/>
      <c r="O62" s="19"/>
      <c r="P62" s="19"/>
      <c r="Q62" s="19"/>
    </row>
    <row r="63" spans="6:17" ht="12.75">
      <c r="F63" s="724"/>
      <c r="G63" s="724"/>
      <c r="H63" s="47"/>
      <c r="I63" s="47"/>
      <c r="O63" s="19"/>
      <c r="P63" s="19"/>
      <c r="Q63" s="19"/>
    </row>
    <row r="64" spans="6:17" ht="12.75">
      <c r="F64" s="724"/>
      <c r="G64" s="724"/>
      <c r="H64" s="47"/>
      <c r="I64" s="47"/>
      <c r="O64" s="19"/>
      <c r="P64" s="19"/>
      <c r="Q64" s="19"/>
    </row>
    <row r="65" spans="6:17" ht="12.75">
      <c r="F65" s="724"/>
      <c r="G65" s="724"/>
      <c r="H65" s="47"/>
      <c r="I65" s="47"/>
      <c r="O65" s="19"/>
      <c r="P65" s="19"/>
      <c r="Q65" s="19"/>
    </row>
    <row r="66" spans="6:17" ht="12.75">
      <c r="F66" s="724"/>
      <c r="G66" s="724"/>
      <c r="H66" s="47"/>
      <c r="I66" s="47"/>
      <c r="O66" s="19"/>
      <c r="P66" s="19"/>
      <c r="Q66" s="19"/>
    </row>
    <row r="67" spans="6:17" ht="12.75">
      <c r="F67" s="724"/>
      <c r="G67" s="724"/>
      <c r="H67" s="47"/>
      <c r="I67" s="47"/>
      <c r="O67" s="19"/>
      <c r="P67" s="19"/>
      <c r="Q67" s="19"/>
    </row>
    <row r="68" spans="6:17" ht="12.75">
      <c r="F68" s="724"/>
      <c r="G68" s="724"/>
      <c r="H68" s="47"/>
      <c r="I68" s="47"/>
      <c r="O68" s="19"/>
      <c r="P68" s="19"/>
      <c r="Q68" s="19"/>
    </row>
    <row r="69" spans="6:17" ht="12.75">
      <c r="F69" s="724"/>
      <c r="G69" s="724"/>
      <c r="H69" s="47"/>
      <c r="I69" s="47"/>
      <c r="O69" s="19"/>
      <c r="P69" s="19"/>
      <c r="Q69" s="19"/>
    </row>
    <row r="70" spans="6:17" ht="12.75">
      <c r="F70" s="724"/>
      <c r="G70" s="724"/>
      <c r="H70" s="47"/>
      <c r="I70" s="47"/>
      <c r="O70" s="19"/>
      <c r="P70" s="19"/>
      <c r="Q70" s="19"/>
    </row>
    <row r="71" spans="6:17" ht="12.75">
      <c r="F71" s="724"/>
      <c r="G71" s="724"/>
      <c r="H71" s="47"/>
      <c r="I71" s="47"/>
      <c r="O71" s="19"/>
      <c r="P71" s="19"/>
      <c r="Q71" s="19"/>
    </row>
    <row r="72" spans="6:17" ht="12.75">
      <c r="F72" s="724"/>
      <c r="G72" s="724"/>
      <c r="H72" s="47"/>
      <c r="I72" s="47"/>
      <c r="O72" s="19"/>
      <c r="P72" s="19"/>
      <c r="Q72" s="19"/>
    </row>
    <row r="73" spans="6:17" ht="12.75">
      <c r="F73" s="724"/>
      <c r="G73" s="724"/>
      <c r="H73" s="47"/>
      <c r="I73" s="47"/>
      <c r="O73" s="19"/>
      <c r="P73" s="19"/>
      <c r="Q73" s="19"/>
    </row>
    <row r="74" spans="6:17" ht="12.75">
      <c r="F74" s="724"/>
      <c r="G74" s="724"/>
      <c r="H74" s="47"/>
      <c r="I74" s="47"/>
      <c r="O74" s="19"/>
      <c r="P74" s="19"/>
      <c r="Q74" s="19"/>
    </row>
    <row r="75" spans="6:17" ht="12.75">
      <c r="F75" s="724"/>
      <c r="G75" s="724"/>
      <c r="H75" s="47"/>
      <c r="I75" s="47"/>
      <c r="O75" s="19"/>
      <c r="P75" s="19"/>
      <c r="Q75" s="19"/>
    </row>
    <row r="76" spans="6:17" ht="12.75">
      <c r="F76" s="724"/>
      <c r="G76" s="724"/>
      <c r="H76" s="47"/>
      <c r="I76" s="47"/>
      <c r="O76" s="19"/>
      <c r="P76" s="19"/>
      <c r="Q76" s="19"/>
    </row>
    <row r="77" spans="6:17" ht="12.75">
      <c r="F77" s="724"/>
      <c r="G77" s="724"/>
      <c r="H77" s="47"/>
      <c r="I77" s="47"/>
      <c r="O77" s="19"/>
      <c r="P77" s="19"/>
      <c r="Q77" s="19"/>
    </row>
    <row r="78" spans="6:17" ht="12.75">
      <c r="F78" s="724"/>
      <c r="G78" s="724"/>
      <c r="H78" s="47"/>
      <c r="I78" s="47"/>
      <c r="O78" s="19"/>
      <c r="P78" s="19"/>
      <c r="Q78" s="19"/>
    </row>
    <row r="79" spans="6:17" ht="12.75">
      <c r="F79" s="724"/>
      <c r="G79" s="724"/>
      <c r="H79" s="47"/>
      <c r="I79" s="47"/>
      <c r="O79" s="19"/>
      <c r="P79" s="19"/>
      <c r="Q79" s="19"/>
    </row>
    <row r="80" spans="6:17" ht="12.75">
      <c r="F80" s="724"/>
      <c r="G80" s="724"/>
      <c r="H80" s="47"/>
      <c r="I80" s="47"/>
      <c r="O80" s="19"/>
      <c r="P80" s="19"/>
      <c r="Q80" s="19"/>
    </row>
    <row r="81" spans="6:17" ht="12.75">
      <c r="F81" s="724"/>
      <c r="G81" s="724"/>
      <c r="H81" s="47"/>
      <c r="I81" s="47"/>
      <c r="O81" s="19"/>
      <c r="P81" s="19"/>
      <c r="Q81" s="19"/>
    </row>
    <row r="82" spans="6:17" ht="12.75">
      <c r="F82" s="724"/>
      <c r="G82" s="724"/>
      <c r="H82" s="47"/>
      <c r="I82" s="47"/>
      <c r="O82" s="19"/>
      <c r="P82" s="19"/>
      <c r="Q82" s="19"/>
    </row>
    <row r="83" spans="6:17" ht="12.75">
      <c r="F83" s="724"/>
      <c r="G83" s="724"/>
      <c r="H83" s="47"/>
      <c r="I83" s="47"/>
      <c r="O83" s="19"/>
      <c r="P83" s="19"/>
      <c r="Q83" s="19"/>
    </row>
    <row r="84" spans="6:17" ht="12.75">
      <c r="F84" s="724"/>
      <c r="G84" s="724"/>
      <c r="H84" s="47"/>
      <c r="I84" s="47"/>
      <c r="O84" s="19"/>
      <c r="P84" s="19"/>
      <c r="Q84" s="19"/>
    </row>
    <row r="85" spans="6:17" ht="12.75">
      <c r="F85" s="724"/>
      <c r="G85" s="724"/>
      <c r="H85" s="47"/>
      <c r="I85" s="47"/>
      <c r="O85" s="19"/>
      <c r="P85" s="19"/>
      <c r="Q85" s="19"/>
    </row>
    <row r="86" spans="6:17" ht="12.75">
      <c r="F86" s="724"/>
      <c r="G86" s="724"/>
      <c r="H86" s="47"/>
      <c r="I86" s="47"/>
      <c r="O86" s="19"/>
      <c r="P86" s="19"/>
      <c r="Q86" s="19"/>
    </row>
    <row r="87" spans="6:17" ht="12.75">
      <c r="F87" s="724"/>
      <c r="G87" s="724"/>
      <c r="H87" s="47"/>
      <c r="I87" s="47"/>
      <c r="O87" s="19"/>
      <c r="P87" s="19"/>
      <c r="Q87" s="19"/>
    </row>
    <row r="88" spans="6:17" ht="12.75">
      <c r="F88" s="724"/>
      <c r="G88" s="724"/>
      <c r="H88" s="47"/>
      <c r="I88" s="47"/>
      <c r="O88" s="19"/>
      <c r="P88" s="19"/>
      <c r="Q88" s="19"/>
    </row>
    <row r="89" spans="6:17" ht="12.75">
      <c r="F89" s="724"/>
      <c r="G89" s="724"/>
      <c r="H89" s="47"/>
      <c r="I89" s="47"/>
      <c r="O89" s="19"/>
      <c r="P89" s="19"/>
      <c r="Q89" s="19"/>
    </row>
    <row r="90" spans="6:17" ht="12.75">
      <c r="F90" s="724"/>
      <c r="G90" s="724"/>
      <c r="H90" s="47"/>
      <c r="I90" s="47"/>
      <c r="O90" s="19"/>
      <c r="P90" s="19"/>
      <c r="Q90" s="19"/>
    </row>
    <row r="91" spans="6:17" ht="12.75">
      <c r="F91" s="724"/>
      <c r="G91" s="724"/>
      <c r="H91" s="47"/>
      <c r="I91" s="47"/>
      <c r="O91" s="19"/>
      <c r="P91" s="19"/>
      <c r="Q91" s="19"/>
    </row>
    <row r="92" spans="6:17" ht="12.75">
      <c r="F92" s="724"/>
      <c r="G92" s="724"/>
      <c r="H92" s="47"/>
      <c r="I92" s="47"/>
      <c r="O92" s="19"/>
      <c r="P92" s="19"/>
      <c r="Q92" s="19"/>
    </row>
    <row r="93" spans="6:17" ht="12.75">
      <c r="F93" s="724"/>
      <c r="G93" s="724"/>
      <c r="H93" s="47"/>
      <c r="I93" s="47"/>
      <c r="O93" s="19"/>
      <c r="P93" s="19"/>
      <c r="Q93" s="19"/>
    </row>
    <row r="94" spans="6:17" ht="12.75">
      <c r="F94" s="724"/>
      <c r="G94" s="724"/>
      <c r="H94" s="47"/>
      <c r="I94" s="47"/>
      <c r="O94" s="19"/>
      <c r="P94" s="19"/>
      <c r="Q94" s="19"/>
    </row>
    <row r="95" spans="6:17" ht="12.75">
      <c r="F95" s="724"/>
      <c r="G95" s="724"/>
      <c r="H95" s="47"/>
      <c r="I95" s="47"/>
      <c r="O95" s="19"/>
      <c r="P95" s="19"/>
      <c r="Q95" s="19"/>
    </row>
    <row r="96" spans="6:17" ht="12.75">
      <c r="F96" s="724"/>
      <c r="G96" s="724"/>
      <c r="H96" s="47"/>
      <c r="I96" s="47"/>
      <c r="O96" s="19"/>
      <c r="P96" s="19"/>
      <c r="Q96" s="19"/>
    </row>
    <row r="97" spans="6:17" ht="12.75">
      <c r="F97" s="724"/>
      <c r="G97" s="724"/>
      <c r="H97" s="47"/>
      <c r="I97" s="47"/>
      <c r="O97" s="19"/>
      <c r="P97" s="19"/>
      <c r="Q97" s="19"/>
    </row>
    <row r="98" spans="6:17" ht="12.75">
      <c r="F98" s="724"/>
      <c r="G98" s="724"/>
      <c r="H98" s="47"/>
      <c r="I98" s="47"/>
      <c r="O98" s="19"/>
      <c r="P98" s="19"/>
      <c r="Q98" s="19"/>
    </row>
    <row r="99" spans="6:17" ht="12.75">
      <c r="F99" s="724"/>
      <c r="G99" s="724"/>
      <c r="H99" s="47"/>
      <c r="I99" s="47"/>
      <c r="O99" s="19"/>
      <c r="P99" s="19"/>
      <c r="Q99" s="19"/>
    </row>
    <row r="100" spans="6:17" ht="12.75">
      <c r="F100" s="724"/>
      <c r="G100" s="724"/>
      <c r="H100" s="47"/>
      <c r="I100" s="47"/>
      <c r="O100" s="19"/>
      <c r="P100" s="19"/>
      <c r="Q100" s="19"/>
    </row>
    <row r="101" spans="6:17" ht="12.75">
      <c r="F101" s="724"/>
      <c r="G101" s="724"/>
      <c r="H101" s="47"/>
      <c r="I101" s="47"/>
      <c r="O101" s="19"/>
      <c r="P101" s="19"/>
      <c r="Q101" s="19"/>
    </row>
    <row r="102" spans="6:17" ht="12.75">
      <c r="F102" s="724"/>
      <c r="G102" s="724"/>
      <c r="H102" s="47"/>
      <c r="I102" s="47"/>
      <c r="O102" s="19"/>
      <c r="P102" s="19"/>
      <c r="Q102" s="19"/>
    </row>
    <row r="103" spans="6:17" ht="12.75">
      <c r="F103" s="724"/>
      <c r="G103" s="724"/>
      <c r="H103" s="47"/>
      <c r="I103" s="47"/>
      <c r="O103" s="19"/>
      <c r="P103" s="19"/>
      <c r="Q103" s="19"/>
    </row>
    <row r="104" spans="6:17" ht="12.75">
      <c r="F104" s="724"/>
      <c r="G104" s="724"/>
      <c r="H104" s="47"/>
      <c r="I104" s="47"/>
      <c r="O104" s="19"/>
      <c r="P104" s="19"/>
      <c r="Q104" s="19"/>
    </row>
    <row r="105" spans="6:17" ht="12.75">
      <c r="F105" s="724"/>
      <c r="G105" s="724"/>
      <c r="H105" s="47"/>
      <c r="I105" s="47"/>
      <c r="O105" s="19"/>
      <c r="P105" s="19"/>
      <c r="Q105" s="19"/>
    </row>
    <row r="106" spans="6:17" ht="12.75">
      <c r="F106" s="724"/>
      <c r="G106" s="724"/>
      <c r="H106" s="47"/>
      <c r="I106" s="47"/>
      <c r="O106" s="19"/>
      <c r="P106" s="19"/>
      <c r="Q106" s="19"/>
    </row>
    <row r="107" spans="6:17" ht="12.75">
      <c r="F107" s="724"/>
      <c r="G107" s="724"/>
      <c r="H107" s="47"/>
      <c r="I107" s="47"/>
      <c r="O107" s="19"/>
      <c r="P107" s="19"/>
      <c r="Q107" s="19"/>
    </row>
    <row r="108" spans="6:17" ht="12.75">
      <c r="F108" s="724"/>
      <c r="G108" s="724"/>
      <c r="H108" s="47"/>
      <c r="I108" s="47"/>
      <c r="O108" s="19"/>
      <c r="P108" s="19"/>
      <c r="Q108" s="19"/>
    </row>
    <row r="109" spans="6:17" ht="12.75">
      <c r="F109" s="724"/>
      <c r="G109" s="724"/>
      <c r="H109" s="47"/>
      <c r="I109" s="47"/>
      <c r="O109" s="19"/>
      <c r="P109" s="19"/>
      <c r="Q109" s="19"/>
    </row>
    <row r="110" spans="6:17" ht="12.75">
      <c r="F110" s="724"/>
      <c r="G110" s="724"/>
      <c r="H110" s="47"/>
      <c r="I110" s="47"/>
      <c r="O110" s="19"/>
      <c r="P110" s="19"/>
      <c r="Q110" s="19"/>
    </row>
    <row r="111" spans="6:17" ht="12.75">
      <c r="F111" s="724"/>
      <c r="G111" s="724"/>
      <c r="H111" s="47"/>
      <c r="I111" s="47"/>
      <c r="O111" s="19"/>
      <c r="P111" s="19"/>
      <c r="Q111" s="19"/>
    </row>
    <row r="112" spans="6:17" ht="12.75">
      <c r="F112" s="724"/>
      <c r="G112" s="724"/>
      <c r="H112" s="47"/>
      <c r="I112" s="47"/>
      <c r="O112" s="19"/>
      <c r="P112" s="19"/>
      <c r="Q112" s="19"/>
    </row>
    <row r="113" spans="6:17" ht="12.75">
      <c r="F113" s="724"/>
      <c r="G113" s="724"/>
      <c r="H113" s="47"/>
      <c r="I113" s="47"/>
      <c r="O113" s="19"/>
      <c r="P113" s="19"/>
      <c r="Q113" s="19"/>
    </row>
    <row r="114" spans="6:17" ht="12.75">
      <c r="F114" s="724"/>
      <c r="G114" s="724"/>
      <c r="H114" s="47"/>
      <c r="I114" s="47"/>
      <c r="O114" s="19"/>
      <c r="P114" s="19"/>
      <c r="Q114" s="19"/>
    </row>
    <row r="115" spans="6:17" ht="12.75">
      <c r="F115" s="724"/>
      <c r="G115" s="724"/>
      <c r="H115" s="47"/>
      <c r="I115" s="47"/>
      <c r="O115" s="19"/>
      <c r="P115" s="19"/>
      <c r="Q115" s="19"/>
    </row>
    <row r="116" spans="6:17" ht="12.75">
      <c r="F116" s="724"/>
      <c r="G116" s="724"/>
      <c r="H116" s="47"/>
      <c r="I116" s="47"/>
      <c r="O116" s="19"/>
      <c r="P116" s="19"/>
      <c r="Q116" s="19"/>
    </row>
    <row r="117" spans="6:17" ht="12.75">
      <c r="F117" s="724"/>
      <c r="G117" s="724"/>
      <c r="H117" s="47"/>
      <c r="I117" s="47"/>
      <c r="O117" s="19"/>
      <c r="P117" s="19"/>
      <c r="Q117" s="19"/>
    </row>
    <row r="118" spans="6:17" ht="12.75">
      <c r="F118" s="724"/>
      <c r="G118" s="724"/>
      <c r="H118" s="47"/>
      <c r="I118" s="47"/>
      <c r="O118" s="19"/>
      <c r="P118" s="19"/>
      <c r="Q118" s="19"/>
    </row>
    <row r="119" spans="6:17" ht="12.75">
      <c r="F119" s="724"/>
      <c r="G119" s="724"/>
      <c r="H119" s="47"/>
      <c r="I119" s="47"/>
      <c r="O119" s="19"/>
      <c r="P119" s="19"/>
      <c r="Q119" s="19"/>
    </row>
    <row r="120" spans="6:17" ht="12.75">
      <c r="F120" s="724"/>
      <c r="G120" s="724"/>
      <c r="H120" s="47"/>
      <c r="I120" s="47"/>
      <c r="O120" s="19"/>
      <c r="P120" s="19"/>
      <c r="Q120" s="19"/>
    </row>
    <row r="121" spans="6:17" ht="12.75">
      <c r="F121" s="724"/>
      <c r="G121" s="724"/>
      <c r="H121" s="47"/>
      <c r="I121" s="47"/>
      <c r="O121" s="19"/>
      <c r="P121" s="19"/>
      <c r="Q121" s="19"/>
    </row>
    <row r="122" spans="6:17" ht="12.75">
      <c r="F122" s="724"/>
      <c r="G122" s="724"/>
      <c r="H122" s="47"/>
      <c r="I122" s="47"/>
      <c r="O122" s="19"/>
      <c r="P122" s="19"/>
      <c r="Q122" s="19"/>
    </row>
    <row r="123" spans="6:17" ht="12.75">
      <c r="F123" s="724"/>
      <c r="G123" s="724"/>
      <c r="H123" s="47"/>
      <c r="I123" s="47"/>
      <c r="O123" s="19"/>
      <c r="P123" s="19"/>
      <c r="Q123" s="19"/>
    </row>
    <row r="124" spans="6:17" ht="12.75">
      <c r="F124" s="724"/>
      <c r="G124" s="724"/>
      <c r="H124" s="47"/>
      <c r="I124" s="47"/>
      <c r="O124" s="19"/>
      <c r="P124" s="19"/>
      <c r="Q124" s="19"/>
    </row>
    <row r="125" spans="6:17" ht="12.75">
      <c r="F125" s="724"/>
      <c r="G125" s="724"/>
      <c r="H125" s="47"/>
      <c r="I125" s="47"/>
      <c r="O125" s="19"/>
      <c r="P125" s="19"/>
      <c r="Q125" s="19"/>
    </row>
    <row r="126" spans="6:17" ht="12.75">
      <c r="F126" s="724"/>
      <c r="G126" s="724"/>
      <c r="H126" s="47"/>
      <c r="I126" s="47"/>
      <c r="O126" s="19"/>
      <c r="P126" s="19"/>
      <c r="Q126" s="19"/>
    </row>
    <row r="127" spans="6:17" ht="12.75">
      <c r="F127" s="724"/>
      <c r="G127" s="724"/>
      <c r="H127" s="47"/>
      <c r="I127" s="47"/>
      <c r="O127" s="19"/>
      <c r="P127" s="19"/>
      <c r="Q127" s="19"/>
    </row>
    <row r="128" spans="6:17" ht="12.75">
      <c r="F128" s="724"/>
      <c r="G128" s="724"/>
      <c r="H128" s="47"/>
      <c r="I128" s="47"/>
      <c r="O128" s="19"/>
      <c r="P128" s="19"/>
      <c r="Q128" s="19"/>
    </row>
    <row r="129" spans="6:17" ht="12.75">
      <c r="F129" s="724"/>
      <c r="G129" s="724"/>
      <c r="H129" s="47"/>
      <c r="I129" s="47"/>
      <c r="O129" s="19"/>
      <c r="P129" s="19"/>
      <c r="Q129" s="19"/>
    </row>
    <row r="130" spans="6:17" ht="12.75">
      <c r="F130" s="724"/>
      <c r="G130" s="724"/>
      <c r="H130" s="47"/>
      <c r="I130" s="47"/>
      <c r="O130" s="19"/>
      <c r="P130" s="19"/>
      <c r="Q130" s="19"/>
    </row>
    <row r="131" spans="6:17" ht="12.75">
      <c r="F131" s="724"/>
      <c r="G131" s="724"/>
      <c r="H131" s="47"/>
      <c r="I131" s="47"/>
      <c r="O131" s="19"/>
      <c r="P131" s="19"/>
      <c r="Q131" s="19"/>
    </row>
    <row r="132" spans="6:17" ht="12.75">
      <c r="F132" s="724"/>
      <c r="G132" s="724"/>
      <c r="H132" s="47"/>
      <c r="I132" s="47"/>
      <c r="O132" s="19"/>
      <c r="P132" s="19"/>
      <c r="Q132" s="19"/>
    </row>
    <row r="133" spans="6:17" ht="12.75">
      <c r="F133" s="724"/>
      <c r="G133" s="724"/>
      <c r="H133" s="47"/>
      <c r="I133" s="47"/>
      <c r="O133" s="19"/>
      <c r="P133" s="19"/>
      <c r="Q133" s="19"/>
    </row>
    <row r="134" spans="6:17" ht="12.75">
      <c r="F134" s="724"/>
      <c r="G134" s="724"/>
      <c r="H134" s="47"/>
      <c r="I134" s="47"/>
      <c r="O134" s="19"/>
      <c r="P134" s="19"/>
      <c r="Q134" s="19"/>
    </row>
    <row r="135" spans="6:17" ht="12.75">
      <c r="F135" s="724"/>
      <c r="G135" s="724"/>
      <c r="H135" s="47"/>
      <c r="I135" s="47"/>
      <c r="O135" s="19"/>
      <c r="P135" s="19"/>
      <c r="Q135" s="19"/>
    </row>
    <row r="136" spans="6:17" ht="12.75">
      <c r="F136" s="724"/>
      <c r="G136" s="724"/>
      <c r="H136" s="47"/>
      <c r="I136" s="47"/>
      <c r="O136" s="19"/>
      <c r="P136" s="19"/>
      <c r="Q136" s="19"/>
    </row>
    <row r="137" spans="6:17" ht="12.75">
      <c r="F137" s="724"/>
      <c r="G137" s="724"/>
      <c r="H137" s="47"/>
      <c r="I137" s="47"/>
      <c r="O137" s="19"/>
      <c r="P137" s="19"/>
      <c r="Q137" s="19"/>
    </row>
    <row r="138" spans="6:17" ht="12.75">
      <c r="F138" s="724"/>
      <c r="G138" s="724"/>
      <c r="H138" s="47"/>
      <c r="I138" s="47"/>
      <c r="O138" s="19"/>
      <c r="P138" s="19"/>
      <c r="Q138" s="19"/>
    </row>
    <row r="139" spans="6:17" ht="12.75">
      <c r="F139" s="724"/>
      <c r="G139" s="724"/>
      <c r="H139" s="47"/>
      <c r="I139" s="47"/>
      <c r="O139" s="19"/>
      <c r="P139" s="19"/>
      <c r="Q139" s="19"/>
    </row>
    <row r="140" spans="6:17" ht="12.75">
      <c r="F140" s="724"/>
      <c r="G140" s="724"/>
      <c r="H140" s="47"/>
      <c r="I140" s="47"/>
      <c r="O140" s="19"/>
      <c r="P140" s="19"/>
      <c r="Q140" s="19"/>
    </row>
    <row r="141" spans="6:17" ht="12.75">
      <c r="F141" s="724"/>
      <c r="G141" s="724"/>
      <c r="H141" s="47"/>
      <c r="I141" s="47"/>
      <c r="O141" s="19"/>
      <c r="P141" s="19"/>
      <c r="Q141" s="19"/>
    </row>
    <row r="142" spans="6:17" ht="12.75">
      <c r="F142" s="724"/>
      <c r="G142" s="724"/>
      <c r="H142" s="47"/>
      <c r="I142" s="47"/>
      <c r="O142" s="19"/>
      <c r="P142" s="19"/>
      <c r="Q142" s="19"/>
    </row>
    <row r="143" spans="6:17" ht="12.75">
      <c r="F143" s="724"/>
      <c r="G143" s="724"/>
      <c r="H143" s="47"/>
      <c r="I143" s="47"/>
      <c r="O143" s="19"/>
      <c r="P143" s="19"/>
      <c r="Q143" s="19"/>
    </row>
    <row r="144" spans="6:17" ht="12.75">
      <c r="F144" s="724"/>
      <c r="G144" s="724"/>
      <c r="H144" s="47"/>
      <c r="I144" s="47"/>
      <c r="O144" s="19"/>
      <c r="P144" s="19"/>
      <c r="Q144" s="19"/>
    </row>
    <row r="145" spans="6:17" ht="12.75">
      <c r="F145" s="724"/>
      <c r="G145" s="724"/>
      <c r="H145" s="47"/>
      <c r="I145" s="47"/>
      <c r="O145" s="19"/>
      <c r="P145" s="19"/>
      <c r="Q145" s="19"/>
    </row>
    <row r="146" spans="6:17" ht="12.75">
      <c r="F146" s="724"/>
      <c r="G146" s="724"/>
      <c r="H146" s="47"/>
      <c r="I146" s="47"/>
      <c r="O146" s="19"/>
      <c r="P146" s="19"/>
      <c r="Q146" s="19"/>
    </row>
    <row r="147" spans="6:17" ht="12.75">
      <c r="F147" s="724"/>
      <c r="G147" s="724"/>
      <c r="H147" s="47"/>
      <c r="I147" s="47"/>
      <c r="O147" s="19"/>
      <c r="P147" s="19"/>
      <c r="Q147" s="19"/>
    </row>
    <row r="148" spans="6:17" ht="12.75">
      <c r="F148" s="724"/>
      <c r="G148" s="724"/>
      <c r="H148" s="47"/>
      <c r="I148" s="47"/>
      <c r="O148" s="19"/>
      <c r="P148" s="19"/>
      <c r="Q148" s="19"/>
    </row>
    <row r="149" spans="6:17" ht="12.75">
      <c r="F149" s="724"/>
      <c r="G149" s="724"/>
      <c r="H149" s="47"/>
      <c r="I149" s="47"/>
      <c r="O149" s="19"/>
      <c r="P149" s="19"/>
      <c r="Q149" s="19"/>
    </row>
    <row r="150" spans="6:17" ht="12.75">
      <c r="F150" s="724"/>
      <c r="G150" s="724"/>
      <c r="H150" s="47"/>
      <c r="I150" s="47"/>
      <c r="O150" s="19"/>
      <c r="P150" s="19"/>
      <c r="Q150" s="19"/>
    </row>
    <row r="151" spans="6:17" ht="12.75">
      <c r="F151" s="724"/>
      <c r="G151" s="724"/>
      <c r="H151" s="47"/>
      <c r="I151" s="47"/>
      <c r="O151" s="19"/>
      <c r="P151" s="19"/>
      <c r="Q151" s="19"/>
    </row>
    <row r="152" spans="6:17" ht="12.75">
      <c r="F152" s="724"/>
      <c r="G152" s="724"/>
      <c r="H152" s="47"/>
      <c r="I152" s="47"/>
      <c r="O152" s="19"/>
      <c r="P152" s="19"/>
      <c r="Q152" s="19"/>
    </row>
    <row r="153" spans="6:17" ht="12.75">
      <c r="F153" s="724"/>
      <c r="G153" s="724"/>
      <c r="H153" s="47"/>
      <c r="I153" s="47"/>
      <c r="O153" s="19"/>
      <c r="P153" s="19"/>
      <c r="Q153" s="19"/>
    </row>
    <row r="154" spans="6:17" ht="12.75">
      <c r="F154" s="724"/>
      <c r="G154" s="724"/>
      <c r="H154" s="47"/>
      <c r="I154" s="47"/>
      <c r="O154" s="19"/>
      <c r="P154" s="19"/>
      <c r="Q154" s="19"/>
    </row>
    <row r="155" spans="6:17" ht="12.75">
      <c r="F155" s="724"/>
      <c r="G155" s="724"/>
      <c r="H155" s="47"/>
      <c r="I155" s="47"/>
      <c r="O155" s="19"/>
      <c r="P155" s="19"/>
      <c r="Q155" s="19"/>
    </row>
    <row r="156" spans="6:17" ht="12.75">
      <c r="F156" s="724"/>
      <c r="G156" s="724"/>
      <c r="H156" s="47"/>
      <c r="I156" s="47"/>
      <c r="O156" s="19"/>
      <c r="P156" s="19"/>
      <c r="Q156" s="19"/>
    </row>
    <row r="157" spans="6:17" ht="12.75">
      <c r="F157" s="724"/>
      <c r="G157" s="724"/>
      <c r="H157" s="47"/>
      <c r="I157" s="47"/>
      <c r="O157" s="19"/>
      <c r="P157" s="19"/>
      <c r="Q157" s="19"/>
    </row>
    <row r="158" spans="6:17" ht="12.75">
      <c r="F158" s="724"/>
      <c r="G158" s="724"/>
      <c r="H158" s="47"/>
      <c r="I158" s="47"/>
      <c r="O158" s="19"/>
      <c r="P158" s="19"/>
      <c r="Q158" s="19"/>
    </row>
    <row r="159" spans="6:17" ht="12.75">
      <c r="F159" s="724"/>
      <c r="G159" s="724"/>
      <c r="H159" s="47"/>
      <c r="I159" s="47"/>
      <c r="O159" s="19"/>
      <c r="P159" s="19"/>
      <c r="Q159" s="19"/>
    </row>
    <row r="160" spans="6:17" ht="12.75">
      <c r="F160" s="724"/>
      <c r="G160" s="724"/>
      <c r="H160" s="47"/>
      <c r="I160" s="47"/>
      <c r="O160" s="19"/>
      <c r="P160" s="19"/>
      <c r="Q160" s="19"/>
    </row>
    <row r="161" spans="6:17" ht="12.75">
      <c r="F161" s="724"/>
      <c r="G161" s="724"/>
      <c r="H161" s="47"/>
      <c r="I161" s="47"/>
      <c r="O161" s="19"/>
      <c r="P161" s="19"/>
      <c r="Q161" s="19"/>
    </row>
    <row r="162" spans="6:17" ht="12.75">
      <c r="F162" s="724"/>
      <c r="G162" s="724"/>
      <c r="H162" s="47"/>
      <c r="I162" s="47"/>
      <c r="O162" s="19"/>
      <c r="P162" s="19"/>
      <c r="Q162" s="19"/>
    </row>
    <row r="163" spans="6:17" ht="12.75">
      <c r="F163" s="724"/>
      <c r="G163" s="724"/>
      <c r="H163" s="47"/>
      <c r="I163" s="47"/>
      <c r="O163" s="19"/>
      <c r="P163" s="19"/>
      <c r="Q163" s="19"/>
    </row>
    <row r="164" spans="6:17" ht="12.75">
      <c r="F164" s="724"/>
      <c r="G164" s="724"/>
      <c r="H164" s="47"/>
      <c r="I164" s="47"/>
      <c r="O164" s="19"/>
      <c r="P164" s="19"/>
      <c r="Q164" s="19"/>
    </row>
    <row r="165" spans="6:17" ht="12.75">
      <c r="F165" s="724"/>
      <c r="G165" s="724"/>
      <c r="H165" s="47"/>
      <c r="I165" s="47"/>
      <c r="O165" s="19"/>
      <c r="P165" s="19"/>
      <c r="Q165" s="19"/>
    </row>
    <row r="166" spans="6:17" ht="12.75">
      <c r="F166" s="724"/>
      <c r="G166" s="724"/>
      <c r="H166" s="47"/>
      <c r="I166" s="47"/>
      <c r="O166" s="19"/>
      <c r="P166" s="19"/>
      <c r="Q166" s="19"/>
    </row>
    <row r="167" spans="6:17" ht="12.75">
      <c r="F167" s="724"/>
      <c r="G167" s="724"/>
      <c r="H167" s="47"/>
      <c r="I167" s="47"/>
      <c r="O167" s="19"/>
      <c r="P167" s="19"/>
      <c r="Q167" s="19"/>
    </row>
    <row r="168" spans="6:17" ht="12.75">
      <c r="F168" s="724"/>
      <c r="G168" s="724"/>
      <c r="H168" s="47"/>
      <c r="I168" s="47"/>
      <c r="O168" s="19"/>
      <c r="P168" s="19"/>
      <c r="Q168" s="19"/>
    </row>
    <row r="169" spans="6:17" ht="12.75">
      <c r="F169" s="724"/>
      <c r="G169" s="724"/>
      <c r="H169" s="47"/>
      <c r="I169" s="47"/>
      <c r="O169" s="19"/>
      <c r="P169" s="19"/>
      <c r="Q169" s="19"/>
    </row>
    <row r="170" spans="6:17" ht="12.75">
      <c r="F170" s="724"/>
      <c r="G170" s="724"/>
      <c r="H170" s="47"/>
      <c r="I170" s="47"/>
      <c r="O170" s="19"/>
      <c r="P170" s="19"/>
      <c r="Q170" s="19"/>
    </row>
    <row r="171" spans="6:17" ht="12.75">
      <c r="F171" s="724"/>
      <c r="G171" s="724"/>
      <c r="H171" s="47"/>
      <c r="I171" s="47"/>
      <c r="O171" s="19"/>
      <c r="P171" s="19"/>
      <c r="Q171" s="19"/>
    </row>
    <row r="172" spans="6:17" ht="12.75">
      <c r="F172" s="724"/>
      <c r="G172" s="724"/>
      <c r="H172" s="47"/>
      <c r="I172" s="47"/>
      <c r="O172" s="19"/>
      <c r="P172" s="19"/>
      <c r="Q172" s="19"/>
    </row>
    <row r="173" spans="6:17" ht="12.75">
      <c r="F173" s="724"/>
      <c r="G173" s="724"/>
      <c r="H173" s="47"/>
      <c r="I173" s="47"/>
      <c r="O173" s="19"/>
      <c r="P173" s="19"/>
      <c r="Q173" s="19"/>
    </row>
    <row r="174" spans="6:17" ht="12.75">
      <c r="F174" s="724"/>
      <c r="G174" s="724"/>
      <c r="H174" s="47"/>
      <c r="I174" s="47"/>
      <c r="O174" s="19"/>
      <c r="P174" s="19"/>
      <c r="Q174" s="19"/>
    </row>
    <row r="175" spans="6:17" ht="12.75">
      <c r="F175" s="724"/>
      <c r="G175" s="724"/>
      <c r="H175" s="47"/>
      <c r="I175" s="47"/>
      <c r="O175" s="19"/>
      <c r="P175" s="19"/>
      <c r="Q175" s="19"/>
    </row>
    <row r="176" spans="6:17" ht="12.75">
      <c r="F176" s="724"/>
      <c r="G176" s="724"/>
      <c r="H176" s="47"/>
      <c r="I176" s="47"/>
      <c r="O176" s="19"/>
      <c r="P176" s="19"/>
      <c r="Q176" s="19"/>
    </row>
    <row r="177" spans="6:17" ht="12.75">
      <c r="F177" s="724"/>
      <c r="G177" s="724"/>
      <c r="H177" s="47"/>
      <c r="I177" s="47"/>
      <c r="O177" s="19"/>
      <c r="P177" s="19"/>
      <c r="Q177" s="19"/>
    </row>
    <row r="178" spans="6:17" ht="12.75">
      <c r="F178" s="724"/>
      <c r="G178" s="724"/>
      <c r="H178" s="47"/>
      <c r="I178" s="47"/>
      <c r="O178" s="19"/>
      <c r="P178" s="19"/>
      <c r="Q178" s="19"/>
    </row>
    <row r="179" spans="6:17" ht="12.75">
      <c r="F179" s="724"/>
      <c r="G179" s="724"/>
      <c r="H179" s="47"/>
      <c r="I179" s="47"/>
      <c r="O179" s="19"/>
      <c r="P179" s="19"/>
      <c r="Q179" s="19"/>
    </row>
    <row r="180" spans="6:17" ht="12.75">
      <c r="F180" s="724"/>
      <c r="G180" s="724"/>
      <c r="H180" s="47"/>
      <c r="I180" s="47"/>
      <c r="O180" s="19"/>
      <c r="P180" s="19"/>
      <c r="Q180" s="19"/>
    </row>
    <row r="181" spans="6:17" ht="12.75">
      <c r="F181" s="724"/>
      <c r="G181" s="724"/>
      <c r="H181" s="47"/>
      <c r="I181" s="47"/>
      <c r="O181" s="19"/>
      <c r="P181" s="19"/>
      <c r="Q181" s="19"/>
    </row>
    <row r="182" spans="6:17" ht="12.75">
      <c r="F182" s="724"/>
      <c r="G182" s="724"/>
      <c r="H182" s="47"/>
      <c r="I182" s="47"/>
      <c r="O182" s="19"/>
      <c r="P182" s="19"/>
      <c r="Q182" s="19"/>
    </row>
    <row r="183" spans="6:17" ht="12.75">
      <c r="F183" s="724"/>
      <c r="G183" s="724"/>
      <c r="H183" s="47"/>
      <c r="I183" s="47"/>
      <c r="O183" s="19"/>
      <c r="P183" s="19"/>
      <c r="Q183" s="19"/>
    </row>
    <row r="184" spans="6:17" ht="12.75">
      <c r="F184" s="724"/>
      <c r="G184" s="724"/>
      <c r="H184" s="47"/>
      <c r="I184" s="47"/>
      <c r="O184" s="19"/>
      <c r="P184" s="19"/>
      <c r="Q184" s="19"/>
    </row>
    <row r="185" spans="6:17" ht="12.75">
      <c r="F185" s="724"/>
      <c r="G185" s="724"/>
      <c r="H185" s="47"/>
      <c r="I185" s="47"/>
      <c r="O185" s="19"/>
      <c r="P185" s="19"/>
      <c r="Q185" s="19"/>
    </row>
    <row r="186" spans="6:17" ht="12.75">
      <c r="F186" s="724"/>
      <c r="G186" s="724"/>
      <c r="H186" s="47"/>
      <c r="I186" s="47"/>
      <c r="O186" s="19"/>
      <c r="P186" s="19"/>
      <c r="Q186" s="19"/>
    </row>
    <row r="187" spans="6:17" ht="12.75">
      <c r="F187" s="724"/>
      <c r="G187" s="724"/>
      <c r="H187" s="47"/>
      <c r="I187" s="47"/>
      <c r="O187" s="19"/>
      <c r="P187" s="19"/>
      <c r="Q187" s="19"/>
    </row>
    <row r="188" spans="6:17" ht="12.75">
      <c r="F188" s="724"/>
      <c r="G188" s="724"/>
      <c r="H188" s="47"/>
      <c r="I188" s="47"/>
      <c r="O188" s="19"/>
      <c r="P188" s="19"/>
      <c r="Q188" s="19"/>
    </row>
    <row r="189" spans="6:17" ht="12.75">
      <c r="F189" s="724"/>
      <c r="G189" s="724"/>
      <c r="H189" s="47"/>
      <c r="I189" s="47"/>
      <c r="O189" s="19"/>
      <c r="P189" s="19"/>
      <c r="Q189" s="19"/>
    </row>
    <row r="190" spans="6:17" ht="12.75">
      <c r="F190" s="724"/>
      <c r="G190" s="724"/>
      <c r="H190" s="47"/>
      <c r="I190" s="47"/>
      <c r="O190" s="19"/>
      <c r="P190" s="19"/>
      <c r="Q190" s="19"/>
    </row>
    <row r="191" spans="6:17" ht="12.75">
      <c r="F191" s="724"/>
      <c r="G191" s="724"/>
      <c r="H191" s="47"/>
      <c r="I191" s="47"/>
      <c r="O191" s="19"/>
      <c r="P191" s="19"/>
      <c r="Q191" s="19"/>
    </row>
    <row r="192" spans="6:17" ht="12.75">
      <c r="F192" s="724"/>
      <c r="G192" s="724"/>
      <c r="H192" s="47"/>
      <c r="I192" s="47"/>
      <c r="O192" s="19"/>
      <c r="P192" s="19"/>
      <c r="Q192" s="19"/>
    </row>
    <row r="193" spans="6:17" ht="12.75">
      <c r="F193" s="724"/>
      <c r="G193" s="724"/>
      <c r="H193" s="47"/>
      <c r="I193" s="47"/>
      <c r="O193" s="19"/>
      <c r="P193" s="19"/>
      <c r="Q193" s="19"/>
    </row>
    <row r="194" spans="6:17" ht="12.75">
      <c r="F194" s="724"/>
      <c r="G194" s="724"/>
      <c r="H194" s="47"/>
      <c r="I194" s="47"/>
      <c r="O194" s="19"/>
      <c r="P194" s="19"/>
      <c r="Q194" s="19"/>
    </row>
    <row r="195" spans="6:17" ht="12.75">
      <c r="F195" s="724"/>
      <c r="G195" s="724"/>
      <c r="H195" s="47"/>
      <c r="I195" s="47"/>
      <c r="O195" s="19"/>
      <c r="P195" s="19"/>
      <c r="Q195" s="19"/>
    </row>
    <row r="196" spans="6:17" ht="12.75">
      <c r="F196" s="724"/>
      <c r="G196" s="724"/>
      <c r="H196" s="47"/>
      <c r="I196" s="47"/>
      <c r="O196" s="19"/>
      <c r="P196" s="19"/>
      <c r="Q196" s="19"/>
    </row>
    <row r="197" spans="6:17" ht="12.75">
      <c r="F197" s="724"/>
      <c r="G197" s="724"/>
      <c r="H197" s="47"/>
      <c r="I197" s="47"/>
      <c r="O197" s="19"/>
      <c r="P197" s="19"/>
      <c r="Q197" s="19"/>
    </row>
    <row r="198" spans="6:17" ht="12.75">
      <c r="F198" s="724"/>
      <c r="G198" s="724"/>
      <c r="H198" s="47"/>
      <c r="I198" s="47"/>
      <c r="O198" s="19"/>
      <c r="P198" s="19"/>
      <c r="Q198" s="19"/>
    </row>
    <row r="199" spans="6:17" ht="12.75">
      <c r="F199" s="724"/>
      <c r="G199" s="724"/>
      <c r="H199" s="47"/>
      <c r="I199" s="47"/>
      <c r="O199" s="19"/>
      <c r="P199" s="19"/>
      <c r="Q199" s="19"/>
    </row>
    <row r="200" spans="6:17" ht="12.75">
      <c r="F200" s="724"/>
      <c r="G200" s="724"/>
      <c r="H200" s="47"/>
      <c r="I200" s="47"/>
      <c r="O200" s="19"/>
      <c r="P200" s="19"/>
      <c r="Q200" s="19"/>
    </row>
    <row r="201" spans="6:17" ht="12.75">
      <c r="F201" s="724"/>
      <c r="G201" s="724"/>
      <c r="H201" s="47"/>
      <c r="I201" s="47"/>
      <c r="O201" s="19"/>
      <c r="P201" s="19"/>
      <c r="Q201" s="19"/>
    </row>
    <row r="202" spans="6:17" ht="12.75">
      <c r="F202" s="724"/>
      <c r="G202" s="724"/>
      <c r="H202" s="47"/>
      <c r="I202" s="47"/>
      <c r="O202" s="19"/>
      <c r="P202" s="19"/>
      <c r="Q202" s="19"/>
    </row>
    <row r="203" spans="6:17" ht="12.75">
      <c r="F203" s="724"/>
      <c r="G203" s="724"/>
      <c r="H203" s="47"/>
      <c r="I203" s="47"/>
      <c r="O203" s="19"/>
      <c r="P203" s="19"/>
      <c r="Q203" s="19"/>
    </row>
    <row r="204" spans="6:17" ht="12.75">
      <c r="F204" s="724"/>
      <c r="G204" s="724"/>
      <c r="H204" s="47"/>
      <c r="I204" s="47"/>
      <c r="O204" s="19"/>
      <c r="P204" s="19"/>
      <c r="Q204" s="19"/>
    </row>
    <row r="205" spans="6:17" ht="12.75">
      <c r="F205" s="724"/>
      <c r="G205" s="724"/>
      <c r="H205" s="47"/>
      <c r="I205" s="47"/>
      <c r="O205" s="19"/>
      <c r="P205" s="19"/>
      <c r="Q205" s="19"/>
    </row>
    <row r="206" spans="6:17" ht="12.75">
      <c r="F206" s="724"/>
      <c r="G206" s="724"/>
      <c r="H206" s="47"/>
      <c r="I206" s="47"/>
      <c r="O206" s="19"/>
      <c r="P206" s="19"/>
      <c r="Q206" s="19"/>
    </row>
    <row r="207" spans="6:17" ht="12.75">
      <c r="F207" s="724"/>
      <c r="G207" s="724"/>
      <c r="H207" s="47"/>
      <c r="I207" s="47"/>
      <c r="O207" s="19"/>
      <c r="P207" s="19"/>
      <c r="Q207" s="19"/>
    </row>
    <row r="208" spans="6:17" ht="12.75">
      <c r="F208" s="724"/>
      <c r="G208" s="724"/>
      <c r="H208" s="47"/>
      <c r="I208" s="47"/>
      <c r="O208" s="19"/>
      <c r="P208" s="19"/>
      <c r="Q208" s="19"/>
    </row>
    <row r="209" spans="6:17" ht="12.75">
      <c r="F209" s="724"/>
      <c r="G209" s="724"/>
      <c r="H209" s="47"/>
      <c r="I209" s="47"/>
      <c r="O209" s="19"/>
      <c r="P209" s="19"/>
      <c r="Q209" s="19"/>
    </row>
    <row r="210" spans="6:17" ht="12.75">
      <c r="F210" s="724"/>
      <c r="G210" s="724"/>
      <c r="H210" s="47"/>
      <c r="I210" s="47"/>
      <c r="O210" s="19"/>
      <c r="P210" s="19"/>
      <c r="Q210" s="19"/>
    </row>
    <row r="211" spans="6:17" ht="12.75">
      <c r="F211" s="724"/>
      <c r="G211" s="724"/>
      <c r="H211" s="47"/>
      <c r="I211" s="47"/>
      <c r="O211" s="19"/>
      <c r="P211" s="19"/>
      <c r="Q211" s="19"/>
    </row>
    <row r="212" spans="6:17" ht="12.75">
      <c r="F212" s="724"/>
      <c r="G212" s="724"/>
      <c r="H212" s="47"/>
      <c r="I212" s="47"/>
      <c r="O212" s="19"/>
      <c r="P212" s="19"/>
      <c r="Q212" s="19"/>
    </row>
    <row r="213" spans="6:17" ht="12.75">
      <c r="F213" s="724"/>
      <c r="G213" s="724"/>
      <c r="H213" s="47"/>
      <c r="I213" s="47"/>
      <c r="O213" s="19"/>
      <c r="P213" s="19"/>
      <c r="Q213" s="19"/>
    </row>
    <row r="214" spans="6:17" ht="12.75">
      <c r="F214" s="724"/>
      <c r="G214" s="724"/>
      <c r="H214" s="47"/>
      <c r="I214" s="47"/>
      <c r="O214" s="19"/>
      <c r="P214" s="19"/>
      <c r="Q214" s="19"/>
    </row>
    <row r="215" spans="6:17" ht="12.75">
      <c r="F215" s="724"/>
      <c r="G215" s="724"/>
      <c r="H215" s="47"/>
      <c r="I215" s="47"/>
      <c r="O215" s="19"/>
      <c r="P215" s="19"/>
      <c r="Q215" s="19"/>
    </row>
    <row r="216" spans="6:17" ht="12.75">
      <c r="F216" s="724"/>
      <c r="G216" s="724"/>
      <c r="H216" s="47"/>
      <c r="I216" s="47"/>
      <c r="O216" s="19"/>
      <c r="P216" s="19"/>
      <c r="Q216" s="19"/>
    </row>
    <row r="217" spans="6:17" ht="12.75">
      <c r="F217" s="724"/>
      <c r="G217" s="724"/>
      <c r="H217" s="47"/>
      <c r="I217" s="47"/>
      <c r="O217" s="19"/>
      <c r="P217" s="19"/>
      <c r="Q217" s="19"/>
    </row>
    <row r="218" spans="6:17" ht="12.75">
      <c r="F218" s="724"/>
      <c r="G218" s="724"/>
      <c r="H218" s="47"/>
      <c r="I218" s="47"/>
      <c r="O218" s="19"/>
      <c r="P218" s="19"/>
      <c r="Q218" s="19"/>
    </row>
    <row r="219" spans="6:17" ht="12.75">
      <c r="F219" s="724"/>
      <c r="G219" s="724"/>
      <c r="H219" s="47"/>
      <c r="I219" s="47"/>
      <c r="O219" s="19"/>
      <c r="P219" s="19"/>
      <c r="Q219" s="19"/>
    </row>
    <row r="220" spans="6:17" ht="12.75">
      <c r="F220" s="724"/>
      <c r="G220" s="724"/>
      <c r="H220" s="47"/>
      <c r="I220" s="47"/>
      <c r="O220" s="19"/>
      <c r="P220" s="19"/>
      <c r="Q220" s="19"/>
    </row>
    <row r="221" spans="6:17" ht="12.75">
      <c r="F221" s="724"/>
      <c r="G221" s="724"/>
      <c r="H221" s="47"/>
      <c r="I221" s="47"/>
      <c r="O221" s="19"/>
      <c r="P221" s="19"/>
      <c r="Q221" s="19"/>
    </row>
    <row r="222" spans="6:17" ht="12.75">
      <c r="F222" s="724"/>
      <c r="G222" s="724"/>
      <c r="H222" s="47"/>
      <c r="I222" s="47"/>
      <c r="O222" s="19"/>
      <c r="P222" s="19"/>
      <c r="Q222" s="19"/>
    </row>
    <row r="223" spans="6:17" ht="12.75">
      <c r="F223" s="724"/>
      <c r="G223" s="724"/>
      <c r="H223" s="47"/>
      <c r="I223" s="47"/>
      <c r="O223" s="19"/>
      <c r="P223" s="19"/>
      <c r="Q223" s="19"/>
    </row>
    <row r="224" spans="6:17" ht="12.75">
      <c r="F224" s="724"/>
      <c r="G224" s="724"/>
      <c r="H224" s="47"/>
      <c r="I224" s="47"/>
      <c r="O224" s="19"/>
      <c r="P224" s="19"/>
      <c r="Q224" s="19"/>
    </row>
    <row r="225" spans="6:17" ht="12.75">
      <c r="F225" s="724"/>
      <c r="G225" s="724"/>
      <c r="H225" s="47"/>
      <c r="I225" s="47"/>
      <c r="O225" s="19"/>
      <c r="P225" s="19"/>
      <c r="Q225" s="19"/>
    </row>
    <row r="226" spans="6:17" ht="12.75">
      <c r="F226" s="724"/>
      <c r="G226" s="724"/>
      <c r="H226" s="47"/>
      <c r="I226" s="47"/>
      <c r="O226" s="19"/>
      <c r="P226" s="19"/>
      <c r="Q226" s="19"/>
    </row>
    <row r="227" spans="6:17" ht="12.75">
      <c r="F227" s="724"/>
      <c r="G227" s="724"/>
      <c r="H227" s="47"/>
      <c r="I227" s="47"/>
      <c r="O227" s="19"/>
      <c r="P227" s="19"/>
      <c r="Q227" s="19"/>
    </row>
    <row r="228" spans="6:17" ht="12.75">
      <c r="F228" s="724"/>
      <c r="G228" s="724"/>
      <c r="H228" s="47"/>
      <c r="I228" s="47"/>
      <c r="O228" s="19"/>
      <c r="P228" s="19"/>
      <c r="Q228" s="19"/>
    </row>
    <row r="229" spans="6:17" ht="12.75">
      <c r="F229" s="724"/>
      <c r="G229" s="724"/>
      <c r="H229" s="47"/>
      <c r="I229" s="47"/>
      <c r="O229" s="19"/>
      <c r="P229" s="19"/>
      <c r="Q229" s="19"/>
    </row>
    <row r="230" spans="6:17" ht="12.75">
      <c r="F230" s="724"/>
      <c r="G230" s="724"/>
      <c r="H230" s="47"/>
      <c r="I230" s="47"/>
      <c r="O230" s="19"/>
      <c r="P230" s="19"/>
      <c r="Q230" s="19"/>
    </row>
    <row r="231" spans="6:17" ht="12.75">
      <c r="F231" s="724"/>
      <c r="G231" s="724"/>
      <c r="H231" s="47"/>
      <c r="I231" s="47"/>
      <c r="O231" s="19"/>
      <c r="P231" s="19"/>
      <c r="Q231" s="19"/>
    </row>
    <row r="232" spans="6:17" ht="12.75">
      <c r="F232" s="724"/>
      <c r="G232" s="724"/>
      <c r="H232" s="47"/>
      <c r="I232" s="47"/>
      <c r="O232" s="19"/>
      <c r="P232" s="19"/>
      <c r="Q232" s="19"/>
    </row>
    <row r="233" spans="6:17" ht="12.75">
      <c r="F233" s="724"/>
      <c r="G233" s="724"/>
      <c r="H233" s="47"/>
      <c r="I233" s="47"/>
      <c r="O233" s="19"/>
      <c r="P233" s="19"/>
      <c r="Q233" s="19"/>
    </row>
    <row r="234" spans="6:17" ht="12.75">
      <c r="F234" s="724"/>
      <c r="G234" s="724"/>
      <c r="H234" s="47"/>
      <c r="I234" s="47"/>
      <c r="O234" s="19"/>
      <c r="P234" s="19"/>
      <c r="Q234" s="19"/>
    </row>
    <row r="235" spans="6:17" ht="12.75">
      <c r="F235" s="724"/>
      <c r="G235" s="724"/>
      <c r="H235" s="47"/>
      <c r="I235" s="47"/>
      <c r="O235" s="19"/>
      <c r="P235" s="19"/>
      <c r="Q235" s="19"/>
    </row>
    <row r="236" spans="6:17" ht="12.75">
      <c r="F236" s="724"/>
      <c r="G236" s="724"/>
      <c r="H236" s="47"/>
      <c r="I236" s="47"/>
      <c r="O236" s="19"/>
      <c r="P236" s="19"/>
      <c r="Q236" s="19"/>
    </row>
    <row r="237" spans="6:17" ht="12.75">
      <c r="F237" s="724"/>
      <c r="G237" s="724"/>
      <c r="H237" s="47"/>
      <c r="I237" s="47"/>
      <c r="O237" s="19"/>
      <c r="P237" s="19"/>
      <c r="Q237" s="19"/>
    </row>
    <row r="238" spans="6:17" ht="12.75">
      <c r="F238" s="724"/>
      <c r="G238" s="724"/>
      <c r="H238" s="47"/>
      <c r="I238" s="47"/>
      <c r="O238" s="19"/>
      <c r="P238" s="19"/>
      <c r="Q238" s="19"/>
    </row>
    <row r="239" spans="6:17" ht="12.75">
      <c r="F239" s="724"/>
      <c r="G239" s="724"/>
      <c r="H239" s="47"/>
      <c r="I239" s="47"/>
      <c r="O239" s="19"/>
      <c r="P239" s="19"/>
      <c r="Q239" s="19"/>
    </row>
    <row r="240" spans="6:17" ht="12.75">
      <c r="F240" s="724"/>
      <c r="G240" s="724"/>
      <c r="H240" s="47"/>
      <c r="I240" s="47"/>
      <c r="O240" s="19"/>
      <c r="P240" s="19"/>
      <c r="Q240" s="19"/>
    </row>
    <row r="241" spans="6:17" ht="12.75">
      <c r="F241" s="724"/>
      <c r="G241" s="724"/>
      <c r="H241" s="47"/>
      <c r="I241" s="47"/>
      <c r="O241" s="19"/>
      <c r="P241" s="19"/>
      <c r="Q241" s="19"/>
    </row>
    <row r="242" spans="6:17" ht="12.75">
      <c r="F242" s="724"/>
      <c r="G242" s="724"/>
      <c r="H242" s="47"/>
      <c r="I242" s="47"/>
      <c r="O242" s="19"/>
      <c r="P242" s="19"/>
      <c r="Q242" s="19"/>
    </row>
    <row r="243" spans="6:17" ht="12.75">
      <c r="F243" s="724"/>
      <c r="G243" s="724"/>
      <c r="H243" s="47"/>
      <c r="I243" s="47"/>
      <c r="O243" s="19"/>
      <c r="P243" s="19"/>
      <c r="Q243" s="19"/>
    </row>
    <row r="244" spans="6:17" ht="12.75">
      <c r="F244" s="724"/>
      <c r="G244" s="724"/>
      <c r="H244" s="47"/>
      <c r="I244" s="47"/>
      <c r="O244" s="19"/>
      <c r="P244" s="19"/>
      <c r="Q244" s="19"/>
    </row>
    <row r="245" spans="6:17" ht="12.75">
      <c r="F245" s="724"/>
      <c r="G245" s="724"/>
      <c r="H245" s="47"/>
      <c r="I245" s="47"/>
      <c r="O245" s="19"/>
      <c r="P245" s="19"/>
      <c r="Q245" s="19"/>
    </row>
    <row r="246" spans="6:17" ht="12.75">
      <c r="F246" s="724"/>
      <c r="G246" s="724"/>
      <c r="H246" s="47"/>
      <c r="I246" s="47"/>
      <c r="O246" s="19"/>
      <c r="P246" s="19"/>
      <c r="Q246" s="19"/>
    </row>
    <row r="247" spans="6:17" ht="12.75">
      <c r="F247" s="724"/>
      <c r="G247" s="724"/>
      <c r="H247" s="47"/>
      <c r="I247" s="47"/>
      <c r="O247" s="19"/>
      <c r="P247" s="19"/>
      <c r="Q247" s="19"/>
    </row>
    <row r="248" spans="6:17" ht="12.75">
      <c r="F248" s="724"/>
      <c r="G248" s="724"/>
      <c r="H248" s="47"/>
      <c r="I248" s="47"/>
      <c r="O248" s="19"/>
      <c r="P248" s="19"/>
      <c r="Q248" s="19"/>
    </row>
    <row r="249" spans="6:17" ht="12.75">
      <c r="F249" s="724"/>
      <c r="G249" s="724"/>
      <c r="H249" s="47"/>
      <c r="I249" s="47"/>
      <c r="O249" s="19"/>
      <c r="P249" s="19"/>
      <c r="Q249" s="19"/>
    </row>
    <row r="250" spans="6:17" ht="12.75">
      <c r="F250" s="724"/>
      <c r="G250" s="724"/>
      <c r="H250" s="47"/>
      <c r="I250" s="47"/>
      <c r="O250" s="19"/>
      <c r="P250" s="19"/>
      <c r="Q250" s="19"/>
    </row>
    <row r="251" spans="6:17" ht="12.75">
      <c r="F251" s="724"/>
      <c r="G251" s="724"/>
      <c r="H251" s="47"/>
      <c r="I251" s="47"/>
      <c r="O251" s="19"/>
      <c r="P251" s="19"/>
      <c r="Q251" s="19"/>
    </row>
    <row r="252" spans="6:17" ht="12.75">
      <c r="F252" s="724"/>
      <c r="G252" s="724"/>
      <c r="H252" s="47"/>
      <c r="I252" s="47"/>
      <c r="O252" s="19"/>
      <c r="P252" s="19"/>
      <c r="Q252" s="19"/>
    </row>
    <row r="253" spans="6:17" ht="12.75">
      <c r="F253" s="724"/>
      <c r="G253" s="724"/>
      <c r="H253" s="47"/>
      <c r="I253" s="47"/>
      <c r="O253" s="19"/>
      <c r="P253" s="19"/>
      <c r="Q253" s="19"/>
    </row>
    <row r="254" spans="6:17" ht="12.75">
      <c r="F254" s="724"/>
      <c r="G254" s="724"/>
      <c r="H254" s="47"/>
      <c r="I254" s="47"/>
      <c r="O254" s="19"/>
      <c r="P254" s="19"/>
      <c r="Q254" s="19"/>
    </row>
    <row r="255" spans="6:17" ht="12.75">
      <c r="F255" s="724"/>
      <c r="G255" s="724"/>
      <c r="H255" s="47"/>
      <c r="I255" s="47"/>
      <c r="O255" s="19"/>
      <c r="P255" s="19"/>
      <c r="Q255" s="19"/>
    </row>
    <row r="256" spans="6:17" ht="12.75">
      <c r="F256" s="724"/>
      <c r="G256" s="724"/>
      <c r="H256" s="47"/>
      <c r="I256" s="47"/>
      <c r="O256" s="19"/>
      <c r="P256" s="19"/>
      <c r="Q256" s="19"/>
    </row>
    <row r="257" spans="6:17" ht="12.75">
      <c r="F257" s="724"/>
      <c r="G257" s="724"/>
      <c r="H257" s="47"/>
      <c r="I257" s="47"/>
      <c r="O257" s="19"/>
      <c r="P257" s="19"/>
      <c r="Q257" s="19"/>
    </row>
    <row r="258" spans="6:17" ht="12.75">
      <c r="F258" s="724"/>
      <c r="G258" s="724"/>
      <c r="H258" s="47"/>
      <c r="I258" s="47"/>
      <c r="O258" s="19"/>
      <c r="P258" s="19"/>
      <c r="Q258" s="19"/>
    </row>
    <row r="259" spans="6:17" ht="12.75">
      <c r="F259" s="724"/>
      <c r="G259" s="724"/>
      <c r="H259" s="47"/>
      <c r="I259" s="47"/>
      <c r="O259" s="19"/>
      <c r="P259" s="19"/>
      <c r="Q259" s="19"/>
    </row>
    <row r="260" spans="6:17" ht="12.75">
      <c r="F260" s="724"/>
      <c r="G260" s="724"/>
      <c r="H260" s="47"/>
      <c r="I260" s="47"/>
      <c r="O260" s="19"/>
      <c r="P260" s="19"/>
      <c r="Q260" s="19"/>
    </row>
    <row r="261" spans="6:17" ht="12.75">
      <c r="F261" s="724"/>
      <c r="G261" s="724"/>
      <c r="H261" s="47"/>
      <c r="I261" s="47"/>
      <c r="O261" s="19"/>
      <c r="P261" s="19"/>
      <c r="Q261" s="19"/>
    </row>
    <row r="262" spans="6:17" ht="12.75">
      <c r="F262" s="724"/>
      <c r="G262" s="724"/>
      <c r="H262" s="47"/>
      <c r="I262" s="47"/>
      <c r="O262" s="19"/>
      <c r="P262" s="19"/>
      <c r="Q262" s="19"/>
    </row>
    <row r="263" spans="6:17" ht="12.75">
      <c r="F263" s="724"/>
      <c r="G263" s="724"/>
      <c r="H263" s="47"/>
      <c r="I263" s="47"/>
      <c r="O263" s="19"/>
      <c r="P263" s="19"/>
      <c r="Q263" s="19"/>
    </row>
    <row r="264" spans="6:17" ht="12.75">
      <c r="F264" s="724"/>
      <c r="G264" s="724"/>
      <c r="H264" s="47"/>
      <c r="I264" s="47"/>
      <c r="O264" s="19"/>
      <c r="P264" s="19"/>
      <c r="Q264" s="19"/>
    </row>
    <row r="265" spans="6:17" ht="12.75">
      <c r="F265" s="724"/>
      <c r="G265" s="724"/>
      <c r="H265" s="47"/>
      <c r="I265" s="47"/>
      <c r="O265" s="19"/>
      <c r="P265" s="19"/>
      <c r="Q265" s="19"/>
    </row>
    <row r="266" spans="6:17" ht="12.75">
      <c r="F266" s="724"/>
      <c r="G266" s="724"/>
      <c r="H266" s="47"/>
      <c r="I266" s="47"/>
      <c r="O266" s="19"/>
      <c r="P266" s="19"/>
      <c r="Q266" s="19"/>
    </row>
    <row r="267" spans="6:17" ht="12.75">
      <c r="F267" s="724"/>
      <c r="G267" s="724"/>
      <c r="H267" s="47"/>
      <c r="I267" s="47"/>
      <c r="O267" s="19"/>
      <c r="P267" s="19"/>
      <c r="Q267" s="19"/>
    </row>
    <row r="268" spans="6:17" ht="12.75">
      <c r="F268" s="724"/>
      <c r="G268" s="724"/>
      <c r="H268" s="47"/>
      <c r="I268" s="47"/>
      <c r="O268" s="19"/>
      <c r="P268" s="19"/>
      <c r="Q268" s="19"/>
    </row>
    <row r="269" spans="6:17" ht="12.75">
      <c r="F269" s="724"/>
      <c r="G269" s="724"/>
      <c r="H269" s="47"/>
      <c r="I269" s="47"/>
      <c r="O269" s="19"/>
      <c r="P269" s="19"/>
      <c r="Q269" s="19"/>
    </row>
    <row r="270" spans="6:17" ht="12.75">
      <c r="F270" s="724"/>
      <c r="G270" s="724"/>
      <c r="H270" s="47"/>
      <c r="I270" s="47"/>
      <c r="O270" s="19"/>
      <c r="P270" s="19"/>
      <c r="Q270" s="19"/>
    </row>
    <row r="271" spans="6:17" ht="12.75">
      <c r="F271" s="724"/>
      <c r="G271" s="724"/>
      <c r="H271" s="47"/>
      <c r="I271" s="47"/>
      <c r="O271" s="19"/>
      <c r="P271" s="19"/>
      <c r="Q271" s="19"/>
    </row>
    <row r="272" spans="6:17" ht="12.75">
      <c r="F272" s="724"/>
      <c r="G272" s="724"/>
      <c r="H272" s="47"/>
      <c r="I272" s="47"/>
      <c r="O272" s="19"/>
      <c r="P272" s="19"/>
      <c r="Q272" s="19"/>
    </row>
    <row r="273" spans="6:17" ht="12.75">
      <c r="F273" s="724"/>
      <c r="G273" s="724"/>
      <c r="H273" s="47"/>
      <c r="I273" s="47"/>
      <c r="O273" s="19"/>
      <c r="P273" s="19"/>
      <c r="Q273" s="19"/>
    </row>
    <row r="274" spans="6:17" ht="12.75">
      <c r="F274" s="724"/>
      <c r="G274" s="724"/>
      <c r="H274" s="47"/>
      <c r="I274" s="47"/>
      <c r="O274" s="19"/>
      <c r="P274" s="19"/>
      <c r="Q274" s="19"/>
    </row>
    <row r="275" spans="6:17" ht="12.75">
      <c r="F275" s="724"/>
      <c r="G275" s="724"/>
      <c r="H275" s="47"/>
      <c r="I275" s="47"/>
      <c r="O275" s="19"/>
      <c r="P275" s="19"/>
      <c r="Q275" s="19"/>
    </row>
    <row r="276" spans="6:17" ht="12.75">
      <c r="F276" s="724"/>
      <c r="G276" s="724"/>
      <c r="H276" s="47"/>
      <c r="I276" s="47"/>
      <c r="O276" s="19"/>
      <c r="P276" s="19"/>
      <c r="Q276" s="19"/>
    </row>
    <row r="277" spans="6:17" ht="12.75">
      <c r="F277" s="724"/>
      <c r="G277" s="724"/>
      <c r="H277" s="47"/>
      <c r="I277" s="47"/>
      <c r="O277" s="19"/>
      <c r="P277" s="19"/>
      <c r="Q277" s="19"/>
    </row>
    <row r="278" spans="6:17" ht="12.75">
      <c r="F278" s="724"/>
      <c r="G278" s="724"/>
      <c r="H278" s="47"/>
      <c r="I278" s="47"/>
      <c r="O278" s="19"/>
      <c r="P278" s="19"/>
      <c r="Q278" s="19"/>
    </row>
    <row r="279" spans="6:17" ht="12.75">
      <c r="F279" s="724"/>
      <c r="G279" s="724"/>
      <c r="H279" s="47"/>
      <c r="I279" s="47"/>
      <c r="O279" s="19"/>
      <c r="P279" s="19"/>
      <c r="Q279" s="19"/>
    </row>
    <row r="280" spans="6:17" ht="12.75">
      <c r="F280" s="724"/>
      <c r="G280" s="724"/>
      <c r="H280" s="47"/>
      <c r="I280" s="47"/>
      <c r="O280" s="19"/>
      <c r="P280" s="19"/>
      <c r="Q280" s="19"/>
    </row>
    <row r="281" spans="6:17" ht="12.75">
      <c r="F281" s="724"/>
      <c r="G281" s="724"/>
      <c r="H281" s="47"/>
      <c r="I281" s="47"/>
      <c r="O281" s="19"/>
      <c r="P281" s="19"/>
      <c r="Q281" s="19"/>
    </row>
    <row r="282" spans="6:17" ht="12.75">
      <c r="F282" s="724"/>
      <c r="G282" s="724"/>
      <c r="H282" s="47"/>
      <c r="I282" s="47"/>
      <c r="O282" s="19"/>
      <c r="P282" s="19"/>
      <c r="Q282" s="19"/>
    </row>
    <row r="283" spans="6:17" ht="12.75">
      <c r="F283" s="724"/>
      <c r="G283" s="724"/>
      <c r="H283" s="47"/>
      <c r="I283" s="47"/>
      <c r="O283" s="19"/>
      <c r="P283" s="19"/>
      <c r="Q283" s="19"/>
    </row>
    <row r="284" spans="6:17" ht="12.75">
      <c r="F284" s="724"/>
      <c r="G284" s="724"/>
      <c r="H284" s="47"/>
      <c r="I284" s="47"/>
      <c r="O284" s="19"/>
      <c r="P284" s="19"/>
      <c r="Q284" s="19"/>
    </row>
    <row r="285" spans="6:17" ht="12.75">
      <c r="F285" s="724"/>
      <c r="G285" s="724"/>
      <c r="H285" s="47"/>
      <c r="I285" s="47"/>
      <c r="O285" s="19"/>
      <c r="P285" s="19"/>
      <c r="Q285" s="19"/>
    </row>
    <row r="286" spans="6:17" ht="12.75">
      <c r="F286" s="724"/>
      <c r="G286" s="724"/>
      <c r="H286" s="47"/>
      <c r="I286" s="47"/>
      <c r="O286" s="19"/>
      <c r="P286" s="19"/>
      <c r="Q286" s="19"/>
    </row>
    <row r="287" spans="6:17" ht="12.75">
      <c r="F287" s="724"/>
      <c r="G287" s="724"/>
      <c r="H287" s="47"/>
      <c r="I287" s="47"/>
      <c r="O287" s="19"/>
      <c r="P287" s="19"/>
      <c r="Q287" s="19"/>
    </row>
    <row r="288" spans="6:17" ht="12.75">
      <c r="F288" s="724"/>
      <c r="G288" s="724"/>
      <c r="H288" s="47"/>
      <c r="I288" s="47"/>
      <c r="O288" s="19"/>
      <c r="P288" s="19"/>
      <c r="Q288" s="19"/>
    </row>
    <row r="289" spans="6:17" ht="12.75">
      <c r="F289" s="724"/>
      <c r="G289" s="724"/>
      <c r="H289" s="47"/>
      <c r="I289" s="47"/>
      <c r="O289" s="19"/>
      <c r="P289" s="19"/>
      <c r="Q289" s="19"/>
    </row>
    <row r="290" spans="6:17" ht="12.75">
      <c r="F290" s="724"/>
      <c r="G290" s="724"/>
      <c r="H290" s="47"/>
      <c r="I290" s="47"/>
      <c r="O290" s="19"/>
      <c r="P290" s="19"/>
      <c r="Q290" s="19"/>
    </row>
    <row r="291" spans="6:17" ht="12.75">
      <c r="F291" s="724"/>
      <c r="G291" s="724"/>
      <c r="H291" s="47"/>
      <c r="I291" s="47"/>
      <c r="O291" s="19"/>
      <c r="P291" s="19"/>
      <c r="Q291" s="19"/>
    </row>
    <row r="292" spans="6:17" ht="12.75">
      <c r="F292" s="724"/>
      <c r="G292" s="724"/>
      <c r="H292" s="47"/>
      <c r="I292" s="47"/>
      <c r="O292" s="19"/>
      <c r="P292" s="19"/>
      <c r="Q292" s="19"/>
    </row>
    <row r="293" spans="6:17" ht="12.75">
      <c r="F293" s="724"/>
      <c r="G293" s="724"/>
      <c r="H293" s="47"/>
      <c r="I293" s="47"/>
      <c r="O293" s="19"/>
      <c r="P293" s="19"/>
      <c r="Q293" s="19"/>
    </row>
    <row r="294" spans="6:17" ht="12.75">
      <c r="F294" s="724"/>
      <c r="G294" s="724"/>
      <c r="H294" s="47"/>
      <c r="I294" s="47"/>
      <c r="O294" s="19"/>
      <c r="P294" s="19"/>
      <c r="Q294" s="19"/>
    </row>
    <row r="295" spans="6:17" ht="12.75">
      <c r="F295" s="724"/>
      <c r="G295" s="724"/>
      <c r="H295" s="47"/>
      <c r="I295" s="47"/>
      <c r="O295" s="19"/>
      <c r="P295" s="19"/>
      <c r="Q295" s="19"/>
    </row>
    <row r="296" spans="6:17" ht="12.75">
      <c r="F296" s="724"/>
      <c r="G296" s="724"/>
      <c r="H296" s="47"/>
      <c r="I296" s="47"/>
      <c r="O296" s="19"/>
      <c r="P296" s="19"/>
      <c r="Q296" s="19"/>
    </row>
    <row r="297" spans="6:17" ht="12.75">
      <c r="F297" s="724"/>
      <c r="G297" s="724"/>
      <c r="H297" s="47"/>
      <c r="I297" s="47"/>
      <c r="O297" s="19"/>
      <c r="P297" s="19"/>
      <c r="Q297" s="19"/>
    </row>
    <row r="298" spans="6:17" ht="12.75">
      <c r="F298" s="724"/>
      <c r="G298" s="724"/>
      <c r="H298" s="47"/>
      <c r="I298" s="47"/>
      <c r="O298" s="19"/>
      <c r="P298" s="19"/>
      <c r="Q298" s="19"/>
    </row>
    <row r="299" spans="6:17" ht="12.75">
      <c r="F299" s="724"/>
      <c r="G299" s="724"/>
      <c r="H299" s="47"/>
      <c r="I299" s="47"/>
      <c r="O299" s="19"/>
      <c r="P299" s="19"/>
      <c r="Q299" s="19"/>
    </row>
    <row r="300" spans="6:17" ht="12.75">
      <c r="F300" s="724"/>
      <c r="G300" s="724"/>
      <c r="H300" s="47"/>
      <c r="I300" s="47"/>
      <c r="O300" s="19"/>
      <c r="P300" s="19"/>
      <c r="Q300" s="19"/>
    </row>
    <row r="301" spans="6:17" ht="12.75">
      <c r="F301" s="724"/>
      <c r="G301" s="724"/>
      <c r="H301" s="47"/>
      <c r="I301" s="47"/>
      <c r="O301" s="19"/>
      <c r="P301" s="19"/>
      <c r="Q301" s="19"/>
    </row>
    <row r="302" spans="6:17" ht="12.75">
      <c r="F302" s="724"/>
      <c r="G302" s="724"/>
      <c r="H302" s="47"/>
      <c r="I302" s="47"/>
      <c r="O302" s="19"/>
      <c r="P302" s="19"/>
      <c r="Q302" s="19"/>
    </row>
    <row r="303" spans="6:17" ht="12.75">
      <c r="F303" s="724"/>
      <c r="G303" s="724"/>
      <c r="H303" s="47"/>
      <c r="I303" s="47"/>
      <c r="O303" s="19"/>
      <c r="P303" s="19"/>
      <c r="Q303" s="19"/>
    </row>
    <row r="304" spans="6:17" ht="12.75">
      <c r="F304" s="724"/>
      <c r="G304" s="724"/>
      <c r="H304" s="47"/>
      <c r="I304" s="47"/>
      <c r="O304" s="19"/>
      <c r="P304" s="19"/>
      <c r="Q304" s="19"/>
    </row>
    <row r="305" spans="6:17" ht="12.75">
      <c r="F305" s="724"/>
      <c r="G305" s="724"/>
      <c r="H305" s="47"/>
      <c r="I305" s="47"/>
      <c r="O305" s="19"/>
      <c r="P305" s="19"/>
      <c r="Q305" s="19"/>
    </row>
    <row r="306" spans="6:17" ht="12.75">
      <c r="F306" s="724"/>
      <c r="G306" s="724"/>
      <c r="H306" s="47"/>
      <c r="I306" s="47"/>
      <c r="O306" s="19"/>
      <c r="P306" s="19"/>
      <c r="Q306" s="19"/>
    </row>
    <row r="307" spans="6:17" ht="12.75">
      <c r="F307" s="724"/>
      <c r="G307" s="724"/>
      <c r="H307" s="47"/>
      <c r="I307" s="47"/>
      <c r="O307" s="19"/>
      <c r="P307" s="19"/>
      <c r="Q307" s="19"/>
    </row>
    <row r="308" spans="6:17" ht="12.75">
      <c r="F308" s="724"/>
      <c r="G308" s="724"/>
      <c r="H308" s="47"/>
      <c r="I308" s="47"/>
      <c r="O308" s="19"/>
      <c r="P308" s="19"/>
      <c r="Q308" s="19"/>
    </row>
    <row r="309" spans="6:17" ht="12.75">
      <c r="F309" s="724"/>
      <c r="G309" s="724"/>
      <c r="H309" s="47"/>
      <c r="I309" s="47"/>
      <c r="O309" s="19"/>
      <c r="P309" s="19"/>
      <c r="Q309" s="19"/>
    </row>
    <row r="310" spans="6:17" ht="12.75">
      <c r="F310" s="724"/>
      <c r="G310" s="724"/>
      <c r="H310" s="47"/>
      <c r="I310" s="47"/>
      <c r="O310" s="19"/>
      <c r="P310" s="19"/>
      <c r="Q310" s="19"/>
    </row>
    <row r="311" spans="6:17" ht="12.75">
      <c r="F311" s="724"/>
      <c r="G311" s="724"/>
      <c r="H311" s="47"/>
      <c r="I311" s="47"/>
      <c r="O311" s="19"/>
      <c r="P311" s="19"/>
      <c r="Q311" s="19"/>
    </row>
    <row r="312" spans="6:17" ht="12.75">
      <c r="F312" s="724"/>
      <c r="G312" s="724"/>
      <c r="H312" s="47"/>
      <c r="I312" s="47"/>
      <c r="O312" s="19"/>
      <c r="P312" s="19"/>
      <c r="Q312" s="19"/>
    </row>
    <row r="313" spans="6:17" ht="12.75">
      <c r="F313" s="724"/>
      <c r="G313" s="724"/>
      <c r="H313" s="47"/>
      <c r="I313" s="47"/>
      <c r="O313" s="19"/>
      <c r="P313" s="19"/>
      <c r="Q313" s="19"/>
    </row>
    <row r="314" spans="6:17" ht="12.75">
      <c r="F314" s="724"/>
      <c r="G314" s="724"/>
      <c r="H314" s="47"/>
      <c r="I314" s="47"/>
      <c r="O314" s="19"/>
      <c r="P314" s="19"/>
      <c r="Q314" s="19"/>
    </row>
    <row r="315" spans="6:17" ht="12.75">
      <c r="F315" s="724"/>
      <c r="G315" s="724"/>
      <c r="H315" s="47"/>
      <c r="I315" s="47"/>
      <c r="O315" s="19"/>
      <c r="P315" s="19"/>
      <c r="Q315" s="19"/>
    </row>
    <row r="316" spans="6:17" ht="12.75">
      <c r="F316" s="724"/>
      <c r="G316" s="724"/>
      <c r="H316" s="47"/>
      <c r="I316" s="47"/>
      <c r="O316" s="19"/>
      <c r="P316" s="19"/>
      <c r="Q316" s="19"/>
    </row>
    <row r="317" spans="6:17" ht="12.75">
      <c r="F317" s="724"/>
      <c r="G317" s="724"/>
      <c r="H317" s="47"/>
      <c r="I317" s="47"/>
      <c r="O317" s="19"/>
      <c r="P317" s="19"/>
      <c r="Q317" s="19"/>
    </row>
    <row r="318" spans="6:17" ht="12.75">
      <c r="F318" s="724"/>
      <c r="G318" s="724"/>
      <c r="H318" s="47"/>
      <c r="I318" s="47"/>
      <c r="O318" s="19"/>
      <c r="P318" s="19"/>
      <c r="Q318" s="19"/>
    </row>
    <row r="319" spans="6:17" ht="12.75">
      <c r="F319" s="724"/>
      <c r="G319" s="724"/>
      <c r="H319" s="47"/>
      <c r="I319" s="47"/>
      <c r="O319" s="19"/>
      <c r="P319" s="19"/>
      <c r="Q319" s="19"/>
    </row>
    <row r="320" spans="6:17" ht="12.75">
      <c r="F320" s="724"/>
      <c r="G320" s="724"/>
      <c r="H320" s="47"/>
      <c r="I320" s="47"/>
      <c r="O320" s="19"/>
      <c r="P320" s="19"/>
      <c r="Q320" s="19"/>
    </row>
    <row r="321" spans="6:17" ht="12.75">
      <c r="F321" s="724"/>
      <c r="G321" s="724"/>
      <c r="H321" s="47"/>
      <c r="I321" s="47"/>
      <c r="O321" s="19"/>
      <c r="P321" s="19"/>
      <c r="Q321" s="19"/>
    </row>
    <row r="322" spans="6:17" ht="12.75">
      <c r="F322" s="724"/>
      <c r="G322" s="724"/>
      <c r="H322" s="47"/>
      <c r="I322" s="47"/>
      <c r="O322" s="19"/>
      <c r="P322" s="19"/>
      <c r="Q322" s="19"/>
    </row>
    <row r="323" spans="6:17" ht="12.75">
      <c r="F323" s="724"/>
      <c r="G323" s="724"/>
      <c r="H323" s="47"/>
      <c r="I323" s="47"/>
      <c r="O323" s="19"/>
      <c r="P323" s="19"/>
      <c r="Q323" s="19"/>
    </row>
    <row r="324" spans="6:17" ht="12.75">
      <c r="F324" s="724"/>
      <c r="G324" s="724"/>
      <c r="H324" s="47"/>
      <c r="I324" s="47"/>
      <c r="O324" s="19"/>
      <c r="P324" s="19"/>
      <c r="Q324" s="19"/>
    </row>
    <row r="325" spans="6:17" ht="12.75">
      <c r="F325" s="724"/>
      <c r="G325" s="724"/>
      <c r="H325" s="47"/>
      <c r="I325" s="47"/>
      <c r="O325" s="19"/>
      <c r="P325" s="19"/>
      <c r="Q325" s="19"/>
    </row>
    <row r="326" spans="6:17" ht="12.75">
      <c r="F326" s="724"/>
      <c r="G326" s="724"/>
      <c r="H326" s="47"/>
      <c r="I326" s="47"/>
      <c r="O326" s="19"/>
      <c r="P326" s="19"/>
      <c r="Q326" s="19"/>
    </row>
    <row r="327" spans="6:17" ht="12.75">
      <c r="F327" s="724"/>
      <c r="G327" s="724"/>
      <c r="H327" s="47"/>
      <c r="I327" s="47"/>
      <c r="O327" s="19"/>
      <c r="P327" s="19"/>
      <c r="Q327" s="19"/>
    </row>
    <row r="328" spans="6:17" ht="12.75">
      <c r="F328" s="724"/>
      <c r="G328" s="724"/>
      <c r="H328" s="47"/>
      <c r="I328" s="47"/>
      <c r="O328" s="19"/>
      <c r="P328" s="19"/>
      <c r="Q328" s="19"/>
    </row>
    <row r="329" spans="6:17" ht="12.75">
      <c r="F329" s="724"/>
      <c r="G329" s="724"/>
      <c r="H329" s="47"/>
      <c r="I329" s="47"/>
      <c r="O329" s="19"/>
      <c r="P329" s="19"/>
      <c r="Q329" s="19"/>
    </row>
    <row r="330" spans="6:17" ht="12.75">
      <c r="F330" s="724"/>
      <c r="G330" s="724"/>
      <c r="H330" s="47"/>
      <c r="I330" s="47"/>
      <c r="O330" s="19"/>
      <c r="P330" s="19"/>
      <c r="Q330" s="19"/>
    </row>
    <row r="331" spans="6:17" ht="12.75">
      <c r="F331" s="724"/>
      <c r="G331" s="724"/>
      <c r="H331" s="47"/>
      <c r="I331" s="47"/>
      <c r="O331" s="19"/>
      <c r="P331" s="19"/>
      <c r="Q331" s="19"/>
    </row>
    <row r="332" spans="6:17" ht="12.75">
      <c r="F332" s="724"/>
      <c r="G332" s="724"/>
      <c r="H332" s="47"/>
      <c r="I332" s="47"/>
      <c r="O332" s="19"/>
      <c r="P332" s="19"/>
      <c r="Q332" s="19"/>
    </row>
    <row r="333" spans="6:17" ht="12.75">
      <c r="F333" s="724"/>
      <c r="G333" s="724"/>
      <c r="H333" s="47"/>
      <c r="I333" s="47"/>
      <c r="O333" s="19"/>
      <c r="P333" s="19"/>
      <c r="Q333" s="19"/>
    </row>
    <row r="334" spans="6:17" ht="12.75">
      <c r="F334" s="724"/>
      <c r="G334" s="724"/>
      <c r="H334" s="47"/>
      <c r="I334" s="47"/>
      <c r="O334" s="19"/>
      <c r="P334" s="19"/>
      <c r="Q334" s="19"/>
    </row>
    <row r="335" spans="6:17" ht="12.75">
      <c r="F335" s="724"/>
      <c r="G335" s="724"/>
      <c r="H335" s="47"/>
      <c r="I335" s="47"/>
      <c r="O335" s="19"/>
      <c r="P335" s="19"/>
      <c r="Q335" s="19"/>
    </row>
    <row r="336" spans="6:17" ht="12.75">
      <c r="F336" s="724"/>
      <c r="G336" s="724"/>
      <c r="H336" s="47"/>
      <c r="I336" s="47"/>
      <c r="O336" s="19"/>
      <c r="P336" s="19"/>
      <c r="Q336" s="19"/>
    </row>
    <row r="337" spans="6:17" ht="12.75">
      <c r="F337" s="724"/>
      <c r="G337" s="724"/>
      <c r="H337" s="47"/>
      <c r="I337" s="47"/>
      <c r="O337" s="19"/>
      <c r="P337" s="19"/>
      <c r="Q337" s="19"/>
    </row>
    <row r="338" spans="6:17" ht="12.75">
      <c r="F338" s="724"/>
      <c r="G338" s="724"/>
      <c r="H338" s="47"/>
      <c r="I338" s="47"/>
      <c r="O338" s="19"/>
      <c r="P338" s="19"/>
      <c r="Q338" s="19"/>
    </row>
    <row r="339" spans="6:17" ht="12.75">
      <c r="F339" s="724"/>
      <c r="G339" s="724"/>
      <c r="H339" s="47"/>
      <c r="I339" s="47"/>
      <c r="O339" s="19"/>
      <c r="P339" s="19"/>
      <c r="Q339" s="19"/>
    </row>
    <row r="340" spans="6:17" ht="12.75">
      <c r="F340" s="724"/>
      <c r="G340" s="724"/>
      <c r="H340" s="47"/>
      <c r="I340" s="47"/>
      <c r="O340" s="19"/>
      <c r="P340" s="19"/>
      <c r="Q340" s="19"/>
    </row>
    <row r="341" spans="6:17" ht="12.75">
      <c r="F341" s="724"/>
      <c r="G341" s="724"/>
      <c r="H341" s="47"/>
      <c r="I341" s="47"/>
      <c r="O341" s="19"/>
      <c r="P341" s="19"/>
      <c r="Q341" s="19"/>
    </row>
    <row r="342" spans="6:17" ht="12.75">
      <c r="F342" s="724"/>
      <c r="G342" s="724"/>
      <c r="H342" s="47"/>
      <c r="I342" s="47"/>
      <c r="O342" s="19"/>
      <c r="P342" s="19"/>
      <c r="Q342" s="19"/>
    </row>
    <row r="343" spans="6:17" ht="12.75">
      <c r="F343" s="724"/>
      <c r="G343" s="724"/>
      <c r="H343" s="47"/>
      <c r="I343" s="47"/>
      <c r="O343" s="19"/>
      <c r="P343" s="19"/>
      <c r="Q343" s="19"/>
    </row>
    <row r="344" spans="6:17" ht="12.75">
      <c r="F344" s="724"/>
      <c r="G344" s="724"/>
      <c r="H344" s="47"/>
      <c r="I344" s="47"/>
      <c r="O344" s="19"/>
      <c r="P344" s="19"/>
      <c r="Q344" s="19"/>
    </row>
    <row r="345" spans="6:17" ht="12.75">
      <c r="F345" s="724"/>
      <c r="G345" s="724"/>
      <c r="H345" s="47"/>
      <c r="I345" s="47"/>
      <c r="O345" s="19"/>
      <c r="P345" s="19"/>
      <c r="Q345" s="19"/>
    </row>
    <row r="346" spans="6:17" ht="12.75">
      <c r="F346" s="724"/>
      <c r="G346" s="724"/>
      <c r="H346" s="47"/>
      <c r="I346" s="47"/>
      <c r="O346" s="19"/>
      <c r="P346" s="19"/>
      <c r="Q346" s="19"/>
    </row>
    <row r="347" spans="6:17" ht="12.75">
      <c r="F347" s="724"/>
      <c r="G347" s="724"/>
      <c r="H347" s="47"/>
      <c r="I347" s="47"/>
      <c r="O347" s="19"/>
      <c r="P347" s="19"/>
      <c r="Q347" s="19"/>
    </row>
    <row r="348" spans="6:17" ht="12.75">
      <c r="F348" s="724"/>
      <c r="G348" s="724"/>
      <c r="H348" s="47"/>
      <c r="I348" s="47"/>
      <c r="O348" s="19"/>
      <c r="P348" s="19"/>
      <c r="Q348" s="19"/>
    </row>
    <row r="349" spans="6:17" ht="12.75">
      <c r="F349" s="724"/>
      <c r="G349" s="724"/>
      <c r="H349" s="47"/>
      <c r="I349" s="47"/>
      <c r="O349" s="19"/>
      <c r="P349" s="19"/>
      <c r="Q349" s="19"/>
    </row>
    <row r="350" spans="6:17" ht="12.75">
      <c r="F350" s="724"/>
      <c r="G350" s="724"/>
      <c r="H350" s="47"/>
      <c r="I350" s="47"/>
      <c r="O350" s="19"/>
      <c r="P350" s="19"/>
      <c r="Q350" s="19"/>
    </row>
    <row r="351" spans="6:17" ht="12.75">
      <c r="F351" s="724"/>
      <c r="G351" s="724"/>
      <c r="H351" s="47"/>
      <c r="I351" s="47"/>
      <c r="O351" s="19"/>
      <c r="P351" s="19"/>
      <c r="Q351" s="19"/>
    </row>
    <row r="352" spans="6:17" ht="12.75">
      <c r="F352" s="724"/>
      <c r="G352" s="724"/>
      <c r="H352" s="47"/>
      <c r="I352" s="47"/>
      <c r="O352" s="19"/>
      <c r="P352" s="19"/>
      <c r="Q352" s="19"/>
    </row>
    <row r="353" spans="6:17" ht="12.75">
      <c r="F353" s="724"/>
      <c r="G353" s="724"/>
      <c r="H353" s="47"/>
      <c r="I353" s="47"/>
      <c r="O353" s="19"/>
      <c r="P353" s="19"/>
      <c r="Q353" s="19"/>
    </row>
    <row r="354" spans="6:17" ht="12.75">
      <c r="F354" s="724"/>
      <c r="G354" s="724"/>
      <c r="H354" s="47"/>
      <c r="I354" s="47"/>
      <c r="O354" s="19"/>
      <c r="P354" s="19"/>
      <c r="Q354" s="19"/>
    </row>
    <row r="355" spans="6:17" ht="12.75">
      <c r="F355" s="724"/>
      <c r="G355" s="724"/>
      <c r="H355" s="47"/>
      <c r="I355" s="47"/>
      <c r="O355" s="19"/>
      <c r="P355" s="19"/>
      <c r="Q355" s="19"/>
    </row>
    <row r="356" spans="6:17" ht="12.75">
      <c r="F356" s="724"/>
      <c r="G356" s="724"/>
      <c r="H356" s="47"/>
      <c r="I356" s="47"/>
      <c r="O356" s="19"/>
      <c r="P356" s="19"/>
      <c r="Q356" s="19"/>
    </row>
    <row r="357" spans="6:17" ht="12.75">
      <c r="F357" s="724"/>
      <c r="G357" s="724"/>
      <c r="H357" s="47"/>
      <c r="I357" s="47"/>
      <c r="O357" s="19"/>
      <c r="P357" s="19"/>
      <c r="Q357" s="19"/>
    </row>
    <row r="358" spans="6:17" ht="12.75">
      <c r="F358" s="724"/>
      <c r="G358" s="724"/>
      <c r="H358" s="47"/>
      <c r="I358" s="47"/>
      <c r="O358" s="19"/>
      <c r="P358" s="19"/>
      <c r="Q358" s="19"/>
    </row>
    <row r="359" spans="6:17" ht="12.75">
      <c r="F359" s="724"/>
      <c r="G359" s="724"/>
      <c r="H359" s="47"/>
      <c r="I359" s="47"/>
      <c r="O359" s="19"/>
      <c r="P359" s="19"/>
      <c r="Q359" s="19"/>
    </row>
    <row r="360" spans="6:17" ht="12.75">
      <c r="F360" s="724"/>
      <c r="G360" s="724"/>
      <c r="H360" s="47"/>
      <c r="I360" s="47"/>
      <c r="O360" s="19"/>
      <c r="P360" s="19"/>
      <c r="Q360" s="19"/>
    </row>
    <row r="361" spans="6:17" ht="12.75">
      <c r="F361" s="724"/>
      <c r="G361" s="724"/>
      <c r="H361" s="47"/>
      <c r="I361" s="47"/>
      <c r="O361" s="19"/>
      <c r="P361" s="19"/>
      <c r="Q361" s="19"/>
    </row>
    <row r="362" spans="6:17" ht="12.75">
      <c r="F362" s="724"/>
      <c r="G362" s="724"/>
      <c r="H362" s="47"/>
      <c r="I362" s="47"/>
      <c r="O362" s="19"/>
      <c r="P362" s="19"/>
      <c r="Q362" s="19"/>
    </row>
    <row r="363" spans="6:17" ht="12.75">
      <c r="F363" s="724"/>
      <c r="G363" s="724"/>
      <c r="H363" s="47"/>
      <c r="I363" s="47"/>
      <c r="O363" s="19"/>
      <c r="P363" s="19"/>
      <c r="Q363" s="19"/>
    </row>
    <row r="364" spans="6:17" ht="12.75">
      <c r="F364" s="724"/>
      <c r="G364" s="724"/>
      <c r="H364" s="47"/>
      <c r="I364" s="47"/>
      <c r="O364" s="19"/>
      <c r="P364" s="19"/>
      <c r="Q364" s="19"/>
    </row>
    <row r="365" spans="6:17" ht="12.75">
      <c r="F365" s="724"/>
      <c r="G365" s="724"/>
      <c r="H365" s="47"/>
      <c r="I365" s="47"/>
      <c r="O365" s="19"/>
      <c r="P365" s="19"/>
      <c r="Q365" s="19"/>
    </row>
    <row r="366" spans="6:17" ht="12.75">
      <c r="F366" s="724"/>
      <c r="G366" s="724"/>
      <c r="H366" s="47"/>
      <c r="I366" s="47"/>
      <c r="O366" s="19"/>
      <c r="P366" s="19"/>
      <c r="Q366" s="19"/>
    </row>
    <row r="367" spans="6:17" ht="12.75">
      <c r="F367" s="724"/>
      <c r="G367" s="724"/>
      <c r="H367" s="47"/>
      <c r="I367" s="47"/>
      <c r="O367" s="19"/>
      <c r="P367" s="19"/>
      <c r="Q367" s="19"/>
    </row>
    <row r="368" spans="6:17" ht="12.75">
      <c r="F368" s="724"/>
      <c r="G368" s="724"/>
      <c r="H368" s="47"/>
      <c r="I368" s="47"/>
      <c r="O368" s="19"/>
      <c r="P368" s="19"/>
      <c r="Q368" s="19"/>
    </row>
    <row r="369" spans="6:17" ht="12.75">
      <c r="F369" s="724"/>
      <c r="G369" s="724"/>
      <c r="H369" s="47"/>
      <c r="I369" s="47"/>
      <c r="O369" s="19"/>
      <c r="P369" s="19"/>
      <c r="Q369" s="19"/>
    </row>
    <row r="370" spans="6:17" ht="12.75">
      <c r="F370" s="724"/>
      <c r="G370" s="724"/>
      <c r="H370" s="47"/>
      <c r="I370" s="47"/>
      <c r="O370" s="19"/>
      <c r="P370" s="19"/>
      <c r="Q370" s="19"/>
    </row>
    <row r="371" spans="6:17" ht="12.75">
      <c r="F371" s="724"/>
      <c r="G371" s="724"/>
      <c r="H371" s="47"/>
      <c r="I371" s="47"/>
      <c r="O371" s="19"/>
      <c r="P371" s="19"/>
      <c r="Q371" s="19"/>
    </row>
    <row r="372" spans="6:17" ht="12.75">
      <c r="F372" s="724"/>
      <c r="G372" s="724"/>
      <c r="H372" s="47"/>
      <c r="I372" s="47"/>
      <c r="O372" s="19"/>
      <c r="P372" s="19"/>
      <c r="Q372" s="19"/>
    </row>
    <row r="373" spans="6:17" ht="12.75">
      <c r="F373" s="724"/>
      <c r="G373" s="724"/>
      <c r="H373" s="47"/>
      <c r="I373" s="47"/>
      <c r="O373" s="19"/>
      <c r="P373" s="19"/>
      <c r="Q373" s="19"/>
    </row>
    <row r="374" spans="6:17" ht="12.75">
      <c r="F374" s="724"/>
      <c r="G374" s="724"/>
      <c r="H374" s="47"/>
      <c r="I374" s="47"/>
      <c r="O374" s="19"/>
      <c r="P374" s="19"/>
      <c r="Q374" s="19"/>
    </row>
    <row r="375" spans="6:17" ht="12.75">
      <c r="F375" s="724"/>
      <c r="G375" s="724"/>
      <c r="H375" s="47"/>
      <c r="I375" s="47"/>
      <c r="O375" s="19"/>
      <c r="P375" s="19"/>
      <c r="Q375" s="19"/>
    </row>
    <row r="376" spans="6:17" ht="12.75">
      <c r="F376" s="724"/>
      <c r="G376" s="724"/>
      <c r="H376" s="47"/>
      <c r="I376" s="47"/>
      <c r="O376" s="19"/>
      <c r="P376" s="19"/>
      <c r="Q376" s="19"/>
    </row>
    <row r="377" spans="6:17" ht="12.75">
      <c r="F377" s="724"/>
      <c r="G377" s="724"/>
      <c r="H377" s="47"/>
      <c r="I377" s="47"/>
      <c r="O377" s="19"/>
      <c r="P377" s="19"/>
      <c r="Q377" s="19"/>
    </row>
    <row r="378" spans="6:17" ht="12.75">
      <c r="F378" s="724"/>
      <c r="G378" s="724"/>
      <c r="H378" s="47"/>
      <c r="I378" s="47"/>
      <c r="O378" s="19"/>
      <c r="P378" s="19"/>
      <c r="Q378" s="19"/>
    </row>
    <row r="379" spans="6:17" ht="12.75">
      <c r="F379" s="724"/>
      <c r="G379" s="724"/>
      <c r="H379" s="47"/>
      <c r="I379" s="47"/>
      <c r="O379" s="19"/>
      <c r="P379" s="19"/>
      <c r="Q379" s="19"/>
    </row>
    <row r="380" spans="6:17" ht="12.75">
      <c r="F380" s="724"/>
      <c r="G380" s="724"/>
      <c r="H380" s="47"/>
      <c r="I380" s="47"/>
      <c r="O380" s="19"/>
      <c r="P380" s="19"/>
      <c r="Q380" s="19"/>
    </row>
    <row r="381" spans="6:17" ht="12.75">
      <c r="F381" s="724"/>
      <c r="G381" s="724"/>
      <c r="H381" s="47"/>
      <c r="I381" s="47"/>
      <c r="O381" s="19"/>
      <c r="P381" s="19"/>
      <c r="Q381" s="19"/>
    </row>
    <row r="382" spans="6:17" ht="12.75">
      <c r="F382" s="724"/>
      <c r="G382" s="724"/>
      <c r="H382" s="47"/>
      <c r="I382" s="47"/>
      <c r="O382" s="19"/>
      <c r="P382" s="19"/>
      <c r="Q382" s="19"/>
    </row>
    <row r="383" spans="6:17" ht="12.75">
      <c r="F383" s="724"/>
      <c r="G383" s="724"/>
      <c r="H383" s="47"/>
      <c r="I383" s="47"/>
      <c r="O383" s="19"/>
      <c r="P383" s="19"/>
      <c r="Q383" s="19"/>
    </row>
    <row r="384" spans="6:17" ht="12.75">
      <c r="F384" s="724"/>
      <c r="G384" s="724"/>
      <c r="H384" s="47"/>
      <c r="I384" s="47"/>
      <c r="O384" s="19"/>
      <c r="P384" s="19"/>
      <c r="Q384" s="19"/>
    </row>
    <row r="385" spans="6:17" ht="12.75">
      <c r="F385" s="724"/>
      <c r="G385" s="724"/>
      <c r="H385" s="47"/>
      <c r="I385" s="47"/>
      <c r="O385" s="19"/>
      <c r="P385" s="19"/>
      <c r="Q385" s="19"/>
    </row>
    <row r="386" spans="6:17" ht="12.75">
      <c r="F386" s="724"/>
      <c r="G386" s="724"/>
      <c r="H386" s="47"/>
      <c r="I386" s="47"/>
      <c r="O386" s="19"/>
      <c r="P386" s="19"/>
      <c r="Q386" s="19"/>
    </row>
    <row r="387" spans="6:17" ht="12.75">
      <c r="F387" s="724"/>
      <c r="G387" s="724"/>
      <c r="H387" s="47"/>
      <c r="I387" s="47"/>
      <c r="O387" s="19"/>
      <c r="P387" s="19"/>
      <c r="Q387" s="19"/>
    </row>
    <row r="388" spans="6:17" ht="12.75">
      <c r="F388" s="724"/>
      <c r="G388" s="724"/>
      <c r="H388" s="47"/>
      <c r="I388" s="47"/>
      <c r="O388" s="19"/>
      <c r="P388" s="19"/>
      <c r="Q388" s="19"/>
    </row>
    <row r="389" spans="6:17" ht="12.75">
      <c r="F389" s="724"/>
      <c r="G389" s="724"/>
      <c r="H389" s="47"/>
      <c r="I389" s="47"/>
      <c r="O389" s="19"/>
      <c r="P389" s="19"/>
      <c r="Q389" s="19"/>
    </row>
    <row r="390" spans="6:17" ht="12.75">
      <c r="F390" s="724"/>
      <c r="G390" s="724"/>
      <c r="H390" s="47"/>
      <c r="I390" s="47"/>
      <c r="O390" s="19"/>
      <c r="P390" s="19"/>
      <c r="Q390" s="19"/>
    </row>
    <row r="391" spans="6:17" ht="12.75">
      <c r="F391" s="724"/>
      <c r="G391" s="724"/>
      <c r="H391" s="47"/>
      <c r="I391" s="47"/>
      <c r="O391" s="19"/>
      <c r="P391" s="19"/>
      <c r="Q391" s="19"/>
    </row>
    <row r="392" spans="6:17" ht="12.75">
      <c r="F392" s="724"/>
      <c r="G392" s="724"/>
      <c r="H392" s="47"/>
      <c r="I392" s="47"/>
      <c r="O392" s="19"/>
      <c r="P392" s="19"/>
      <c r="Q392" s="19"/>
    </row>
    <row r="393" spans="6:17" ht="12.75">
      <c r="F393" s="724"/>
      <c r="G393" s="724"/>
      <c r="H393" s="47"/>
      <c r="I393" s="47"/>
      <c r="O393" s="19"/>
      <c r="P393" s="19"/>
      <c r="Q393" s="19"/>
    </row>
    <row r="394" spans="6:17" ht="12.75">
      <c r="F394" s="724"/>
      <c r="G394" s="724"/>
      <c r="H394" s="47"/>
      <c r="I394" s="47"/>
      <c r="O394" s="19"/>
      <c r="P394" s="19"/>
      <c r="Q394" s="19"/>
    </row>
    <row r="395" spans="6:17" ht="12.75">
      <c r="F395" s="724"/>
      <c r="G395" s="724"/>
      <c r="H395" s="47"/>
      <c r="I395" s="47"/>
      <c r="O395" s="19"/>
      <c r="P395" s="19"/>
      <c r="Q395" s="19"/>
    </row>
    <row r="396" spans="6:17" ht="12.75">
      <c r="F396" s="724"/>
      <c r="G396" s="724"/>
      <c r="H396" s="47"/>
      <c r="I396" s="47"/>
      <c r="O396" s="19"/>
      <c r="P396" s="19"/>
      <c r="Q396" s="19"/>
    </row>
    <row r="397" spans="6:17" ht="12.75">
      <c r="F397" s="724"/>
      <c r="G397" s="724"/>
      <c r="H397" s="47"/>
      <c r="I397" s="47"/>
      <c r="O397" s="19"/>
      <c r="P397" s="19"/>
      <c r="Q397" s="19"/>
    </row>
    <row r="398" spans="6:17" ht="12.75">
      <c r="F398" s="724"/>
      <c r="G398" s="724"/>
      <c r="H398" s="47"/>
      <c r="I398" s="47"/>
      <c r="O398" s="19"/>
      <c r="P398" s="19"/>
      <c r="Q398" s="19"/>
    </row>
    <row r="399" spans="6:17" ht="12.75">
      <c r="F399" s="724"/>
      <c r="G399" s="724"/>
      <c r="H399" s="47"/>
      <c r="I399" s="47"/>
      <c r="O399" s="19"/>
      <c r="P399" s="19"/>
      <c r="Q399" s="19"/>
    </row>
    <row r="400" spans="6:17" ht="12.75">
      <c r="F400" s="724"/>
      <c r="G400" s="724"/>
      <c r="H400" s="47"/>
      <c r="I400" s="47"/>
      <c r="O400" s="19"/>
      <c r="P400" s="19"/>
      <c r="Q400" s="19"/>
    </row>
    <row r="401" spans="6:17" ht="12.75">
      <c r="F401" s="724"/>
      <c r="G401" s="724"/>
      <c r="H401" s="47"/>
      <c r="I401" s="47"/>
      <c r="O401" s="19"/>
      <c r="P401" s="19"/>
      <c r="Q401" s="19"/>
    </row>
    <row r="402" spans="6:17" ht="12.75">
      <c r="F402" s="724"/>
      <c r="G402" s="724"/>
      <c r="H402" s="47"/>
      <c r="I402" s="47"/>
      <c r="O402" s="19"/>
      <c r="P402" s="19"/>
      <c r="Q402" s="19"/>
    </row>
    <row r="403" spans="6:17" ht="12.75">
      <c r="F403" s="724"/>
      <c r="G403" s="724"/>
      <c r="H403" s="47"/>
      <c r="I403" s="47"/>
      <c r="O403" s="19"/>
      <c r="P403" s="19"/>
      <c r="Q403" s="19"/>
    </row>
    <row r="404" spans="6:17" ht="12.75">
      <c r="F404" s="724"/>
      <c r="G404" s="724"/>
      <c r="H404" s="47"/>
      <c r="I404" s="47"/>
      <c r="O404" s="19"/>
      <c r="P404" s="19"/>
      <c r="Q404" s="19"/>
    </row>
    <row r="405" spans="6:17" ht="12.75">
      <c r="F405" s="724"/>
      <c r="G405" s="724"/>
      <c r="H405" s="47"/>
      <c r="I405" s="47"/>
      <c r="O405" s="19"/>
      <c r="P405" s="19"/>
      <c r="Q405" s="19"/>
    </row>
    <row r="406" spans="6:17" ht="12.75">
      <c r="F406" s="724"/>
      <c r="G406" s="724"/>
      <c r="H406" s="47"/>
      <c r="I406" s="47"/>
      <c r="O406" s="19"/>
      <c r="P406" s="19"/>
      <c r="Q406" s="19"/>
    </row>
    <row r="407" spans="6:17" ht="12.75">
      <c r="F407" s="724"/>
      <c r="G407" s="724"/>
      <c r="H407" s="47"/>
      <c r="I407" s="47"/>
      <c r="O407" s="19"/>
      <c r="P407" s="19"/>
      <c r="Q407" s="19"/>
    </row>
    <row r="408" spans="6:17" ht="12.75">
      <c r="F408" s="724"/>
      <c r="G408" s="724"/>
      <c r="H408" s="47"/>
      <c r="I408" s="47"/>
      <c r="O408" s="19"/>
      <c r="P408" s="19"/>
      <c r="Q408" s="19"/>
    </row>
    <row r="409" spans="6:17" ht="12.75">
      <c r="F409" s="724"/>
      <c r="G409" s="724"/>
      <c r="H409" s="47"/>
      <c r="I409" s="47"/>
      <c r="O409" s="19"/>
      <c r="P409" s="19"/>
      <c r="Q409" s="19"/>
    </row>
    <row r="410" spans="6:17" ht="12.75">
      <c r="F410" s="724"/>
      <c r="G410" s="724"/>
      <c r="H410" s="47"/>
      <c r="I410" s="47"/>
      <c r="O410" s="19"/>
      <c r="P410" s="19"/>
      <c r="Q410" s="19"/>
    </row>
    <row r="411" spans="6:17" ht="12.75">
      <c r="F411" s="724"/>
      <c r="G411" s="724"/>
      <c r="H411" s="47"/>
      <c r="I411" s="47"/>
      <c r="O411" s="19"/>
      <c r="P411" s="19"/>
      <c r="Q411" s="19"/>
    </row>
    <row r="412" spans="6:17" ht="12.75">
      <c r="F412" s="724"/>
      <c r="G412" s="724"/>
      <c r="H412" s="47"/>
      <c r="I412" s="47"/>
      <c r="O412" s="19"/>
      <c r="P412" s="19"/>
      <c r="Q412" s="19"/>
    </row>
    <row r="413" spans="6:17" ht="12.75">
      <c r="F413" s="724"/>
      <c r="G413" s="724"/>
      <c r="H413" s="47"/>
      <c r="I413" s="47"/>
      <c r="O413" s="19"/>
      <c r="P413" s="19"/>
      <c r="Q413" s="19"/>
    </row>
    <row r="414" spans="6:17" ht="12.75">
      <c r="F414" s="724"/>
      <c r="G414" s="724"/>
      <c r="H414" s="47"/>
      <c r="I414" s="47"/>
      <c r="O414" s="19"/>
      <c r="P414" s="19"/>
      <c r="Q414" s="19"/>
    </row>
    <row r="415" spans="6:17" ht="12.75">
      <c r="F415" s="724"/>
      <c r="G415" s="724"/>
      <c r="H415" s="47"/>
      <c r="I415" s="47"/>
      <c r="O415" s="19"/>
      <c r="P415" s="19"/>
      <c r="Q415" s="19"/>
    </row>
    <row r="416" spans="6:17" ht="12.75">
      <c r="F416" s="724"/>
      <c r="G416" s="724"/>
      <c r="H416" s="47"/>
      <c r="I416" s="47"/>
      <c r="O416" s="19"/>
      <c r="P416" s="19"/>
      <c r="Q416" s="19"/>
    </row>
    <row r="417" spans="6:17" ht="12.75">
      <c r="F417" s="724"/>
      <c r="G417" s="724"/>
      <c r="H417" s="47"/>
      <c r="I417" s="47"/>
      <c r="O417" s="19"/>
      <c r="P417" s="19"/>
      <c r="Q417" s="19"/>
    </row>
    <row r="418" spans="6:17" ht="12.75">
      <c r="F418" s="724"/>
      <c r="G418" s="724"/>
      <c r="H418" s="47"/>
      <c r="I418" s="47"/>
      <c r="O418" s="19"/>
      <c r="P418" s="19"/>
      <c r="Q418" s="19"/>
    </row>
    <row r="419" spans="6:17" ht="12.75">
      <c r="F419" s="724"/>
      <c r="G419" s="724"/>
      <c r="H419" s="47"/>
      <c r="I419" s="47"/>
      <c r="O419" s="19"/>
      <c r="P419" s="19"/>
      <c r="Q419" s="19"/>
    </row>
    <row r="420" spans="6:17" ht="12.75">
      <c r="F420" s="724"/>
      <c r="G420" s="724"/>
      <c r="H420" s="47"/>
      <c r="I420" s="47"/>
      <c r="O420" s="19"/>
      <c r="P420" s="19"/>
      <c r="Q420" s="19"/>
    </row>
    <row r="421" spans="6:17" ht="12.75">
      <c r="F421" s="724"/>
      <c r="G421" s="724"/>
      <c r="H421" s="47"/>
      <c r="I421" s="47"/>
      <c r="O421" s="19"/>
      <c r="P421" s="19"/>
      <c r="Q421" s="19"/>
    </row>
    <row r="422" spans="6:17" ht="12.75">
      <c r="F422" s="724"/>
      <c r="G422" s="724"/>
      <c r="H422" s="47"/>
      <c r="I422" s="47"/>
      <c r="O422" s="19"/>
      <c r="P422" s="19"/>
      <c r="Q422" s="19"/>
    </row>
    <row r="423" spans="6:17" ht="12.75">
      <c r="F423" s="724"/>
      <c r="G423" s="724"/>
      <c r="H423" s="47"/>
      <c r="I423" s="47"/>
      <c r="O423" s="19"/>
      <c r="P423" s="19"/>
      <c r="Q423" s="19"/>
    </row>
    <row r="424" spans="6:17" ht="12.75">
      <c r="F424" s="724"/>
      <c r="G424" s="724"/>
      <c r="H424" s="47"/>
      <c r="I424" s="47"/>
      <c r="O424" s="19"/>
      <c r="P424" s="19"/>
      <c r="Q424" s="19"/>
    </row>
    <row r="425" spans="6:17" ht="12.75">
      <c r="F425" s="724"/>
      <c r="G425" s="724"/>
      <c r="H425" s="47"/>
      <c r="I425" s="47"/>
      <c r="O425" s="19"/>
      <c r="P425" s="19"/>
      <c r="Q425" s="19"/>
    </row>
    <row r="426" spans="6:17" ht="12.75">
      <c r="F426" s="724"/>
      <c r="G426" s="724"/>
      <c r="H426" s="47"/>
      <c r="I426" s="47"/>
      <c r="O426" s="19"/>
      <c r="P426" s="19"/>
      <c r="Q426" s="19"/>
    </row>
    <row r="427" spans="6:17" ht="12.75">
      <c r="F427" s="724"/>
      <c r="G427" s="724"/>
      <c r="H427" s="47"/>
      <c r="I427" s="47"/>
      <c r="O427" s="19"/>
      <c r="P427" s="19"/>
      <c r="Q427" s="19"/>
    </row>
    <row r="428" spans="6:17" ht="12.75">
      <c r="F428" s="724"/>
      <c r="G428" s="724"/>
      <c r="H428" s="47"/>
      <c r="I428" s="47"/>
      <c r="O428" s="19"/>
      <c r="P428" s="19"/>
      <c r="Q428" s="19"/>
    </row>
    <row r="429" spans="6:17" ht="12.75">
      <c r="F429" s="724"/>
      <c r="G429" s="724"/>
      <c r="H429" s="47"/>
      <c r="I429" s="47"/>
      <c r="O429" s="19"/>
      <c r="P429" s="19"/>
      <c r="Q429" s="19"/>
    </row>
    <row r="430" spans="6:17" ht="12.75">
      <c r="F430" s="724"/>
      <c r="G430" s="724"/>
      <c r="H430" s="47"/>
      <c r="I430" s="47"/>
      <c r="O430" s="19"/>
      <c r="P430" s="19"/>
      <c r="Q430" s="19"/>
    </row>
    <row r="431" spans="6:17" ht="12.75">
      <c r="F431" s="724"/>
      <c r="G431" s="724"/>
      <c r="H431" s="47"/>
      <c r="I431" s="47"/>
      <c r="O431" s="19"/>
      <c r="P431" s="19"/>
      <c r="Q431" s="19"/>
    </row>
    <row r="432" spans="6:17" ht="12.75">
      <c r="F432" s="724"/>
      <c r="G432" s="724"/>
      <c r="H432" s="47"/>
      <c r="I432" s="47"/>
      <c r="O432" s="19"/>
      <c r="P432" s="19"/>
      <c r="Q432" s="19"/>
    </row>
    <row r="433" spans="6:17" ht="12.75">
      <c r="F433" s="724"/>
      <c r="G433" s="724"/>
      <c r="H433" s="47"/>
      <c r="I433" s="47"/>
      <c r="O433" s="19"/>
      <c r="P433" s="19"/>
      <c r="Q433" s="19"/>
    </row>
    <row r="434" spans="6:17" ht="12.75">
      <c r="F434" s="724"/>
      <c r="G434" s="724"/>
      <c r="H434" s="47"/>
      <c r="I434" s="47"/>
      <c r="O434" s="19"/>
      <c r="P434" s="19"/>
      <c r="Q434" s="19"/>
    </row>
    <row r="435" spans="6:17" ht="12.75">
      <c r="F435" s="724"/>
      <c r="G435" s="724"/>
      <c r="H435" s="47"/>
      <c r="I435" s="47"/>
      <c r="O435" s="19"/>
      <c r="P435" s="19"/>
      <c r="Q435" s="19"/>
    </row>
    <row r="436" spans="6:17" ht="12.75">
      <c r="F436" s="724"/>
      <c r="G436" s="724"/>
      <c r="H436" s="47"/>
      <c r="I436" s="47"/>
      <c r="O436" s="19"/>
      <c r="P436" s="19"/>
      <c r="Q436" s="19"/>
    </row>
    <row r="437" spans="6:17" ht="12.75">
      <c r="F437" s="724"/>
      <c r="G437" s="724"/>
      <c r="H437" s="47"/>
      <c r="I437" s="47"/>
      <c r="O437" s="19"/>
      <c r="P437" s="19"/>
      <c r="Q437" s="19"/>
    </row>
    <row r="438" spans="6:17" ht="12.75">
      <c r="F438" s="724"/>
      <c r="G438" s="724"/>
      <c r="H438" s="47"/>
      <c r="I438" s="47"/>
      <c r="O438" s="19"/>
      <c r="P438" s="19"/>
      <c r="Q438" s="19"/>
    </row>
    <row r="439" spans="6:17" ht="12.75">
      <c r="F439" s="724"/>
      <c r="G439" s="724"/>
      <c r="H439" s="47"/>
      <c r="I439" s="47"/>
      <c r="O439" s="19"/>
      <c r="P439" s="19"/>
      <c r="Q439" s="19"/>
    </row>
    <row r="440" spans="6:17" ht="12.75">
      <c r="F440" s="724"/>
      <c r="G440" s="724"/>
      <c r="H440" s="47"/>
      <c r="I440" s="47"/>
      <c r="O440" s="19"/>
      <c r="P440" s="19"/>
      <c r="Q440" s="19"/>
    </row>
    <row r="441" spans="6:17" ht="12.75">
      <c r="F441" s="724"/>
      <c r="G441" s="724"/>
      <c r="H441" s="47"/>
      <c r="I441" s="47"/>
      <c r="O441" s="19"/>
      <c r="P441" s="19"/>
      <c r="Q441" s="19"/>
    </row>
    <row r="442" spans="6:17" ht="12.75">
      <c r="F442" s="724"/>
      <c r="G442" s="724"/>
      <c r="H442" s="47"/>
      <c r="I442" s="47"/>
      <c r="O442" s="19"/>
      <c r="P442" s="19"/>
      <c r="Q442" s="19"/>
    </row>
    <row r="443" spans="6:17" ht="12.75">
      <c r="F443" s="724"/>
      <c r="G443" s="724"/>
      <c r="H443" s="47"/>
      <c r="I443" s="47"/>
      <c r="O443" s="19"/>
      <c r="P443" s="19"/>
      <c r="Q443" s="19"/>
    </row>
    <row r="444" spans="6:17" ht="12.75">
      <c r="F444" s="724"/>
      <c r="G444" s="724"/>
      <c r="H444" s="47"/>
      <c r="I444" s="47"/>
      <c r="O444" s="19"/>
      <c r="P444" s="19"/>
      <c r="Q444" s="19"/>
    </row>
    <row r="445" spans="6:17" ht="12.75">
      <c r="F445" s="724"/>
      <c r="G445" s="724"/>
      <c r="H445" s="47"/>
      <c r="I445" s="47"/>
      <c r="O445" s="19"/>
      <c r="P445" s="19"/>
      <c r="Q445" s="19"/>
    </row>
    <row r="446" spans="6:17" ht="12.75">
      <c r="F446" s="724"/>
      <c r="G446" s="724"/>
      <c r="H446" s="47"/>
      <c r="I446" s="47"/>
      <c r="O446" s="19"/>
      <c r="P446" s="19"/>
      <c r="Q446" s="19"/>
    </row>
    <row r="447" spans="6:17" ht="12.75">
      <c r="F447" s="724"/>
      <c r="G447" s="724"/>
      <c r="H447" s="47"/>
      <c r="I447" s="47"/>
      <c r="O447" s="19"/>
      <c r="P447" s="19"/>
      <c r="Q447" s="19"/>
    </row>
    <row r="448" spans="6:17" ht="12.75">
      <c r="F448" s="724"/>
      <c r="G448" s="724"/>
      <c r="H448" s="47"/>
      <c r="I448" s="47"/>
      <c r="O448" s="19"/>
      <c r="P448" s="19"/>
      <c r="Q448" s="19"/>
    </row>
    <row r="449" spans="6:17" ht="12.75">
      <c r="F449" s="724"/>
      <c r="G449" s="724"/>
      <c r="H449" s="47"/>
      <c r="I449" s="47"/>
      <c r="O449" s="19"/>
      <c r="P449" s="19"/>
      <c r="Q449" s="19"/>
    </row>
    <row r="450" spans="6:17" ht="12.75">
      <c r="F450" s="724"/>
      <c r="G450" s="724"/>
      <c r="H450" s="47"/>
      <c r="I450" s="47"/>
      <c r="O450" s="19"/>
      <c r="P450" s="19"/>
      <c r="Q450" s="19"/>
    </row>
    <row r="451" spans="6:17" ht="12.75">
      <c r="F451" s="724"/>
      <c r="G451" s="724"/>
      <c r="H451" s="47"/>
      <c r="I451" s="47"/>
      <c r="O451" s="19"/>
      <c r="P451" s="19"/>
      <c r="Q451" s="19"/>
    </row>
    <row r="452" spans="6:17" ht="12.75">
      <c r="F452" s="724"/>
      <c r="G452" s="724"/>
      <c r="H452" s="47"/>
      <c r="I452" s="47"/>
      <c r="O452" s="19"/>
      <c r="P452" s="19"/>
      <c r="Q452" s="19"/>
    </row>
    <row r="453" spans="6:17" ht="12.75">
      <c r="F453" s="724"/>
      <c r="G453" s="724"/>
      <c r="H453" s="47"/>
      <c r="I453" s="47"/>
      <c r="O453" s="19"/>
      <c r="P453" s="19"/>
      <c r="Q453" s="19"/>
    </row>
    <row r="454" spans="6:17" ht="12.75">
      <c r="F454" s="724"/>
      <c r="G454" s="724"/>
      <c r="H454" s="47"/>
      <c r="I454" s="47"/>
      <c r="O454" s="19"/>
      <c r="P454" s="19"/>
      <c r="Q454" s="19"/>
    </row>
    <row r="455" spans="6:17" ht="12.75">
      <c r="F455" s="724"/>
      <c r="G455" s="724"/>
      <c r="H455" s="47"/>
      <c r="I455" s="47"/>
      <c r="O455" s="19"/>
      <c r="P455" s="19"/>
      <c r="Q455" s="19"/>
    </row>
    <row r="456" spans="6:17" ht="12.75">
      <c r="F456" s="724"/>
      <c r="G456" s="724"/>
      <c r="H456" s="47"/>
      <c r="I456" s="47"/>
      <c r="O456" s="19"/>
      <c r="P456" s="19"/>
      <c r="Q456" s="19"/>
    </row>
    <row r="457" spans="6:17" ht="12.75">
      <c r="F457" s="724"/>
      <c r="G457" s="724"/>
      <c r="H457" s="47"/>
      <c r="I457" s="47"/>
      <c r="O457" s="19"/>
      <c r="P457" s="19"/>
      <c r="Q457" s="19"/>
    </row>
    <row r="458" spans="6:17" ht="12.75">
      <c r="F458" s="724"/>
      <c r="G458" s="724"/>
      <c r="H458" s="47"/>
      <c r="I458" s="47"/>
      <c r="O458" s="19"/>
      <c r="P458" s="19"/>
      <c r="Q458" s="19"/>
    </row>
    <row r="459" spans="6:17" ht="12.75">
      <c r="F459" s="724"/>
      <c r="G459" s="724"/>
      <c r="H459" s="47"/>
      <c r="I459" s="47"/>
      <c r="O459" s="19"/>
      <c r="P459" s="19"/>
      <c r="Q459" s="19"/>
    </row>
    <row r="460" spans="6:17" ht="12.75">
      <c r="F460" s="724"/>
      <c r="G460" s="724"/>
      <c r="H460" s="47"/>
      <c r="I460" s="47"/>
      <c r="O460" s="19"/>
      <c r="P460" s="19"/>
      <c r="Q460" s="19"/>
    </row>
    <row r="461" spans="6:17" ht="12.75">
      <c r="F461" s="724"/>
      <c r="G461" s="724"/>
      <c r="H461" s="47"/>
      <c r="I461" s="47"/>
      <c r="O461" s="19"/>
      <c r="P461" s="19"/>
      <c r="Q461" s="19"/>
    </row>
    <row r="462" spans="6:17" ht="12.75">
      <c r="F462" s="724"/>
      <c r="G462" s="724"/>
      <c r="H462" s="47"/>
      <c r="I462" s="47"/>
      <c r="O462" s="19"/>
      <c r="P462" s="19"/>
      <c r="Q462" s="19"/>
    </row>
    <row r="463" spans="6:17" ht="12.75">
      <c r="F463" s="724"/>
      <c r="G463" s="724"/>
      <c r="H463" s="47"/>
      <c r="I463" s="47"/>
      <c r="O463" s="19"/>
      <c r="P463" s="19"/>
      <c r="Q463" s="19"/>
    </row>
    <row r="464" spans="6:17" ht="12.75">
      <c r="F464" s="724"/>
      <c r="G464" s="724"/>
      <c r="H464" s="47"/>
      <c r="I464" s="47"/>
      <c r="O464" s="19"/>
      <c r="P464" s="19"/>
      <c r="Q464" s="19"/>
    </row>
    <row r="465" spans="6:17" ht="12.75">
      <c r="F465" s="724"/>
      <c r="G465" s="724"/>
      <c r="H465" s="47"/>
      <c r="I465" s="47"/>
      <c r="O465" s="19"/>
      <c r="P465" s="19"/>
      <c r="Q465" s="19"/>
    </row>
    <row r="466" spans="6:17" ht="12.75">
      <c r="F466" s="724"/>
      <c r="G466" s="724"/>
      <c r="H466" s="47"/>
      <c r="I466" s="47"/>
      <c r="O466" s="19"/>
      <c r="P466" s="19"/>
      <c r="Q466" s="19"/>
    </row>
    <row r="467" spans="6:17" ht="12.75">
      <c r="F467" s="724"/>
      <c r="G467" s="724"/>
      <c r="H467" s="47"/>
      <c r="I467" s="47"/>
      <c r="O467" s="19"/>
      <c r="P467" s="19"/>
      <c r="Q467" s="19"/>
    </row>
    <row r="468" spans="6:17" ht="12.75">
      <c r="F468" s="724"/>
      <c r="G468" s="724"/>
      <c r="H468" s="47"/>
      <c r="I468" s="47"/>
      <c r="O468" s="19"/>
      <c r="P468" s="19"/>
      <c r="Q468" s="19"/>
    </row>
    <row r="469" spans="6:17" ht="12.75">
      <c r="F469" s="724"/>
      <c r="G469" s="724"/>
      <c r="H469" s="47"/>
      <c r="I469" s="47"/>
      <c r="O469" s="19"/>
      <c r="P469" s="19"/>
      <c r="Q469" s="19"/>
    </row>
    <row r="470" spans="6:17" ht="12.75">
      <c r="F470" s="724"/>
      <c r="G470" s="724"/>
      <c r="H470" s="47"/>
      <c r="I470" s="47"/>
      <c r="O470" s="19"/>
      <c r="P470" s="19"/>
      <c r="Q470" s="19"/>
    </row>
    <row r="471" spans="6:17" ht="12.75">
      <c r="F471" s="724"/>
      <c r="G471" s="724"/>
      <c r="H471" s="47"/>
      <c r="I471" s="47"/>
      <c r="O471" s="19"/>
      <c r="P471" s="19"/>
      <c r="Q471" s="19"/>
    </row>
    <row r="472" spans="6:17" ht="12.75">
      <c r="F472" s="724"/>
      <c r="G472" s="724"/>
      <c r="H472" s="47"/>
      <c r="I472" s="47"/>
      <c r="O472" s="19"/>
      <c r="P472" s="19"/>
      <c r="Q472" s="19"/>
    </row>
    <row r="473" spans="6:17" ht="12.75">
      <c r="F473" s="724"/>
      <c r="G473" s="724"/>
      <c r="H473" s="47"/>
      <c r="I473" s="47"/>
      <c r="O473" s="19"/>
      <c r="P473" s="19"/>
      <c r="Q473" s="19"/>
    </row>
    <row r="474" spans="6:17" ht="12.75">
      <c r="F474" s="724"/>
      <c r="G474" s="724"/>
      <c r="H474" s="47"/>
      <c r="I474" s="47"/>
      <c r="O474" s="19"/>
      <c r="P474" s="19"/>
      <c r="Q474" s="19"/>
    </row>
    <row r="475" spans="6:17" ht="12.75">
      <c r="F475" s="724"/>
      <c r="G475" s="724"/>
      <c r="H475" s="47"/>
      <c r="I475" s="47"/>
      <c r="O475" s="19"/>
      <c r="P475" s="19"/>
      <c r="Q475" s="19"/>
    </row>
    <row r="476" spans="6:17" ht="12.75">
      <c r="F476" s="724"/>
      <c r="G476" s="724"/>
      <c r="H476" s="47"/>
      <c r="I476" s="47"/>
      <c r="O476" s="19"/>
      <c r="P476" s="19"/>
      <c r="Q476" s="19"/>
    </row>
    <row r="477" spans="6:17" ht="12.75">
      <c r="F477" s="724"/>
      <c r="G477" s="724"/>
      <c r="H477" s="47"/>
      <c r="I477" s="47"/>
      <c r="O477" s="19"/>
      <c r="P477" s="19"/>
      <c r="Q477" s="19"/>
    </row>
    <row r="478" spans="6:17" ht="12.75">
      <c r="F478" s="724"/>
      <c r="G478" s="724"/>
      <c r="H478" s="47"/>
      <c r="I478" s="47"/>
      <c r="O478" s="19"/>
      <c r="P478" s="19"/>
      <c r="Q478" s="19"/>
    </row>
    <row r="479" spans="6:17" ht="12.75">
      <c r="F479" s="724"/>
      <c r="G479" s="724"/>
      <c r="H479" s="47"/>
      <c r="I479" s="47"/>
      <c r="O479" s="19"/>
      <c r="P479" s="19"/>
      <c r="Q479" s="19"/>
    </row>
    <row r="480" spans="6:17" ht="12.75">
      <c r="F480" s="724"/>
      <c r="G480" s="724"/>
      <c r="H480" s="47"/>
      <c r="I480" s="47"/>
      <c r="O480" s="19"/>
      <c r="P480" s="19"/>
      <c r="Q480" s="19"/>
    </row>
    <row r="481" spans="6:17" ht="12.75">
      <c r="F481" s="724"/>
      <c r="G481" s="724"/>
      <c r="H481" s="47"/>
      <c r="I481" s="47"/>
      <c r="O481" s="19"/>
      <c r="P481" s="19"/>
      <c r="Q481" s="19"/>
    </row>
    <row r="482" spans="6:17" ht="12.75">
      <c r="F482" s="724"/>
      <c r="G482" s="724"/>
      <c r="H482" s="47"/>
      <c r="I482" s="47"/>
      <c r="O482" s="19"/>
      <c r="P482" s="19"/>
      <c r="Q482" s="19"/>
    </row>
    <row r="483" spans="6:17" ht="12.75">
      <c r="F483" s="724"/>
      <c r="G483" s="724"/>
      <c r="H483" s="47"/>
      <c r="I483" s="47"/>
      <c r="O483" s="19"/>
      <c r="P483" s="19"/>
      <c r="Q483" s="19"/>
    </row>
    <row r="484" spans="6:17" ht="12.75">
      <c r="F484" s="724"/>
      <c r="G484" s="724"/>
      <c r="H484" s="47"/>
      <c r="I484" s="47"/>
      <c r="O484" s="19"/>
      <c r="P484" s="19"/>
      <c r="Q484" s="19"/>
    </row>
    <row r="485" spans="6:17" ht="12.75">
      <c r="F485" s="724"/>
      <c r="G485" s="724"/>
      <c r="H485" s="47"/>
      <c r="I485" s="47"/>
      <c r="O485" s="19"/>
      <c r="P485" s="19"/>
      <c r="Q485" s="19"/>
    </row>
    <row r="486" spans="6:17" ht="12.75">
      <c r="F486" s="724"/>
      <c r="G486" s="724"/>
      <c r="H486" s="47"/>
      <c r="I486" s="47"/>
      <c r="O486" s="19"/>
      <c r="P486" s="19"/>
      <c r="Q486" s="19"/>
    </row>
    <row r="487" spans="6:17" ht="12.75">
      <c r="F487" s="724"/>
      <c r="G487" s="724"/>
      <c r="H487" s="47"/>
      <c r="I487" s="47"/>
      <c r="O487" s="19"/>
      <c r="P487" s="19"/>
      <c r="Q487" s="19"/>
    </row>
    <row r="488" spans="6:17" ht="12.75">
      <c r="F488" s="724"/>
      <c r="G488" s="724"/>
      <c r="H488" s="47"/>
      <c r="I488" s="47"/>
      <c r="O488" s="19"/>
      <c r="P488" s="19"/>
      <c r="Q488" s="19"/>
    </row>
    <row r="489" spans="6:17" ht="12.75">
      <c r="F489" s="724"/>
      <c r="G489" s="724"/>
      <c r="H489" s="47"/>
      <c r="I489" s="47"/>
      <c r="O489" s="19"/>
      <c r="P489" s="19"/>
      <c r="Q489" s="19"/>
    </row>
    <row r="490" spans="6:17" ht="12.75">
      <c r="F490" s="724"/>
      <c r="G490" s="724"/>
      <c r="H490" s="47"/>
      <c r="I490" s="47"/>
      <c r="O490" s="19"/>
      <c r="P490" s="19"/>
      <c r="Q490" s="19"/>
    </row>
    <row r="491" spans="6:17" ht="12.75">
      <c r="F491" s="724"/>
      <c r="G491" s="724"/>
      <c r="H491" s="47"/>
      <c r="I491" s="47"/>
      <c r="O491" s="19"/>
      <c r="P491" s="19"/>
      <c r="Q491" s="19"/>
    </row>
    <row r="492" spans="6:17" ht="12.75">
      <c r="F492" s="724"/>
      <c r="G492" s="724"/>
      <c r="H492" s="47"/>
      <c r="I492" s="47"/>
      <c r="O492" s="19"/>
      <c r="P492" s="19"/>
      <c r="Q492" s="19"/>
    </row>
    <row r="493" spans="6:17" ht="12.75">
      <c r="F493" s="724"/>
      <c r="G493" s="724"/>
      <c r="H493" s="47"/>
      <c r="I493" s="47"/>
      <c r="O493" s="19"/>
      <c r="P493" s="19"/>
      <c r="Q493" s="19"/>
    </row>
    <row r="494" spans="6:17" ht="12.75">
      <c r="F494" s="724"/>
      <c r="G494" s="724"/>
      <c r="H494" s="47"/>
      <c r="I494" s="47"/>
      <c r="O494" s="19"/>
      <c r="P494" s="19"/>
      <c r="Q494" s="19"/>
    </row>
    <row r="495" spans="6:17" ht="12.75">
      <c r="F495" s="724"/>
      <c r="G495" s="724"/>
      <c r="H495" s="47"/>
      <c r="I495" s="47"/>
      <c r="O495" s="19"/>
      <c r="P495" s="19"/>
      <c r="Q495" s="19"/>
    </row>
    <row r="496" spans="6:17" ht="12.75">
      <c r="F496" s="724"/>
      <c r="G496" s="724"/>
      <c r="H496" s="47"/>
      <c r="I496" s="47"/>
      <c r="O496" s="19"/>
      <c r="P496" s="19"/>
      <c r="Q496" s="19"/>
    </row>
    <row r="497" spans="6:17" ht="12.75">
      <c r="F497" s="724"/>
      <c r="G497" s="724"/>
      <c r="H497" s="47"/>
      <c r="I497" s="47"/>
      <c r="O497" s="19"/>
      <c r="P497" s="19"/>
      <c r="Q497" s="19"/>
    </row>
    <row r="498" spans="6:17" ht="12.75">
      <c r="F498" s="724"/>
      <c r="G498" s="724"/>
      <c r="H498" s="47"/>
      <c r="I498" s="47"/>
      <c r="O498" s="19"/>
      <c r="P498" s="19"/>
      <c r="Q498" s="19"/>
    </row>
    <row r="499" spans="6:17" ht="12.75">
      <c r="F499" s="724"/>
      <c r="G499" s="724"/>
      <c r="H499" s="47"/>
      <c r="I499" s="47"/>
      <c r="O499" s="19"/>
      <c r="P499" s="19"/>
      <c r="Q499" s="19"/>
    </row>
    <row r="500" spans="6:17" ht="12.75">
      <c r="F500" s="724"/>
      <c r="G500" s="724"/>
      <c r="H500" s="47"/>
      <c r="I500" s="47"/>
      <c r="O500" s="19"/>
      <c r="P500" s="19"/>
      <c r="Q500" s="19"/>
    </row>
    <row r="501" spans="6:17" ht="12.75">
      <c r="F501" s="724"/>
      <c r="G501" s="724"/>
      <c r="H501" s="47"/>
      <c r="I501" s="47"/>
      <c r="O501" s="19"/>
      <c r="P501" s="19"/>
      <c r="Q501" s="19"/>
    </row>
    <row r="502" spans="6:17" ht="12.75">
      <c r="F502" s="724"/>
      <c r="G502" s="724"/>
      <c r="H502" s="47"/>
      <c r="I502" s="47"/>
      <c r="O502" s="19"/>
      <c r="P502" s="19"/>
      <c r="Q502" s="19"/>
    </row>
    <row r="503" spans="6:17" ht="12.75">
      <c r="F503" s="724"/>
      <c r="G503" s="724"/>
      <c r="H503" s="47"/>
      <c r="I503" s="47"/>
      <c r="O503" s="19"/>
      <c r="P503" s="19"/>
      <c r="Q503" s="19"/>
    </row>
    <row r="504" spans="6:17" ht="12.75">
      <c r="F504" s="724"/>
      <c r="G504" s="724"/>
      <c r="H504" s="47"/>
      <c r="I504" s="47"/>
      <c r="O504" s="19"/>
      <c r="P504" s="19"/>
      <c r="Q504" s="19"/>
    </row>
    <row r="505" spans="6:17" ht="12.75">
      <c r="F505" s="724"/>
      <c r="G505" s="724"/>
      <c r="H505" s="47"/>
      <c r="I505" s="47"/>
      <c r="O505" s="19"/>
      <c r="P505" s="19"/>
      <c r="Q505" s="19"/>
    </row>
    <row r="506" spans="6:17" ht="12.75">
      <c r="F506" s="724"/>
      <c r="G506" s="724"/>
      <c r="H506" s="47"/>
      <c r="I506" s="47"/>
      <c r="O506" s="19"/>
      <c r="P506" s="19"/>
      <c r="Q506" s="19"/>
    </row>
    <row r="507" spans="6:17" ht="12.75">
      <c r="F507" s="724"/>
      <c r="G507" s="724"/>
      <c r="H507" s="47"/>
      <c r="I507" s="47"/>
      <c r="O507" s="19"/>
      <c r="P507" s="19"/>
      <c r="Q507" s="19"/>
    </row>
    <row r="508" spans="6:17" ht="12.75">
      <c r="F508" s="724"/>
      <c r="G508" s="724"/>
      <c r="H508" s="47"/>
      <c r="I508" s="47"/>
      <c r="O508" s="19"/>
      <c r="P508" s="19"/>
      <c r="Q508" s="19"/>
    </row>
    <row r="509" spans="6:17" ht="12.75">
      <c r="F509" s="724"/>
      <c r="G509" s="724"/>
      <c r="H509" s="47"/>
      <c r="I509" s="47"/>
      <c r="O509" s="19"/>
      <c r="P509" s="19"/>
      <c r="Q509" s="19"/>
    </row>
    <row r="510" spans="6:17" ht="12.75">
      <c r="F510" s="724"/>
      <c r="G510" s="724"/>
      <c r="H510" s="47"/>
      <c r="I510" s="47"/>
      <c r="O510" s="19"/>
      <c r="P510" s="19"/>
      <c r="Q510" s="19"/>
    </row>
    <row r="511" spans="6:17" ht="12.75">
      <c r="F511" s="724"/>
      <c r="G511" s="724"/>
      <c r="H511" s="47"/>
      <c r="I511" s="47"/>
      <c r="O511" s="19"/>
      <c r="P511" s="19"/>
      <c r="Q511" s="19"/>
    </row>
    <row r="512" spans="6:17" ht="12.75">
      <c r="F512" s="724"/>
      <c r="G512" s="724"/>
      <c r="H512" s="47"/>
      <c r="I512" s="47"/>
      <c r="O512" s="19"/>
      <c r="P512" s="19"/>
      <c r="Q512" s="19"/>
    </row>
    <row r="513" spans="6:17" ht="12.75">
      <c r="F513" s="724"/>
      <c r="G513" s="724"/>
      <c r="H513" s="47"/>
      <c r="I513" s="47"/>
      <c r="O513" s="19"/>
      <c r="P513" s="19"/>
      <c r="Q513" s="19"/>
    </row>
    <row r="514" spans="6:17" ht="12.75">
      <c r="F514" s="724"/>
      <c r="G514" s="724"/>
      <c r="H514" s="47"/>
      <c r="I514" s="47"/>
      <c r="O514" s="19"/>
      <c r="P514" s="19"/>
      <c r="Q514" s="19"/>
    </row>
    <row r="515" spans="6:17" ht="12.75">
      <c r="F515" s="724"/>
      <c r="G515" s="724"/>
      <c r="H515" s="47"/>
      <c r="I515" s="47"/>
      <c r="O515" s="19"/>
      <c r="P515" s="19"/>
      <c r="Q515" s="19"/>
    </row>
    <row r="516" spans="6:17" ht="12.75">
      <c r="F516" s="724"/>
      <c r="G516" s="724"/>
      <c r="H516" s="47"/>
      <c r="I516" s="47"/>
      <c r="O516" s="19"/>
      <c r="P516" s="19"/>
      <c r="Q516" s="19"/>
    </row>
    <row r="517" spans="6:17" ht="12.75">
      <c r="F517" s="724"/>
      <c r="G517" s="724"/>
      <c r="H517" s="47"/>
      <c r="I517" s="47"/>
      <c r="O517" s="19"/>
      <c r="P517" s="19"/>
      <c r="Q517" s="19"/>
    </row>
    <row r="518" spans="6:17" ht="12.75">
      <c r="F518" s="724"/>
      <c r="G518" s="724"/>
      <c r="H518" s="47"/>
      <c r="I518" s="47"/>
      <c r="O518" s="19"/>
      <c r="P518" s="19"/>
      <c r="Q518" s="19"/>
    </row>
    <row r="519" spans="6:17" ht="12.75">
      <c r="F519" s="724"/>
      <c r="G519" s="724"/>
      <c r="H519" s="47"/>
      <c r="I519" s="47"/>
      <c r="O519" s="19"/>
      <c r="P519" s="19"/>
      <c r="Q519" s="19"/>
    </row>
    <row r="520" spans="6:17" ht="12.75">
      <c r="F520" s="724"/>
      <c r="G520" s="724"/>
      <c r="H520" s="47"/>
      <c r="I520" s="47"/>
      <c r="O520" s="19"/>
      <c r="P520" s="19"/>
      <c r="Q520" s="19"/>
    </row>
    <row r="521" spans="6:17" ht="12.75">
      <c r="F521" s="724"/>
      <c r="G521" s="724"/>
      <c r="H521" s="47"/>
      <c r="I521" s="47"/>
      <c r="O521" s="19"/>
      <c r="P521" s="19"/>
      <c r="Q521" s="19"/>
    </row>
    <row r="522" spans="6:17" ht="12.75">
      <c r="F522" s="724"/>
      <c r="G522" s="724"/>
      <c r="H522" s="47"/>
      <c r="I522" s="47"/>
      <c r="O522" s="19"/>
      <c r="P522" s="19"/>
      <c r="Q522" s="19"/>
    </row>
    <row r="523" spans="6:17" ht="12.75">
      <c r="F523" s="724"/>
      <c r="G523" s="724"/>
      <c r="H523" s="47"/>
      <c r="I523" s="47"/>
      <c r="O523" s="19"/>
      <c r="P523" s="19"/>
      <c r="Q523" s="19"/>
    </row>
    <row r="524" spans="6:17" ht="12.75">
      <c r="F524" s="724"/>
      <c r="G524" s="724"/>
      <c r="H524" s="47"/>
      <c r="I524" s="47"/>
      <c r="O524" s="19"/>
      <c r="P524" s="19"/>
      <c r="Q524" s="19"/>
    </row>
    <row r="525" spans="6:17" ht="12.75">
      <c r="F525" s="724"/>
      <c r="G525" s="724"/>
      <c r="H525" s="47"/>
      <c r="I525" s="47"/>
      <c r="O525" s="19"/>
      <c r="P525" s="19"/>
      <c r="Q525" s="19"/>
    </row>
    <row r="526" spans="6:17" ht="12.75">
      <c r="F526" s="724"/>
      <c r="G526" s="724"/>
      <c r="H526" s="47"/>
      <c r="I526" s="47"/>
      <c r="O526" s="19"/>
      <c r="P526" s="19"/>
      <c r="Q526" s="19"/>
    </row>
    <row r="527" spans="6:17" ht="12.75">
      <c r="F527" s="724"/>
      <c r="G527" s="724"/>
      <c r="H527" s="47"/>
      <c r="I527" s="47"/>
      <c r="O527" s="19"/>
      <c r="P527" s="19"/>
      <c r="Q527" s="19"/>
    </row>
    <row r="528" spans="6:17" ht="12.75">
      <c r="F528" s="724"/>
      <c r="G528" s="724"/>
      <c r="H528" s="47"/>
      <c r="I528" s="47"/>
      <c r="O528" s="19"/>
      <c r="P528" s="19"/>
      <c r="Q528" s="19"/>
    </row>
    <row r="529" spans="6:17" ht="12.75">
      <c r="F529" s="724"/>
      <c r="G529" s="724"/>
      <c r="H529" s="47"/>
      <c r="I529" s="47"/>
      <c r="O529" s="19"/>
      <c r="P529" s="19"/>
      <c r="Q529" s="19"/>
    </row>
    <row r="530" spans="6:17" ht="12.75">
      <c r="F530" s="724"/>
      <c r="G530" s="724"/>
      <c r="H530" s="47"/>
      <c r="I530" s="47"/>
      <c r="O530" s="19"/>
      <c r="P530" s="19"/>
      <c r="Q530" s="19"/>
    </row>
    <row r="531" spans="6:17" ht="12.75">
      <c r="F531" s="724"/>
      <c r="G531" s="724"/>
      <c r="H531" s="47"/>
      <c r="I531" s="47"/>
      <c r="O531" s="19"/>
      <c r="P531" s="19"/>
      <c r="Q531" s="19"/>
    </row>
    <row r="532" spans="6:17" ht="12.75">
      <c r="F532" s="724"/>
      <c r="G532" s="724"/>
      <c r="H532" s="47"/>
      <c r="I532" s="47"/>
      <c r="O532" s="19"/>
      <c r="P532" s="19"/>
      <c r="Q532" s="19"/>
    </row>
    <row r="533" spans="6:17" ht="12.75">
      <c r="F533" s="724"/>
      <c r="G533" s="724"/>
      <c r="H533" s="47"/>
      <c r="I533" s="47"/>
      <c r="O533" s="19"/>
      <c r="P533" s="19"/>
      <c r="Q533" s="19"/>
    </row>
    <row r="534" spans="6:17" ht="12.75">
      <c r="F534" s="724"/>
      <c r="G534" s="724"/>
      <c r="H534" s="47"/>
      <c r="I534" s="47"/>
      <c r="O534" s="19"/>
      <c r="P534" s="19"/>
      <c r="Q534" s="19"/>
    </row>
    <row r="535" spans="6:17" ht="12.75">
      <c r="F535" s="724"/>
      <c r="G535" s="724"/>
      <c r="H535" s="47"/>
      <c r="I535" s="47"/>
      <c r="O535" s="19"/>
      <c r="P535" s="19"/>
      <c r="Q535" s="19"/>
    </row>
    <row r="536" spans="6:17" ht="12.75">
      <c r="F536" s="724"/>
      <c r="G536" s="724"/>
      <c r="H536" s="47"/>
      <c r="I536" s="47"/>
      <c r="O536" s="19"/>
      <c r="P536" s="19"/>
      <c r="Q536" s="19"/>
    </row>
    <row r="537" spans="6:17" ht="12.75">
      <c r="F537" s="724"/>
      <c r="G537" s="724"/>
      <c r="H537" s="47"/>
      <c r="I537" s="47"/>
      <c r="O537" s="19"/>
      <c r="P537" s="19"/>
      <c r="Q537" s="19"/>
    </row>
    <row r="538" spans="6:17" ht="12.75">
      <c r="F538" s="724"/>
      <c r="G538" s="724"/>
      <c r="H538" s="47"/>
      <c r="I538" s="47"/>
      <c r="O538" s="19"/>
      <c r="P538" s="19"/>
      <c r="Q538" s="19"/>
    </row>
    <row r="539" spans="6:17" ht="12.75">
      <c r="F539" s="724"/>
      <c r="G539" s="724"/>
      <c r="H539" s="47"/>
      <c r="I539" s="47"/>
      <c r="O539" s="19"/>
      <c r="P539" s="19"/>
      <c r="Q539" s="19"/>
    </row>
    <row r="540" spans="6:17" ht="12.75">
      <c r="F540" s="724"/>
      <c r="G540" s="724"/>
      <c r="H540" s="47"/>
      <c r="I540" s="47"/>
      <c r="O540" s="19"/>
      <c r="P540" s="19"/>
      <c r="Q540" s="19"/>
    </row>
    <row r="541" spans="6:17" ht="12.75">
      <c r="F541" s="724"/>
      <c r="G541" s="724"/>
      <c r="H541" s="47"/>
      <c r="I541" s="47"/>
      <c r="O541" s="19"/>
      <c r="P541" s="19"/>
      <c r="Q541" s="19"/>
    </row>
    <row r="542" spans="6:17" ht="12.75">
      <c r="F542" s="724"/>
      <c r="G542" s="724"/>
      <c r="H542" s="47"/>
      <c r="I542" s="47"/>
      <c r="O542" s="19"/>
      <c r="P542" s="19"/>
      <c r="Q542" s="19"/>
    </row>
    <row r="543" spans="6:17" ht="12.75">
      <c r="F543" s="724"/>
      <c r="G543" s="724"/>
      <c r="H543" s="47"/>
      <c r="I543" s="47"/>
      <c r="O543" s="19"/>
      <c r="P543" s="19"/>
      <c r="Q543" s="19"/>
    </row>
    <row r="544" spans="6:17" ht="12.75">
      <c r="F544" s="724"/>
      <c r="G544" s="724"/>
      <c r="H544" s="47"/>
      <c r="I544" s="47"/>
      <c r="O544" s="19"/>
      <c r="P544" s="19"/>
      <c r="Q544" s="19"/>
    </row>
    <row r="545" spans="6:17" ht="12.75">
      <c r="F545" s="724"/>
      <c r="G545" s="724"/>
      <c r="H545" s="47"/>
      <c r="I545" s="47"/>
      <c r="O545" s="19"/>
      <c r="P545" s="19"/>
      <c r="Q545" s="19"/>
    </row>
    <row r="546" spans="6:17" ht="12.75">
      <c r="F546" s="724"/>
      <c r="G546" s="724"/>
      <c r="H546" s="47"/>
      <c r="I546" s="47"/>
      <c r="O546" s="19"/>
      <c r="P546" s="19"/>
      <c r="Q546" s="19"/>
    </row>
    <row r="547" spans="6:17" ht="12.75">
      <c r="F547" s="724"/>
      <c r="G547" s="724"/>
      <c r="H547" s="47"/>
      <c r="I547" s="47"/>
      <c r="O547" s="19"/>
      <c r="P547" s="19"/>
      <c r="Q547" s="19"/>
    </row>
    <row r="548" spans="6:17" ht="12.75">
      <c r="F548" s="724"/>
      <c r="G548" s="724"/>
      <c r="H548" s="47"/>
      <c r="I548" s="47"/>
      <c r="O548" s="19"/>
      <c r="P548" s="19"/>
      <c r="Q548" s="19"/>
    </row>
    <row r="549" spans="6:17" ht="12.75">
      <c r="F549" s="724"/>
      <c r="G549" s="724"/>
      <c r="H549" s="47"/>
      <c r="I549" s="47"/>
      <c r="O549" s="19"/>
      <c r="P549" s="19"/>
      <c r="Q549" s="19"/>
    </row>
    <row r="550" spans="6:17" ht="12.75">
      <c r="F550" s="724"/>
      <c r="G550" s="724"/>
      <c r="H550" s="47"/>
      <c r="I550" s="47"/>
      <c r="O550" s="19"/>
      <c r="P550" s="19"/>
      <c r="Q550" s="19"/>
    </row>
    <row r="551" spans="6:17" ht="12.75">
      <c r="F551" s="724"/>
      <c r="G551" s="724"/>
      <c r="H551" s="47"/>
      <c r="I551" s="47"/>
      <c r="O551" s="19"/>
      <c r="P551" s="19"/>
      <c r="Q551" s="19"/>
    </row>
    <row r="552" spans="6:17" ht="12.75">
      <c r="F552" s="724"/>
      <c r="G552" s="724"/>
      <c r="H552" s="47"/>
      <c r="I552" s="47"/>
      <c r="O552" s="19"/>
      <c r="P552" s="19"/>
      <c r="Q552" s="19"/>
    </row>
    <row r="553" spans="6:17" ht="12.75">
      <c r="F553" s="724"/>
      <c r="G553" s="724"/>
      <c r="H553" s="47"/>
      <c r="I553" s="47"/>
      <c r="O553" s="19"/>
      <c r="P553" s="19"/>
      <c r="Q553" s="19"/>
    </row>
    <row r="554" spans="6:17" ht="12.75">
      <c r="F554" s="724"/>
      <c r="G554" s="724"/>
      <c r="H554" s="47"/>
      <c r="I554" s="47"/>
      <c r="O554" s="19"/>
      <c r="P554" s="19"/>
      <c r="Q554" s="19"/>
    </row>
    <row r="555" spans="6:17" ht="12.75">
      <c r="F555" s="724"/>
      <c r="G555" s="724"/>
      <c r="H555" s="47"/>
      <c r="I555" s="47"/>
      <c r="O555" s="19"/>
      <c r="P555" s="19"/>
      <c r="Q555" s="19"/>
    </row>
    <row r="556" spans="6:17" ht="12.75">
      <c r="F556" s="724"/>
      <c r="G556" s="724"/>
      <c r="H556" s="47"/>
      <c r="I556" s="47"/>
      <c r="O556" s="19"/>
      <c r="P556" s="19"/>
      <c r="Q556" s="19"/>
    </row>
    <row r="557" spans="6:17" ht="12.75">
      <c r="F557" s="724"/>
      <c r="G557" s="724"/>
      <c r="H557" s="47"/>
      <c r="I557" s="47"/>
      <c r="O557" s="19"/>
      <c r="P557" s="19"/>
      <c r="Q557" s="19"/>
    </row>
    <row r="558" spans="6:17" ht="12.75">
      <c r="F558" s="724"/>
      <c r="G558" s="724"/>
      <c r="H558" s="47"/>
      <c r="I558" s="47"/>
      <c r="O558" s="19"/>
      <c r="P558" s="19"/>
      <c r="Q558" s="19"/>
    </row>
    <row r="559" spans="6:17" ht="12.75">
      <c r="F559" s="724"/>
      <c r="G559" s="724"/>
      <c r="H559" s="47"/>
      <c r="I559" s="47"/>
      <c r="O559" s="19"/>
      <c r="P559" s="19"/>
      <c r="Q559" s="19"/>
    </row>
    <row r="560" spans="6:17" ht="12.75">
      <c r="F560" s="724"/>
      <c r="G560" s="724"/>
      <c r="H560" s="47"/>
      <c r="I560" s="47"/>
      <c r="O560" s="19"/>
      <c r="P560" s="19"/>
      <c r="Q560" s="19"/>
    </row>
    <row r="561" spans="6:17" ht="12.75">
      <c r="F561" s="724"/>
      <c r="G561" s="724"/>
      <c r="H561" s="47"/>
      <c r="I561" s="47"/>
      <c r="O561" s="19"/>
      <c r="P561" s="19"/>
      <c r="Q561" s="19"/>
    </row>
    <row r="562" spans="6:17" ht="12.75">
      <c r="F562" s="724"/>
      <c r="G562" s="724"/>
      <c r="H562" s="47"/>
      <c r="I562" s="47"/>
      <c r="O562" s="19"/>
      <c r="P562" s="19"/>
      <c r="Q562" s="19"/>
    </row>
    <row r="563" spans="6:17" ht="12.75">
      <c r="F563" s="724"/>
      <c r="G563" s="724"/>
      <c r="H563" s="47"/>
      <c r="I563" s="47"/>
      <c r="O563" s="19"/>
      <c r="P563" s="19"/>
      <c r="Q563" s="19"/>
    </row>
    <row r="564" spans="6:17" ht="12.75">
      <c r="F564" s="724"/>
      <c r="G564" s="724"/>
      <c r="H564" s="47"/>
      <c r="I564" s="47"/>
      <c r="O564" s="19"/>
      <c r="P564" s="19"/>
      <c r="Q564" s="19"/>
    </row>
    <row r="565" spans="6:17" ht="12.75">
      <c r="F565" s="724"/>
      <c r="G565" s="724"/>
      <c r="H565" s="47"/>
      <c r="I565" s="47"/>
      <c r="O565" s="19"/>
      <c r="P565" s="19"/>
      <c r="Q565" s="19"/>
    </row>
    <row r="566" spans="6:17" ht="12.75">
      <c r="F566" s="724"/>
      <c r="G566" s="724"/>
      <c r="H566" s="47"/>
      <c r="I566" s="47"/>
      <c r="O566" s="19"/>
      <c r="P566" s="19"/>
      <c r="Q566" s="19"/>
    </row>
    <row r="567" spans="6:17" ht="12.75">
      <c r="F567" s="724"/>
      <c r="G567" s="724"/>
      <c r="H567" s="47"/>
      <c r="I567" s="47"/>
      <c r="O567" s="19"/>
      <c r="P567" s="19"/>
      <c r="Q567" s="19"/>
    </row>
    <row r="568" spans="6:17" ht="12.75">
      <c r="F568" s="724"/>
      <c r="G568" s="724"/>
      <c r="H568" s="47"/>
      <c r="I568" s="47"/>
      <c r="O568" s="19"/>
      <c r="P568" s="19"/>
      <c r="Q568" s="19"/>
    </row>
    <row r="569" spans="6:17" ht="12.75">
      <c r="F569" s="724"/>
      <c r="G569" s="724"/>
      <c r="H569" s="47"/>
      <c r="I569" s="47"/>
      <c r="O569" s="19"/>
      <c r="P569" s="19"/>
      <c r="Q569" s="19"/>
    </row>
    <row r="570" spans="6:17" ht="12.75">
      <c r="F570" s="724"/>
      <c r="G570" s="724"/>
      <c r="H570" s="47"/>
      <c r="I570" s="47"/>
      <c r="O570" s="19"/>
      <c r="P570" s="19"/>
      <c r="Q570" s="19"/>
    </row>
    <row r="571" spans="6:17" ht="12.75">
      <c r="F571" s="724"/>
      <c r="G571" s="724"/>
      <c r="H571" s="47"/>
      <c r="I571" s="47"/>
      <c r="O571" s="19"/>
      <c r="P571" s="19"/>
      <c r="Q571" s="19"/>
    </row>
    <row r="572" spans="6:17" ht="12.75">
      <c r="F572" s="724"/>
      <c r="G572" s="724"/>
      <c r="H572" s="47"/>
      <c r="I572" s="47"/>
      <c r="O572" s="19"/>
      <c r="P572" s="19"/>
      <c r="Q572" s="19"/>
    </row>
    <row r="573" spans="6:17" ht="12.75">
      <c r="F573" s="724"/>
      <c r="G573" s="724"/>
      <c r="H573" s="47"/>
      <c r="I573" s="47"/>
      <c r="O573" s="19"/>
      <c r="P573" s="19"/>
      <c r="Q573" s="19"/>
    </row>
    <row r="574" spans="6:17" ht="12.75">
      <c r="F574" s="724"/>
      <c r="G574" s="724"/>
      <c r="H574" s="47"/>
      <c r="I574" s="47"/>
      <c r="O574" s="19"/>
      <c r="P574" s="19"/>
      <c r="Q574" s="19"/>
    </row>
    <row r="575" spans="6:17" ht="12.75">
      <c r="F575" s="724"/>
      <c r="G575" s="724"/>
      <c r="H575" s="47"/>
      <c r="I575" s="47"/>
      <c r="O575" s="19"/>
      <c r="P575" s="19"/>
      <c r="Q575" s="19"/>
    </row>
    <row r="576" spans="6:17" ht="12.75">
      <c r="F576" s="724"/>
      <c r="G576" s="724"/>
      <c r="H576" s="47"/>
      <c r="I576" s="47"/>
      <c r="O576" s="19"/>
      <c r="P576" s="19"/>
      <c r="Q576" s="19"/>
    </row>
    <row r="577" spans="6:17" ht="12.75">
      <c r="F577" s="724"/>
      <c r="G577" s="724"/>
      <c r="H577" s="47"/>
      <c r="I577" s="47"/>
      <c r="O577" s="19"/>
      <c r="P577" s="19"/>
      <c r="Q577" s="19"/>
    </row>
    <row r="578" spans="6:17" ht="12.75">
      <c r="F578" s="724"/>
      <c r="G578" s="724"/>
      <c r="H578" s="47"/>
      <c r="I578" s="47"/>
      <c r="O578" s="19"/>
      <c r="P578" s="19"/>
      <c r="Q578" s="19"/>
    </row>
    <row r="579" spans="6:17" ht="12.75">
      <c r="F579" s="724"/>
      <c r="G579" s="724"/>
      <c r="H579" s="47"/>
      <c r="I579" s="47"/>
      <c r="O579" s="19"/>
      <c r="P579" s="19"/>
      <c r="Q579" s="19"/>
    </row>
    <row r="580" spans="6:17" ht="12.75">
      <c r="F580" s="724"/>
      <c r="G580" s="724"/>
      <c r="H580" s="47"/>
      <c r="I580" s="47"/>
      <c r="O580" s="19"/>
      <c r="P580" s="19"/>
      <c r="Q580" s="19"/>
    </row>
    <row r="581" spans="6:17" ht="12.75">
      <c r="F581" s="724"/>
      <c r="G581" s="724"/>
      <c r="H581" s="47"/>
      <c r="I581" s="47"/>
      <c r="O581" s="19"/>
      <c r="P581" s="19"/>
      <c r="Q581" s="19"/>
    </row>
    <row r="582" spans="6:17" ht="12.75">
      <c r="F582" s="724"/>
      <c r="G582" s="724"/>
      <c r="H582" s="47"/>
      <c r="I582" s="47"/>
      <c r="O582" s="19"/>
      <c r="P582" s="19"/>
      <c r="Q582" s="19"/>
    </row>
    <row r="583" spans="6:17" ht="12.75">
      <c r="F583" s="724"/>
      <c r="G583" s="724"/>
      <c r="H583" s="47"/>
      <c r="I583" s="47"/>
      <c r="O583" s="19"/>
      <c r="P583" s="19"/>
      <c r="Q583" s="19"/>
    </row>
    <row r="584" spans="6:17" ht="12.75">
      <c r="F584" s="724"/>
      <c r="G584" s="724"/>
      <c r="H584" s="47"/>
      <c r="I584" s="47"/>
      <c r="O584" s="19"/>
      <c r="P584" s="19"/>
      <c r="Q584" s="19"/>
    </row>
    <row r="585" spans="6:17" ht="12.75">
      <c r="F585" s="724"/>
      <c r="G585" s="724"/>
      <c r="H585" s="47"/>
      <c r="I585" s="47"/>
      <c r="O585" s="19"/>
      <c r="P585" s="19"/>
      <c r="Q585" s="19"/>
    </row>
    <row r="586" spans="6:17" ht="12.75">
      <c r="F586" s="724"/>
      <c r="G586" s="724"/>
      <c r="H586" s="47"/>
      <c r="I586" s="47"/>
      <c r="O586" s="19"/>
      <c r="P586" s="19"/>
      <c r="Q586" s="19"/>
    </row>
    <row r="587" spans="6:17" ht="12.75">
      <c r="F587" s="724"/>
      <c r="G587" s="724"/>
      <c r="H587" s="47"/>
      <c r="I587" s="47"/>
      <c r="O587" s="19"/>
      <c r="P587" s="19"/>
      <c r="Q587" s="19"/>
    </row>
    <row r="588" spans="6:17" ht="12.75">
      <c r="F588" s="724"/>
      <c r="G588" s="724"/>
      <c r="H588" s="47"/>
      <c r="I588" s="47"/>
      <c r="O588" s="19"/>
      <c r="P588" s="19"/>
      <c r="Q588" s="19"/>
    </row>
    <row r="589" spans="6:17" ht="12.75">
      <c r="F589" s="724"/>
      <c r="G589" s="724"/>
      <c r="H589" s="47"/>
      <c r="I589" s="47"/>
      <c r="O589" s="19"/>
      <c r="P589" s="19"/>
      <c r="Q589" s="19"/>
    </row>
    <row r="590" spans="6:17" ht="12.75">
      <c r="F590" s="724"/>
      <c r="G590" s="724"/>
      <c r="H590" s="47"/>
      <c r="I590" s="47"/>
      <c r="O590" s="19"/>
      <c r="P590" s="19"/>
      <c r="Q590" s="19"/>
    </row>
    <row r="591" spans="6:17" ht="12.75">
      <c r="F591" s="724"/>
      <c r="G591" s="724"/>
      <c r="H591" s="47"/>
      <c r="I591" s="47"/>
      <c r="O591" s="19"/>
      <c r="P591" s="19"/>
      <c r="Q591" s="19"/>
    </row>
    <row r="592" spans="6:17" ht="12.75">
      <c r="F592" s="724"/>
      <c r="G592" s="724"/>
      <c r="H592" s="47"/>
      <c r="I592" s="47"/>
      <c r="O592" s="19"/>
      <c r="P592" s="19"/>
      <c r="Q592" s="19"/>
    </row>
    <row r="593" spans="6:17" ht="12.75">
      <c r="F593" s="724"/>
      <c r="G593" s="724"/>
      <c r="H593" s="47"/>
      <c r="I593" s="47"/>
      <c r="O593" s="19"/>
      <c r="P593" s="19"/>
      <c r="Q593" s="19"/>
    </row>
    <row r="594" spans="6:17" ht="12.75">
      <c r="F594" s="724"/>
      <c r="G594" s="724"/>
      <c r="H594" s="47"/>
      <c r="I594" s="47"/>
      <c r="O594" s="19"/>
      <c r="P594" s="19"/>
      <c r="Q594" s="19"/>
    </row>
    <row r="595" spans="6:17" ht="12.75">
      <c r="F595" s="724"/>
      <c r="G595" s="724"/>
      <c r="H595" s="47"/>
      <c r="I595" s="47"/>
      <c r="O595" s="19"/>
      <c r="P595" s="19"/>
      <c r="Q595" s="19"/>
    </row>
    <row r="596" spans="6:17" ht="12.75">
      <c r="F596" s="724"/>
      <c r="G596" s="724"/>
      <c r="H596" s="47"/>
      <c r="I596" s="47"/>
      <c r="O596" s="19"/>
      <c r="P596" s="19"/>
      <c r="Q596" s="19"/>
    </row>
    <row r="597" spans="6:17" ht="12.75">
      <c r="F597" s="724"/>
      <c r="G597" s="724"/>
      <c r="H597" s="47"/>
      <c r="I597" s="47"/>
      <c r="O597" s="19"/>
      <c r="P597" s="19"/>
      <c r="Q597" s="19"/>
    </row>
    <row r="598" spans="6:17" ht="12.75">
      <c r="F598" s="724"/>
      <c r="G598" s="724"/>
      <c r="H598" s="47"/>
      <c r="I598" s="47"/>
      <c r="O598" s="19"/>
      <c r="P598" s="19"/>
      <c r="Q598" s="19"/>
    </row>
    <row r="599" spans="6:17" ht="12.75">
      <c r="F599" s="724"/>
      <c r="G599" s="724"/>
      <c r="H599" s="47"/>
      <c r="I599" s="47"/>
      <c r="O599" s="19"/>
      <c r="P599" s="19"/>
      <c r="Q599" s="19"/>
    </row>
    <row r="600" spans="6:17" ht="12.75">
      <c r="F600" s="724"/>
      <c r="G600" s="724"/>
      <c r="H600" s="47"/>
      <c r="I600" s="47"/>
      <c r="O600" s="19"/>
      <c r="P600" s="19"/>
      <c r="Q600" s="19"/>
    </row>
    <row r="601" spans="6:17" ht="12.75">
      <c r="F601" s="724"/>
      <c r="G601" s="724"/>
      <c r="H601" s="47"/>
      <c r="I601" s="47"/>
      <c r="O601" s="19"/>
      <c r="P601" s="19"/>
      <c r="Q601" s="19"/>
    </row>
    <row r="602" spans="6:17" ht="12.75">
      <c r="F602" s="724"/>
      <c r="G602" s="724"/>
      <c r="H602" s="47"/>
      <c r="I602" s="47"/>
      <c r="O602" s="19"/>
      <c r="P602" s="19"/>
      <c r="Q602" s="19"/>
    </row>
    <row r="603" spans="6:17" ht="12.75">
      <c r="F603" s="724"/>
      <c r="G603" s="724"/>
      <c r="H603" s="47"/>
      <c r="I603" s="47"/>
      <c r="O603" s="19"/>
      <c r="P603" s="19"/>
      <c r="Q603" s="19"/>
    </row>
    <row r="604" spans="6:17" ht="12.75">
      <c r="F604" s="724"/>
      <c r="G604" s="724"/>
      <c r="H604" s="47"/>
      <c r="I604" s="47"/>
      <c r="O604" s="19"/>
      <c r="P604" s="19"/>
      <c r="Q604" s="19"/>
    </row>
    <row r="605" spans="6:17" ht="12.75">
      <c r="F605" s="724"/>
      <c r="G605" s="724"/>
      <c r="H605" s="47"/>
      <c r="I605" s="47"/>
      <c r="O605" s="19"/>
      <c r="P605" s="19"/>
      <c r="Q605" s="19"/>
    </row>
    <row r="606" spans="6:17" ht="12.75">
      <c r="F606" s="724"/>
      <c r="G606" s="724"/>
      <c r="H606" s="47"/>
      <c r="I606" s="47"/>
      <c r="O606" s="19"/>
      <c r="P606" s="19"/>
      <c r="Q606" s="19"/>
    </row>
    <row r="607" spans="6:17" ht="12.75">
      <c r="F607" s="724"/>
      <c r="G607" s="724"/>
      <c r="H607" s="47"/>
      <c r="I607" s="47"/>
      <c r="O607" s="19"/>
      <c r="P607" s="19"/>
      <c r="Q607" s="19"/>
    </row>
    <row r="608" spans="6:17" ht="12.75">
      <c r="F608" s="724"/>
      <c r="G608" s="724"/>
      <c r="H608" s="47"/>
      <c r="I608" s="47"/>
      <c r="O608" s="19"/>
      <c r="P608" s="19"/>
      <c r="Q608" s="19"/>
    </row>
    <row r="609" spans="6:17" ht="12.75">
      <c r="F609" s="724"/>
      <c r="G609" s="724"/>
      <c r="H609" s="47"/>
      <c r="I609" s="47"/>
      <c r="O609" s="19"/>
      <c r="P609" s="19"/>
      <c r="Q609" s="19"/>
    </row>
    <row r="610" spans="6:17" ht="12.75">
      <c r="F610" s="724"/>
      <c r="G610" s="724"/>
      <c r="H610" s="47"/>
      <c r="I610" s="47"/>
      <c r="O610" s="19"/>
      <c r="P610" s="19"/>
      <c r="Q610" s="19"/>
    </row>
    <row r="611" spans="6:17" ht="12.75">
      <c r="F611" s="724"/>
      <c r="G611" s="724"/>
      <c r="H611" s="47"/>
      <c r="I611" s="47"/>
      <c r="O611" s="19"/>
      <c r="P611" s="19"/>
      <c r="Q611" s="19"/>
    </row>
    <row r="612" spans="6:17" ht="12.75">
      <c r="F612" s="724"/>
      <c r="G612" s="724"/>
      <c r="H612" s="47"/>
      <c r="I612" s="47"/>
      <c r="O612" s="19"/>
      <c r="P612" s="19"/>
      <c r="Q612" s="19"/>
    </row>
    <row r="613" spans="6:17" ht="12.75">
      <c r="F613" s="724"/>
      <c r="G613" s="724"/>
      <c r="H613" s="47"/>
      <c r="I613" s="47"/>
      <c r="O613" s="19"/>
      <c r="P613" s="19"/>
      <c r="Q613" s="19"/>
    </row>
    <row r="614" spans="6:17" ht="12.75">
      <c r="F614" s="724"/>
      <c r="G614" s="724"/>
      <c r="H614" s="47"/>
      <c r="I614" s="47"/>
      <c r="O614" s="19"/>
      <c r="P614" s="19"/>
      <c r="Q614" s="19"/>
    </row>
    <row r="615" spans="6:17" ht="12.75">
      <c r="F615" s="724"/>
      <c r="G615" s="724"/>
      <c r="H615" s="47"/>
      <c r="I615" s="47"/>
      <c r="O615" s="19"/>
      <c r="P615" s="19"/>
      <c r="Q615" s="19"/>
    </row>
    <row r="616" spans="6:17" ht="12.75">
      <c r="F616" s="724"/>
      <c r="G616" s="724"/>
      <c r="H616" s="47"/>
      <c r="I616" s="47"/>
      <c r="O616" s="19"/>
      <c r="P616" s="19"/>
      <c r="Q616" s="19"/>
    </row>
    <row r="617" spans="6:17" ht="12.75">
      <c r="F617" s="724"/>
      <c r="G617" s="724"/>
      <c r="H617" s="47"/>
      <c r="I617" s="47"/>
      <c r="O617" s="19"/>
      <c r="P617" s="19"/>
      <c r="Q617" s="19"/>
    </row>
    <row r="618" spans="6:17" ht="12.75">
      <c r="F618" s="724"/>
      <c r="G618" s="724"/>
      <c r="H618" s="47"/>
      <c r="I618" s="47"/>
      <c r="O618" s="19"/>
      <c r="P618" s="19"/>
      <c r="Q618" s="19"/>
    </row>
    <row r="619" spans="6:17" ht="12.75">
      <c r="F619" s="724"/>
      <c r="G619" s="724"/>
      <c r="H619" s="47"/>
      <c r="I619" s="47"/>
      <c r="O619" s="19"/>
      <c r="P619" s="19"/>
      <c r="Q619" s="19"/>
    </row>
    <row r="620" spans="6:17" ht="12.75">
      <c r="F620" s="724"/>
      <c r="G620" s="724"/>
      <c r="H620" s="47"/>
      <c r="I620" s="47"/>
      <c r="O620" s="19"/>
      <c r="P620" s="19"/>
      <c r="Q620" s="19"/>
    </row>
    <row r="621" spans="6:17" ht="12.75">
      <c r="F621" s="724"/>
      <c r="G621" s="724"/>
      <c r="H621" s="47"/>
      <c r="I621" s="47"/>
      <c r="O621" s="19"/>
      <c r="P621" s="19"/>
      <c r="Q621" s="19"/>
    </row>
    <row r="622" spans="6:17" ht="12.75">
      <c r="F622" s="724"/>
      <c r="G622" s="724"/>
      <c r="H622" s="47"/>
      <c r="I622" s="47"/>
      <c r="O622" s="19"/>
      <c r="P622" s="19"/>
      <c r="Q622" s="19"/>
    </row>
    <row r="623" spans="6:17" ht="12.75">
      <c r="F623" s="724"/>
      <c r="G623" s="724"/>
      <c r="H623" s="47"/>
      <c r="I623" s="47"/>
      <c r="O623" s="19"/>
      <c r="P623" s="19"/>
      <c r="Q623" s="19"/>
    </row>
    <row r="624" spans="6:17" ht="12.75">
      <c r="F624" s="724"/>
      <c r="G624" s="724"/>
      <c r="H624" s="47"/>
      <c r="I624" s="47"/>
      <c r="O624" s="19"/>
      <c r="P624" s="19"/>
      <c r="Q624" s="19"/>
    </row>
    <row r="625" spans="6:17" ht="12.75">
      <c r="F625" s="724"/>
      <c r="G625" s="724"/>
      <c r="H625" s="47"/>
      <c r="I625" s="47"/>
      <c r="O625" s="19"/>
      <c r="P625" s="19"/>
      <c r="Q625" s="19"/>
    </row>
    <row r="626" spans="6:17" ht="12.75">
      <c r="F626" s="724"/>
      <c r="G626" s="724"/>
      <c r="H626" s="47"/>
      <c r="I626" s="47"/>
      <c r="O626" s="19"/>
      <c r="P626" s="19"/>
      <c r="Q626" s="19"/>
    </row>
    <row r="627" spans="6:17" ht="12.75">
      <c r="F627" s="724"/>
      <c r="G627" s="724"/>
      <c r="H627" s="47"/>
      <c r="I627" s="47"/>
      <c r="O627" s="19"/>
      <c r="P627" s="19"/>
      <c r="Q627" s="19"/>
    </row>
    <row r="628" spans="6:17" ht="12.75">
      <c r="F628" s="724"/>
      <c r="G628" s="724"/>
      <c r="H628" s="47"/>
      <c r="I628" s="47"/>
      <c r="O628" s="19"/>
      <c r="P628" s="19"/>
      <c r="Q628" s="19"/>
    </row>
    <row r="629" spans="6:17" ht="12.75">
      <c r="F629" s="724"/>
      <c r="G629" s="724"/>
      <c r="H629" s="47"/>
      <c r="I629" s="47"/>
      <c r="O629" s="19"/>
      <c r="P629" s="19"/>
      <c r="Q629" s="19"/>
    </row>
    <row r="630" spans="6:17" ht="12.75">
      <c r="F630" s="724"/>
      <c r="G630" s="724"/>
      <c r="H630" s="47"/>
      <c r="I630" s="47"/>
      <c r="O630" s="19"/>
      <c r="P630" s="19"/>
      <c r="Q630" s="19"/>
    </row>
    <row r="631" spans="6:17" ht="12.75">
      <c r="F631" s="724"/>
      <c r="G631" s="724"/>
      <c r="H631" s="47"/>
      <c r="I631" s="47"/>
      <c r="O631" s="19"/>
      <c r="P631" s="19"/>
      <c r="Q631" s="19"/>
    </row>
    <row r="632" spans="6:17" ht="12.75">
      <c r="F632" s="724"/>
      <c r="G632" s="724"/>
      <c r="H632" s="47"/>
      <c r="I632" s="47"/>
      <c r="O632" s="19"/>
      <c r="P632" s="19"/>
      <c r="Q632" s="19"/>
    </row>
    <row r="633" spans="6:17" ht="12.75">
      <c r="F633" s="724"/>
      <c r="G633" s="724"/>
      <c r="H633" s="47"/>
      <c r="I633" s="47"/>
      <c r="O633" s="19"/>
      <c r="P633" s="19"/>
      <c r="Q633" s="19"/>
    </row>
    <row r="634" spans="6:17" ht="12.75">
      <c r="F634" s="724"/>
      <c r="G634" s="724"/>
      <c r="H634" s="47"/>
      <c r="I634" s="47"/>
      <c r="O634" s="19"/>
      <c r="P634" s="19"/>
      <c r="Q634" s="19"/>
    </row>
    <row r="635" spans="6:17" ht="12.75">
      <c r="F635" s="724"/>
      <c r="G635" s="724"/>
      <c r="H635" s="47"/>
      <c r="I635" s="47"/>
      <c r="O635" s="19"/>
      <c r="P635" s="19"/>
      <c r="Q635" s="19"/>
    </row>
    <row r="636" spans="6:17" ht="12.75">
      <c r="F636" s="724"/>
      <c r="G636" s="724"/>
      <c r="H636" s="47"/>
      <c r="I636" s="47"/>
      <c r="O636" s="19"/>
      <c r="P636" s="19"/>
      <c r="Q636" s="19"/>
    </row>
    <row r="637" spans="6:17" ht="12.75">
      <c r="F637" s="724"/>
      <c r="G637" s="724"/>
      <c r="H637" s="47"/>
      <c r="I637" s="47"/>
      <c r="O637" s="19"/>
      <c r="P637" s="19"/>
      <c r="Q637" s="19"/>
    </row>
    <row r="638" spans="6:17" ht="12.75">
      <c r="F638" s="724"/>
      <c r="G638" s="724"/>
      <c r="H638" s="47"/>
      <c r="I638" s="47"/>
      <c r="O638" s="19"/>
      <c r="P638" s="19"/>
      <c r="Q638" s="19"/>
    </row>
    <row r="639" spans="6:17" ht="12.75">
      <c r="F639" s="724"/>
      <c r="G639" s="724"/>
      <c r="H639" s="47"/>
      <c r="I639" s="47"/>
      <c r="O639" s="19"/>
      <c r="P639" s="19"/>
      <c r="Q639" s="19"/>
    </row>
    <row r="640" spans="6:17" ht="12.75">
      <c r="F640" s="724"/>
      <c r="G640" s="724"/>
      <c r="H640" s="47"/>
      <c r="I640" s="47"/>
      <c r="O640" s="19"/>
      <c r="P640" s="19"/>
      <c r="Q640" s="19"/>
    </row>
    <row r="641" spans="6:17" ht="12.75">
      <c r="F641" s="724"/>
      <c r="G641" s="724"/>
      <c r="H641" s="47"/>
      <c r="I641" s="47"/>
      <c r="O641" s="19"/>
      <c r="P641" s="19"/>
      <c r="Q641" s="19"/>
    </row>
    <row r="642" spans="6:17" ht="12.75">
      <c r="F642" s="724"/>
      <c r="G642" s="724"/>
      <c r="H642" s="47"/>
      <c r="I642" s="47"/>
      <c r="O642" s="19"/>
      <c r="P642" s="19"/>
      <c r="Q642" s="19"/>
    </row>
    <row r="643" spans="6:17" ht="12.75">
      <c r="F643" s="724"/>
      <c r="G643" s="724"/>
      <c r="H643" s="47"/>
      <c r="I643" s="47"/>
      <c r="O643" s="19"/>
      <c r="P643" s="19"/>
      <c r="Q643" s="19"/>
    </row>
    <row r="644" spans="6:17" ht="12.75">
      <c r="F644" s="724"/>
      <c r="G644" s="724"/>
      <c r="H644" s="47"/>
      <c r="I644" s="47"/>
      <c r="O644" s="19"/>
      <c r="P644" s="19"/>
      <c r="Q644" s="19"/>
    </row>
    <row r="645" spans="6:17" ht="12.75">
      <c r="F645" s="724"/>
      <c r="G645" s="724"/>
      <c r="H645" s="47"/>
      <c r="I645" s="47"/>
      <c r="O645" s="19"/>
      <c r="P645" s="19"/>
      <c r="Q645" s="19"/>
    </row>
    <row r="646" spans="6:17" ht="12.75">
      <c r="F646" s="724"/>
      <c r="G646" s="724"/>
      <c r="H646" s="47"/>
      <c r="I646" s="47"/>
      <c r="O646" s="19"/>
      <c r="P646" s="19"/>
      <c r="Q646" s="19"/>
    </row>
    <row r="647" spans="6:17" ht="12.75">
      <c r="F647" s="724"/>
      <c r="G647" s="724"/>
      <c r="H647" s="47"/>
      <c r="I647" s="47"/>
      <c r="O647" s="19"/>
      <c r="P647" s="19"/>
      <c r="Q647" s="19"/>
    </row>
    <row r="648" spans="6:17" ht="12.75">
      <c r="F648" s="724"/>
      <c r="G648" s="724"/>
      <c r="H648" s="47"/>
      <c r="I648" s="47"/>
      <c r="O648" s="19"/>
      <c r="P648" s="19"/>
      <c r="Q648" s="19"/>
    </row>
    <row r="649" spans="6:17" ht="12.75">
      <c r="F649" s="724"/>
      <c r="G649" s="724"/>
      <c r="H649" s="47"/>
      <c r="I649" s="47"/>
      <c r="O649" s="19"/>
      <c r="P649" s="19"/>
      <c r="Q649" s="19"/>
    </row>
    <row r="650" spans="6:17" ht="12.75">
      <c r="F650" s="724"/>
      <c r="G650" s="724"/>
      <c r="H650" s="47"/>
      <c r="I650" s="47"/>
      <c r="O650" s="19"/>
      <c r="P650" s="19"/>
      <c r="Q650" s="19"/>
    </row>
    <row r="651" spans="6:17" ht="12.75">
      <c r="F651" s="724"/>
      <c r="G651" s="724"/>
      <c r="H651" s="47"/>
      <c r="I651" s="47"/>
      <c r="O651" s="19"/>
      <c r="P651" s="19"/>
      <c r="Q651" s="19"/>
    </row>
    <row r="652" spans="6:17" ht="12.75">
      <c r="F652" s="724"/>
      <c r="G652" s="724"/>
      <c r="H652" s="47"/>
      <c r="I652" s="47"/>
      <c r="O652" s="19"/>
      <c r="P652" s="19"/>
      <c r="Q652" s="19"/>
    </row>
    <row r="653" spans="6:17" ht="12.75">
      <c r="F653" s="724"/>
      <c r="G653" s="724"/>
      <c r="H653" s="47"/>
      <c r="I653" s="47"/>
      <c r="O653" s="19"/>
      <c r="P653" s="19"/>
      <c r="Q653" s="19"/>
    </row>
    <row r="654" spans="6:17" ht="12.75">
      <c r="F654" s="724"/>
      <c r="G654" s="724"/>
      <c r="H654" s="47"/>
      <c r="I654" s="47"/>
      <c r="O654" s="19"/>
      <c r="P654" s="19"/>
      <c r="Q654" s="19"/>
    </row>
    <row r="655" spans="6:17" ht="12.75">
      <c r="F655" s="724"/>
      <c r="G655" s="724"/>
      <c r="H655" s="47"/>
      <c r="I655" s="47"/>
      <c r="O655" s="19"/>
      <c r="P655" s="19"/>
      <c r="Q655" s="19"/>
    </row>
    <row r="656" spans="6:17" ht="12.75">
      <c r="F656" s="724"/>
      <c r="G656" s="724"/>
      <c r="H656" s="47"/>
      <c r="I656" s="47"/>
      <c r="O656" s="19"/>
      <c r="P656" s="19"/>
      <c r="Q656" s="19"/>
    </row>
    <row r="657" spans="6:17" ht="12.75">
      <c r="F657" s="724"/>
      <c r="G657" s="724"/>
      <c r="H657" s="47"/>
      <c r="I657" s="47"/>
      <c r="O657" s="19"/>
      <c r="P657" s="19"/>
      <c r="Q657" s="19"/>
    </row>
    <row r="658" spans="6:17" ht="12.75">
      <c r="F658" s="724"/>
      <c r="G658" s="724"/>
      <c r="H658" s="47"/>
      <c r="I658" s="47"/>
      <c r="O658" s="19"/>
      <c r="P658" s="19"/>
      <c r="Q658" s="19"/>
    </row>
    <row r="659" spans="6:17" ht="12.75">
      <c r="F659" s="724"/>
      <c r="G659" s="724"/>
      <c r="H659" s="47"/>
      <c r="I659" s="47"/>
      <c r="O659" s="19"/>
      <c r="P659" s="19"/>
      <c r="Q659" s="19"/>
    </row>
    <row r="660" spans="6:17" ht="12.75">
      <c r="F660" s="724"/>
      <c r="G660" s="724"/>
      <c r="H660" s="47"/>
      <c r="I660" s="47"/>
      <c r="O660" s="19"/>
      <c r="P660" s="19"/>
      <c r="Q660" s="19"/>
    </row>
    <row r="661" spans="6:17" ht="12.75">
      <c r="F661" s="724"/>
      <c r="G661" s="724"/>
      <c r="H661" s="47"/>
      <c r="I661" s="47"/>
      <c r="O661" s="19"/>
      <c r="P661" s="19"/>
      <c r="Q661" s="19"/>
    </row>
    <row r="662" spans="6:17" ht="12.75">
      <c r="F662" s="724"/>
      <c r="G662" s="724"/>
      <c r="H662" s="47"/>
      <c r="I662" s="47"/>
      <c r="O662" s="19"/>
      <c r="P662" s="19"/>
      <c r="Q662" s="19"/>
    </row>
    <row r="663" spans="6:17" ht="12.75">
      <c r="F663" s="724"/>
      <c r="G663" s="724"/>
      <c r="H663" s="47"/>
      <c r="I663" s="47"/>
      <c r="O663" s="19"/>
      <c r="P663" s="19"/>
      <c r="Q663" s="19"/>
    </row>
    <row r="664" spans="6:17" ht="12.75">
      <c r="F664" s="724"/>
      <c r="G664" s="724"/>
      <c r="H664" s="47"/>
      <c r="I664" s="47"/>
      <c r="O664" s="19"/>
      <c r="P664" s="19"/>
      <c r="Q664" s="19"/>
    </row>
    <row r="665" spans="6:17" ht="12.75">
      <c r="F665" s="724"/>
      <c r="G665" s="724"/>
      <c r="H665" s="47"/>
      <c r="I665" s="47"/>
      <c r="O665" s="19"/>
      <c r="P665" s="19"/>
      <c r="Q665" s="19"/>
    </row>
    <row r="666" spans="6:17" ht="12.75">
      <c r="F666" s="724"/>
      <c r="G666" s="724"/>
      <c r="H666" s="47"/>
      <c r="I666" s="47"/>
      <c r="O666" s="19"/>
      <c r="P666" s="19"/>
      <c r="Q666" s="19"/>
    </row>
    <row r="667" spans="6:17" ht="12.75">
      <c r="F667" s="724"/>
      <c r="G667" s="724"/>
      <c r="H667" s="47"/>
      <c r="I667" s="47"/>
      <c r="O667" s="19"/>
      <c r="P667" s="19"/>
      <c r="Q667" s="19"/>
    </row>
    <row r="668" spans="6:17" ht="12.75">
      <c r="F668" s="724"/>
      <c r="G668" s="724"/>
      <c r="H668" s="47"/>
      <c r="I668" s="47"/>
      <c r="O668" s="19"/>
      <c r="P668" s="19"/>
      <c r="Q668" s="19"/>
    </row>
    <row r="669" spans="6:17" ht="12.75">
      <c r="F669" s="724"/>
      <c r="G669" s="724"/>
      <c r="H669" s="47"/>
      <c r="I669" s="47"/>
      <c r="O669" s="19"/>
      <c r="P669" s="19"/>
      <c r="Q669" s="19"/>
    </row>
    <row r="670" spans="6:17" ht="12.75">
      <c r="F670" s="724"/>
      <c r="G670" s="724"/>
      <c r="H670" s="47"/>
      <c r="I670" s="47"/>
      <c r="O670" s="19"/>
      <c r="P670" s="19"/>
      <c r="Q670" s="19"/>
    </row>
    <row r="671" spans="6:17" ht="12.75">
      <c r="F671" s="724"/>
      <c r="G671" s="724"/>
      <c r="H671" s="47"/>
      <c r="I671" s="47"/>
      <c r="O671" s="19"/>
      <c r="P671" s="19"/>
      <c r="Q671" s="19"/>
    </row>
    <row r="672" spans="6:17" ht="12.75">
      <c r="F672" s="724"/>
      <c r="G672" s="724"/>
      <c r="H672" s="47"/>
      <c r="I672" s="47"/>
      <c r="O672" s="19"/>
      <c r="P672" s="19"/>
      <c r="Q672" s="19"/>
    </row>
    <row r="673" spans="6:17" ht="12.75">
      <c r="F673" s="724"/>
      <c r="G673" s="724"/>
      <c r="H673" s="47"/>
      <c r="I673" s="47"/>
      <c r="O673" s="19"/>
      <c r="P673" s="19"/>
      <c r="Q673" s="19"/>
    </row>
    <row r="674" spans="6:17" ht="12.75">
      <c r="F674" s="724"/>
      <c r="G674" s="724"/>
      <c r="H674" s="47"/>
      <c r="I674" s="47"/>
      <c r="O674" s="19"/>
      <c r="P674" s="19"/>
      <c r="Q674" s="19"/>
    </row>
    <row r="675" spans="6:17" ht="12.75">
      <c r="F675" s="724"/>
      <c r="G675" s="724"/>
      <c r="H675" s="47"/>
      <c r="I675" s="47"/>
      <c r="O675" s="19"/>
      <c r="P675" s="19"/>
      <c r="Q675" s="19"/>
    </row>
    <row r="676" spans="6:17" ht="12.75">
      <c r="F676" s="724"/>
      <c r="G676" s="724"/>
      <c r="H676" s="47"/>
      <c r="I676" s="47"/>
      <c r="O676" s="19"/>
      <c r="P676" s="19"/>
      <c r="Q676" s="19"/>
    </row>
    <row r="677" spans="6:17" ht="12.75">
      <c r="F677" s="724"/>
      <c r="G677" s="724"/>
      <c r="H677" s="47"/>
      <c r="I677" s="47"/>
      <c r="O677" s="19"/>
      <c r="P677" s="19"/>
      <c r="Q677" s="19"/>
    </row>
    <row r="678" spans="6:17" ht="12.75">
      <c r="F678" s="724"/>
      <c r="G678" s="724"/>
      <c r="H678" s="47"/>
      <c r="I678" s="47"/>
      <c r="O678" s="19"/>
      <c r="P678" s="19"/>
      <c r="Q678" s="19"/>
    </row>
    <row r="679" spans="6:17" ht="12.75">
      <c r="F679" s="724"/>
      <c r="G679" s="724"/>
      <c r="H679" s="47"/>
      <c r="I679" s="47"/>
      <c r="O679" s="19"/>
      <c r="P679" s="19"/>
      <c r="Q679" s="19"/>
    </row>
    <row r="680" spans="6:17" ht="12.75">
      <c r="F680" s="724"/>
      <c r="G680" s="724"/>
      <c r="H680" s="47"/>
      <c r="I680" s="47"/>
      <c r="O680" s="19"/>
      <c r="P680" s="19"/>
      <c r="Q680" s="19"/>
    </row>
    <row r="681" spans="6:17" ht="12.75">
      <c r="F681" s="724"/>
      <c r="G681" s="724"/>
      <c r="H681" s="47"/>
      <c r="I681" s="47"/>
      <c r="O681" s="19"/>
      <c r="P681" s="19"/>
      <c r="Q681" s="19"/>
    </row>
    <row r="682" spans="6:17" ht="12.75">
      <c r="F682" s="724"/>
      <c r="G682" s="724"/>
      <c r="H682" s="47"/>
      <c r="I682" s="47"/>
      <c r="O682" s="19"/>
      <c r="P682" s="19"/>
      <c r="Q682" s="19"/>
    </row>
    <row r="683" spans="6:17" ht="12.75">
      <c r="F683" s="724"/>
      <c r="G683" s="724"/>
      <c r="H683" s="47"/>
      <c r="I683" s="47"/>
      <c r="O683" s="19"/>
      <c r="P683" s="19"/>
      <c r="Q683" s="19"/>
    </row>
    <row r="684" spans="6:17" ht="12.75">
      <c r="F684" s="724"/>
      <c r="G684" s="724"/>
      <c r="H684" s="47"/>
      <c r="I684" s="47"/>
      <c r="O684" s="19"/>
      <c r="P684" s="19"/>
      <c r="Q684" s="19"/>
    </row>
    <row r="685" spans="6:17" ht="12.75">
      <c r="F685" s="724"/>
      <c r="G685" s="724"/>
      <c r="H685" s="47"/>
      <c r="I685" s="47"/>
      <c r="O685" s="19"/>
      <c r="P685" s="19"/>
      <c r="Q685" s="19"/>
    </row>
    <row r="686" spans="6:17" ht="12.75">
      <c r="F686" s="724"/>
      <c r="G686" s="724"/>
      <c r="H686" s="47"/>
      <c r="I686" s="47"/>
      <c r="O686" s="19"/>
      <c r="P686" s="19"/>
      <c r="Q686" s="19"/>
    </row>
    <row r="687" spans="6:17" ht="12.75">
      <c r="F687" s="724"/>
      <c r="G687" s="724"/>
      <c r="H687" s="47"/>
      <c r="I687" s="47"/>
      <c r="O687" s="19"/>
      <c r="P687" s="19"/>
      <c r="Q687" s="19"/>
    </row>
    <row r="688" spans="6:17" ht="12.75">
      <c r="F688" s="724"/>
      <c r="G688" s="724"/>
      <c r="H688" s="47"/>
      <c r="I688" s="47"/>
      <c r="O688" s="19"/>
      <c r="P688" s="19"/>
      <c r="Q688" s="19"/>
    </row>
    <row r="689" spans="6:17" ht="12.75">
      <c r="F689" s="724"/>
      <c r="G689" s="724"/>
      <c r="H689" s="47"/>
      <c r="I689" s="47"/>
      <c r="O689" s="19"/>
      <c r="P689" s="19"/>
      <c r="Q689" s="19"/>
    </row>
    <row r="690" spans="6:17" ht="12.75">
      <c r="F690" s="724"/>
      <c r="G690" s="724"/>
      <c r="H690" s="47"/>
      <c r="I690" s="47"/>
      <c r="O690" s="19"/>
      <c r="P690" s="19"/>
      <c r="Q690" s="19"/>
    </row>
    <row r="691" spans="6:17" ht="12.75">
      <c r="F691" s="724"/>
      <c r="G691" s="724"/>
      <c r="H691" s="47"/>
      <c r="I691" s="47"/>
      <c r="O691" s="19"/>
      <c r="P691" s="19"/>
      <c r="Q691" s="19"/>
    </row>
    <row r="692" spans="6:17" ht="12.75">
      <c r="F692" s="724"/>
      <c r="G692" s="724"/>
      <c r="H692" s="47"/>
      <c r="I692" s="47"/>
      <c r="O692" s="19"/>
      <c r="P692" s="19"/>
      <c r="Q692" s="19"/>
    </row>
    <row r="693" spans="6:17" ht="12.75">
      <c r="F693" s="724"/>
      <c r="G693" s="724"/>
      <c r="H693" s="47"/>
      <c r="I693" s="47"/>
      <c r="O693" s="19"/>
      <c r="P693" s="19"/>
      <c r="Q693" s="19"/>
    </row>
    <row r="694" spans="6:17" ht="12.75">
      <c r="F694" s="724"/>
      <c r="G694" s="724"/>
      <c r="H694" s="47"/>
      <c r="I694" s="47"/>
      <c r="O694" s="19"/>
      <c r="P694" s="19"/>
      <c r="Q694" s="19"/>
    </row>
    <row r="695" spans="6:17" ht="12.75">
      <c r="F695" s="724"/>
      <c r="G695" s="724"/>
      <c r="H695" s="47"/>
      <c r="I695" s="47"/>
      <c r="O695" s="19"/>
      <c r="P695" s="19"/>
      <c r="Q695" s="19"/>
    </row>
    <row r="696" spans="6:17" ht="12.75">
      <c r="F696" s="724"/>
      <c r="G696" s="724"/>
      <c r="H696" s="47"/>
      <c r="I696" s="47"/>
      <c r="O696" s="19"/>
      <c r="P696" s="19"/>
      <c r="Q696" s="19"/>
    </row>
    <row r="697" spans="6:17" ht="12.75">
      <c r="F697" s="724"/>
      <c r="G697" s="724"/>
      <c r="H697" s="47"/>
      <c r="I697" s="47"/>
      <c r="O697" s="19"/>
      <c r="P697" s="19"/>
      <c r="Q697" s="19"/>
    </row>
    <row r="698" spans="6:17" ht="12.75">
      <c r="F698" s="724"/>
      <c r="G698" s="724"/>
      <c r="H698" s="47"/>
      <c r="I698" s="47"/>
      <c r="O698" s="19"/>
      <c r="P698" s="19"/>
      <c r="Q698" s="19"/>
    </row>
    <row r="699" spans="6:17" ht="12.75">
      <c r="F699" s="724"/>
      <c r="G699" s="724"/>
      <c r="H699" s="47"/>
      <c r="I699" s="47"/>
      <c r="O699" s="19"/>
      <c r="P699" s="19"/>
      <c r="Q699" s="19"/>
    </row>
    <row r="700" spans="6:17" ht="12.75">
      <c r="F700" s="724"/>
      <c r="G700" s="724"/>
      <c r="H700" s="47"/>
      <c r="I700" s="47"/>
      <c r="O700" s="19"/>
      <c r="P700" s="19"/>
      <c r="Q700" s="19"/>
    </row>
    <row r="701" spans="6:17" ht="12.75">
      <c r="F701" s="724"/>
      <c r="G701" s="724"/>
      <c r="H701" s="47"/>
      <c r="I701" s="47"/>
      <c r="O701" s="19"/>
      <c r="P701" s="19"/>
      <c r="Q701" s="19"/>
    </row>
    <row r="702" spans="6:17" ht="12.75">
      <c r="F702" s="724"/>
      <c r="G702" s="724"/>
      <c r="H702" s="47"/>
      <c r="I702" s="47"/>
      <c r="O702" s="19"/>
      <c r="P702" s="19"/>
      <c r="Q702" s="19"/>
    </row>
    <row r="703" spans="6:17" ht="12.75">
      <c r="F703" s="724"/>
      <c r="G703" s="724"/>
      <c r="H703" s="47"/>
      <c r="I703" s="47"/>
      <c r="O703" s="19"/>
      <c r="P703" s="19"/>
      <c r="Q703" s="19"/>
    </row>
    <row r="704" spans="6:17" ht="12.75">
      <c r="F704" s="724"/>
      <c r="G704" s="724"/>
      <c r="H704" s="47"/>
      <c r="I704" s="47"/>
      <c r="O704" s="19"/>
      <c r="P704" s="19"/>
      <c r="Q704" s="19"/>
    </row>
    <row r="705" spans="6:17" ht="12.75">
      <c r="F705" s="724"/>
      <c r="G705" s="724"/>
      <c r="H705" s="47"/>
      <c r="I705" s="47"/>
      <c r="O705" s="19"/>
      <c r="P705" s="19"/>
      <c r="Q705" s="19"/>
    </row>
    <row r="706" spans="6:17" ht="12.75">
      <c r="F706" s="724"/>
      <c r="G706" s="724"/>
      <c r="H706" s="47"/>
      <c r="I706" s="47"/>
      <c r="O706" s="19"/>
      <c r="P706" s="19"/>
      <c r="Q706" s="19"/>
    </row>
    <row r="707" spans="6:17" ht="12.75">
      <c r="F707" s="724"/>
      <c r="G707" s="724"/>
      <c r="H707" s="47"/>
      <c r="I707" s="47"/>
      <c r="O707" s="19"/>
      <c r="P707" s="19"/>
      <c r="Q707" s="19"/>
    </row>
    <row r="708" spans="6:17" ht="12.75">
      <c r="F708" s="724"/>
      <c r="G708" s="724"/>
      <c r="H708" s="47"/>
      <c r="I708" s="47"/>
      <c r="O708" s="19"/>
      <c r="P708" s="19"/>
      <c r="Q708" s="19"/>
    </row>
    <row r="709" spans="6:17" ht="12.75">
      <c r="F709" s="724"/>
      <c r="G709" s="724"/>
      <c r="H709" s="47"/>
      <c r="I709" s="47"/>
      <c r="O709" s="19"/>
      <c r="P709" s="19"/>
      <c r="Q709" s="19"/>
    </row>
    <row r="710" spans="6:17" ht="12.75">
      <c r="F710" s="724"/>
      <c r="G710" s="724"/>
      <c r="H710" s="47"/>
      <c r="I710" s="47"/>
      <c r="O710" s="19"/>
      <c r="P710" s="19"/>
      <c r="Q710" s="19"/>
    </row>
    <row r="711" spans="6:17" ht="12.75">
      <c r="F711" s="724"/>
      <c r="G711" s="724"/>
      <c r="H711" s="47"/>
      <c r="I711" s="47"/>
      <c r="O711" s="19"/>
      <c r="P711" s="19"/>
      <c r="Q711" s="19"/>
    </row>
    <row r="712" spans="6:17" ht="12.75">
      <c r="F712" s="724"/>
      <c r="G712" s="724"/>
      <c r="H712" s="47"/>
      <c r="I712" s="47"/>
      <c r="O712" s="19"/>
      <c r="P712" s="19"/>
      <c r="Q712" s="19"/>
    </row>
    <row r="713" spans="6:17" ht="12.75">
      <c r="F713" s="724"/>
      <c r="G713" s="724"/>
      <c r="H713" s="47"/>
      <c r="I713" s="47"/>
      <c r="O713" s="19"/>
      <c r="P713" s="19"/>
      <c r="Q713" s="19"/>
    </row>
    <row r="714" spans="6:17" ht="12.75">
      <c r="F714" s="724"/>
      <c r="G714" s="724"/>
      <c r="H714" s="47"/>
      <c r="I714" s="47"/>
      <c r="O714" s="19"/>
      <c r="P714" s="19"/>
      <c r="Q714" s="19"/>
    </row>
    <row r="715" spans="6:17" ht="12.75">
      <c r="F715" s="724"/>
      <c r="G715" s="724"/>
      <c r="H715" s="47"/>
      <c r="I715" s="47"/>
      <c r="O715" s="19"/>
      <c r="P715" s="19"/>
      <c r="Q715" s="19"/>
    </row>
    <row r="716" spans="6:17" ht="12.75">
      <c r="F716" s="724"/>
      <c r="G716" s="724"/>
      <c r="H716" s="47"/>
      <c r="I716" s="47"/>
      <c r="O716" s="19"/>
      <c r="P716" s="19"/>
      <c r="Q716" s="19"/>
    </row>
    <row r="717" spans="6:17" ht="12.75">
      <c r="F717" s="724"/>
      <c r="G717" s="724"/>
      <c r="H717" s="47"/>
      <c r="I717" s="47"/>
      <c r="O717" s="19"/>
      <c r="P717" s="19"/>
      <c r="Q717" s="19"/>
    </row>
    <row r="718" spans="6:17" ht="12.75">
      <c r="F718" s="724"/>
      <c r="G718" s="724"/>
      <c r="H718" s="47"/>
      <c r="I718" s="47"/>
      <c r="O718" s="19"/>
      <c r="P718" s="19"/>
      <c r="Q718" s="19"/>
    </row>
    <row r="719" spans="6:17" ht="12.75">
      <c r="F719" s="724"/>
      <c r="G719" s="724"/>
      <c r="H719" s="47"/>
      <c r="I719" s="47"/>
      <c r="O719" s="19"/>
      <c r="P719" s="19"/>
      <c r="Q719" s="19"/>
    </row>
    <row r="720" spans="6:17" ht="12.75">
      <c r="F720" s="724"/>
      <c r="G720" s="724"/>
      <c r="H720" s="47"/>
      <c r="I720" s="47"/>
      <c r="O720" s="19"/>
      <c r="P720" s="19"/>
      <c r="Q720" s="19"/>
    </row>
    <row r="721" spans="6:17" ht="12.75">
      <c r="F721" s="724"/>
      <c r="G721" s="724"/>
      <c r="H721" s="47"/>
      <c r="I721" s="47"/>
      <c r="O721" s="19"/>
      <c r="P721" s="19"/>
      <c r="Q721" s="19"/>
    </row>
    <row r="722" spans="6:17" ht="12.75">
      <c r="F722" s="724"/>
      <c r="G722" s="724"/>
      <c r="H722" s="47"/>
      <c r="I722" s="47"/>
      <c r="O722" s="19"/>
      <c r="P722" s="19"/>
      <c r="Q722" s="19"/>
    </row>
    <row r="723" spans="6:17" ht="12.75">
      <c r="F723" s="724"/>
      <c r="G723" s="724"/>
      <c r="H723" s="47"/>
      <c r="I723" s="47"/>
      <c r="O723" s="19"/>
      <c r="P723" s="19"/>
      <c r="Q723" s="19"/>
    </row>
    <row r="724" spans="6:17" ht="12.75">
      <c r="F724" s="724"/>
      <c r="G724" s="724"/>
      <c r="H724" s="47"/>
      <c r="I724" s="47"/>
      <c r="O724" s="19"/>
      <c r="P724" s="19"/>
      <c r="Q724" s="19"/>
    </row>
    <row r="725" spans="6:17" ht="12.75">
      <c r="F725" s="724"/>
      <c r="G725" s="724"/>
      <c r="H725" s="47"/>
      <c r="I725" s="47"/>
      <c r="O725" s="19"/>
      <c r="P725" s="19"/>
      <c r="Q725" s="19"/>
    </row>
    <row r="726" spans="6:17" ht="12.75">
      <c r="F726" s="724"/>
      <c r="G726" s="724"/>
      <c r="H726" s="47"/>
      <c r="I726" s="47"/>
      <c r="O726" s="19"/>
      <c r="P726" s="19"/>
      <c r="Q726" s="19"/>
    </row>
    <row r="727" spans="6:17" ht="12.75">
      <c r="F727" s="724"/>
      <c r="G727" s="724"/>
      <c r="H727" s="47"/>
      <c r="I727" s="47"/>
      <c r="O727" s="19"/>
      <c r="P727" s="19"/>
      <c r="Q727" s="19"/>
    </row>
    <row r="728" spans="6:17" ht="12.75">
      <c r="F728" s="724"/>
      <c r="G728" s="724"/>
      <c r="H728" s="47"/>
      <c r="I728" s="47"/>
      <c r="O728" s="19"/>
      <c r="P728" s="19"/>
      <c r="Q728" s="19"/>
    </row>
    <row r="729" spans="6:17" ht="12.75">
      <c r="F729" s="724"/>
      <c r="G729" s="724"/>
      <c r="H729" s="47"/>
      <c r="I729" s="47"/>
      <c r="O729" s="19"/>
      <c r="P729" s="19"/>
      <c r="Q729" s="19"/>
    </row>
    <row r="730" spans="6:17" ht="12.75">
      <c r="F730" s="724"/>
      <c r="G730" s="724"/>
      <c r="H730" s="47"/>
      <c r="I730" s="47"/>
      <c r="O730" s="19"/>
      <c r="P730" s="19"/>
      <c r="Q730" s="19"/>
    </row>
    <row r="731" spans="6:17" ht="12.75">
      <c r="F731" s="724"/>
      <c r="G731" s="724"/>
      <c r="H731" s="47"/>
      <c r="I731" s="47"/>
      <c r="O731" s="19"/>
      <c r="P731" s="19"/>
      <c r="Q731" s="19"/>
    </row>
    <row r="732" spans="6:17" ht="12.75">
      <c r="F732" s="724"/>
      <c r="G732" s="724"/>
      <c r="H732" s="47"/>
      <c r="I732" s="47"/>
      <c r="O732" s="19"/>
      <c r="P732" s="19"/>
      <c r="Q732" s="19"/>
    </row>
    <row r="733" spans="6:17" ht="12.75">
      <c r="F733" s="724"/>
      <c r="G733" s="724"/>
      <c r="H733" s="47"/>
      <c r="I733" s="47"/>
      <c r="O733" s="19"/>
      <c r="P733" s="19"/>
      <c r="Q733" s="19"/>
    </row>
    <row r="734" spans="6:17" ht="12.75">
      <c r="F734" s="724"/>
      <c r="G734" s="724"/>
      <c r="H734" s="47"/>
      <c r="I734" s="47"/>
      <c r="O734" s="19"/>
      <c r="P734" s="19"/>
      <c r="Q734" s="19"/>
    </row>
    <row r="735" spans="6:17" ht="12.75">
      <c r="F735" s="724"/>
      <c r="G735" s="724"/>
      <c r="H735" s="47"/>
      <c r="I735" s="47"/>
      <c r="O735" s="19"/>
      <c r="P735" s="19"/>
      <c r="Q735" s="19"/>
    </row>
    <row r="736" spans="6:17" ht="12.75">
      <c r="F736" s="724"/>
      <c r="G736" s="724"/>
      <c r="H736" s="47"/>
      <c r="I736" s="47"/>
      <c r="O736" s="19"/>
      <c r="P736" s="19"/>
      <c r="Q736" s="19"/>
    </row>
    <row r="737" spans="6:17" ht="12.75">
      <c r="F737" s="724"/>
      <c r="G737" s="724"/>
      <c r="H737" s="47"/>
      <c r="I737" s="47"/>
      <c r="O737" s="19"/>
      <c r="P737" s="19"/>
      <c r="Q737" s="19"/>
    </row>
    <row r="738" spans="6:17" ht="12.75">
      <c r="F738" s="724"/>
      <c r="G738" s="724"/>
      <c r="H738" s="47"/>
      <c r="I738" s="47"/>
      <c r="O738" s="19"/>
      <c r="P738" s="19"/>
      <c r="Q738" s="19"/>
    </row>
    <row r="739" spans="6:17" ht="12.75">
      <c r="F739" s="724"/>
      <c r="G739" s="724"/>
      <c r="H739" s="47"/>
      <c r="I739" s="47"/>
      <c r="O739" s="19"/>
      <c r="P739" s="19"/>
      <c r="Q739" s="19"/>
    </row>
    <row r="740" spans="6:17" ht="12.75">
      <c r="F740" s="724"/>
      <c r="G740" s="724"/>
      <c r="H740" s="47"/>
      <c r="I740" s="47"/>
      <c r="O740" s="19"/>
      <c r="P740" s="19"/>
      <c r="Q740" s="19"/>
    </row>
    <row r="741" spans="6:17" ht="12.75">
      <c r="F741" s="724"/>
      <c r="G741" s="724"/>
      <c r="H741" s="47"/>
      <c r="I741" s="47"/>
      <c r="O741" s="19"/>
      <c r="P741" s="19"/>
      <c r="Q741" s="19"/>
    </row>
    <row r="742" spans="6:17" ht="12.75">
      <c r="F742" s="724"/>
      <c r="G742" s="724"/>
      <c r="H742" s="47"/>
      <c r="I742" s="47"/>
      <c r="O742" s="19"/>
      <c r="P742" s="19"/>
      <c r="Q742" s="19"/>
    </row>
    <row r="743" spans="6:17" ht="12.75">
      <c r="F743" s="724"/>
      <c r="G743" s="724"/>
      <c r="H743" s="47"/>
      <c r="I743" s="47"/>
      <c r="O743" s="19"/>
      <c r="P743" s="19"/>
      <c r="Q743" s="19"/>
    </row>
    <row r="744" spans="6:17" ht="12.75">
      <c r="F744" s="724"/>
      <c r="G744" s="724"/>
      <c r="H744" s="47"/>
      <c r="I744" s="47"/>
      <c r="O744" s="19"/>
      <c r="P744" s="19"/>
      <c r="Q744" s="19"/>
    </row>
    <row r="745" spans="6:17" ht="12.75">
      <c r="F745" s="724"/>
      <c r="G745" s="724"/>
      <c r="H745" s="47"/>
      <c r="I745" s="47"/>
      <c r="O745" s="19"/>
      <c r="P745" s="19"/>
      <c r="Q745" s="19"/>
    </row>
    <row r="746" spans="6:17" ht="12.75">
      <c r="F746" s="724"/>
      <c r="G746" s="724"/>
      <c r="H746" s="47"/>
      <c r="I746" s="47"/>
      <c r="O746" s="19"/>
      <c r="P746" s="19"/>
      <c r="Q746" s="19"/>
    </row>
    <row r="747" spans="6:17" ht="12.75">
      <c r="F747" s="724"/>
      <c r="G747" s="724"/>
      <c r="H747" s="47"/>
      <c r="I747" s="47"/>
      <c r="O747" s="19"/>
      <c r="P747" s="19"/>
      <c r="Q747" s="19"/>
    </row>
    <row r="748" spans="6:17" ht="12.75">
      <c r="F748" s="724"/>
      <c r="G748" s="724"/>
      <c r="H748" s="47"/>
      <c r="I748" s="47"/>
      <c r="O748" s="19"/>
      <c r="P748" s="19"/>
      <c r="Q748" s="19"/>
    </row>
    <row r="749" spans="6:17" ht="12.75">
      <c r="F749" s="724"/>
      <c r="G749" s="724"/>
      <c r="H749" s="47"/>
      <c r="I749" s="47"/>
      <c r="O749" s="19"/>
      <c r="P749" s="19"/>
      <c r="Q749" s="19"/>
    </row>
    <row r="750" spans="6:17" ht="12.75">
      <c r="F750" s="724"/>
      <c r="G750" s="724"/>
      <c r="H750" s="47"/>
      <c r="I750" s="47"/>
      <c r="O750" s="19"/>
      <c r="P750" s="19"/>
      <c r="Q750" s="19"/>
    </row>
    <row r="751" spans="6:17" ht="12.75">
      <c r="F751" s="724"/>
      <c r="G751" s="724"/>
      <c r="H751" s="47"/>
      <c r="I751" s="47"/>
      <c r="O751" s="19"/>
      <c r="P751" s="19"/>
      <c r="Q751" s="19"/>
    </row>
    <row r="752" spans="6:17" ht="12.75">
      <c r="F752" s="724"/>
      <c r="G752" s="724"/>
      <c r="H752" s="47"/>
      <c r="I752" s="47"/>
      <c r="O752" s="19"/>
      <c r="P752" s="19"/>
      <c r="Q752" s="19"/>
    </row>
    <row r="753" spans="6:17" ht="12.75">
      <c r="F753" s="724"/>
      <c r="G753" s="724"/>
      <c r="H753" s="47"/>
      <c r="I753" s="47"/>
      <c r="O753" s="19"/>
      <c r="P753" s="19"/>
      <c r="Q753" s="19"/>
    </row>
    <row r="754" spans="6:17" ht="12.75">
      <c r="F754" s="724"/>
      <c r="G754" s="724"/>
      <c r="H754" s="47"/>
      <c r="I754" s="47"/>
      <c r="O754" s="19"/>
      <c r="P754" s="19"/>
      <c r="Q754" s="19"/>
    </row>
    <row r="755" spans="6:17" ht="12.75">
      <c r="F755" s="724"/>
      <c r="G755" s="724"/>
      <c r="H755" s="47"/>
      <c r="I755" s="47"/>
      <c r="O755" s="19"/>
      <c r="P755" s="19"/>
      <c r="Q755" s="19"/>
    </row>
    <row r="756" spans="6:17" ht="12.75">
      <c r="F756" s="724"/>
      <c r="G756" s="724"/>
      <c r="H756" s="47"/>
      <c r="I756" s="47"/>
      <c r="O756" s="19"/>
      <c r="P756" s="19"/>
      <c r="Q756" s="19"/>
    </row>
    <row r="757" spans="6:17" ht="12.75">
      <c r="F757" s="724"/>
      <c r="G757" s="724"/>
      <c r="H757" s="47"/>
      <c r="I757" s="47"/>
      <c r="O757" s="19"/>
      <c r="P757" s="19"/>
      <c r="Q757" s="19"/>
    </row>
    <row r="758" spans="6:17" ht="12.75">
      <c r="F758" s="724"/>
      <c r="G758" s="724"/>
      <c r="H758" s="47"/>
      <c r="I758" s="47"/>
      <c r="O758" s="19"/>
      <c r="P758" s="19"/>
      <c r="Q758" s="19"/>
    </row>
    <row r="759" spans="6:17" ht="12.75">
      <c r="F759" s="724"/>
      <c r="G759" s="724"/>
      <c r="H759" s="47"/>
      <c r="I759" s="47"/>
      <c r="O759" s="19"/>
      <c r="P759" s="19"/>
      <c r="Q759" s="19"/>
    </row>
    <row r="760" spans="6:17" ht="12.75">
      <c r="F760" s="724"/>
      <c r="G760" s="724"/>
      <c r="H760" s="47"/>
      <c r="I760" s="47"/>
      <c r="O760" s="19"/>
      <c r="P760" s="19"/>
      <c r="Q760" s="19"/>
    </row>
    <row r="761" spans="6:17" ht="12.75">
      <c r="F761" s="724"/>
      <c r="G761" s="724"/>
      <c r="H761" s="47"/>
      <c r="I761" s="47"/>
      <c r="O761" s="19"/>
      <c r="P761" s="19"/>
      <c r="Q761" s="19"/>
    </row>
    <row r="762" spans="6:17" ht="12.75">
      <c r="F762" s="724"/>
      <c r="G762" s="724"/>
      <c r="H762" s="47"/>
      <c r="I762" s="47"/>
      <c r="O762" s="19"/>
      <c r="P762" s="19"/>
      <c r="Q762" s="19"/>
    </row>
    <row r="763" spans="6:17" ht="12.75">
      <c r="F763" s="724"/>
      <c r="G763" s="724"/>
      <c r="H763" s="47"/>
      <c r="I763" s="47"/>
      <c r="O763" s="19"/>
      <c r="P763" s="19"/>
      <c r="Q763" s="19"/>
    </row>
    <row r="764" spans="6:17" ht="12.75">
      <c r="F764" s="724"/>
      <c r="G764" s="724"/>
      <c r="H764" s="47"/>
      <c r="I764" s="47"/>
      <c r="O764" s="19"/>
      <c r="P764" s="19"/>
      <c r="Q764" s="19"/>
    </row>
    <row r="765" spans="6:17" ht="12.75">
      <c r="F765" s="724"/>
      <c r="G765" s="724"/>
      <c r="H765" s="47"/>
      <c r="I765" s="47"/>
      <c r="O765" s="19"/>
      <c r="P765" s="19"/>
      <c r="Q765" s="19"/>
    </row>
    <row r="766" spans="6:17" ht="12.75">
      <c r="F766" s="724"/>
      <c r="G766" s="724"/>
      <c r="H766" s="47"/>
      <c r="I766" s="47"/>
      <c r="O766" s="19"/>
      <c r="P766" s="19"/>
      <c r="Q766" s="19"/>
    </row>
    <row r="767" spans="6:17" ht="12.75">
      <c r="F767" s="724"/>
      <c r="G767" s="724"/>
      <c r="H767" s="47"/>
      <c r="I767" s="47"/>
      <c r="O767" s="19"/>
      <c r="P767" s="19"/>
      <c r="Q767" s="19"/>
    </row>
    <row r="768" spans="6:17" ht="12.75">
      <c r="F768" s="724"/>
      <c r="G768" s="724"/>
      <c r="H768" s="47"/>
      <c r="I768" s="47"/>
      <c r="O768" s="19"/>
      <c r="P768" s="19"/>
      <c r="Q768" s="19"/>
    </row>
    <row r="769" spans="6:17" ht="12.75">
      <c r="F769" s="724"/>
      <c r="G769" s="724"/>
      <c r="H769" s="47"/>
      <c r="I769" s="47"/>
      <c r="O769" s="19"/>
      <c r="P769" s="19"/>
      <c r="Q769" s="19"/>
    </row>
    <row r="770" spans="6:17" ht="12.75">
      <c r="F770" s="724"/>
      <c r="G770" s="724"/>
      <c r="H770" s="47"/>
      <c r="I770" s="47"/>
      <c r="O770" s="19"/>
      <c r="P770" s="19"/>
      <c r="Q770" s="19"/>
    </row>
    <row r="771" spans="6:17" ht="12.75">
      <c r="F771" s="724"/>
      <c r="G771" s="724"/>
      <c r="H771" s="47"/>
      <c r="I771" s="47"/>
      <c r="O771" s="19"/>
      <c r="P771" s="19"/>
      <c r="Q771" s="19"/>
    </row>
    <row r="772" spans="6:17" ht="12.75">
      <c r="F772" s="724"/>
      <c r="G772" s="724"/>
      <c r="H772" s="47"/>
      <c r="I772" s="47"/>
      <c r="O772" s="19"/>
      <c r="P772" s="19"/>
      <c r="Q772" s="19"/>
    </row>
    <row r="773" spans="6:17" ht="12.75">
      <c r="F773" s="724"/>
      <c r="G773" s="724"/>
      <c r="H773" s="47"/>
      <c r="I773" s="47"/>
      <c r="O773" s="19"/>
      <c r="P773" s="19"/>
      <c r="Q773" s="19"/>
    </row>
    <row r="774" spans="6:17" ht="12.75">
      <c r="F774" s="724"/>
      <c r="G774" s="724"/>
      <c r="H774" s="47"/>
      <c r="I774" s="47"/>
      <c r="O774" s="19"/>
      <c r="P774" s="19"/>
      <c r="Q774" s="19"/>
    </row>
    <row r="775" spans="6:17" ht="12.75">
      <c r="F775" s="724"/>
      <c r="G775" s="724"/>
      <c r="H775" s="47"/>
      <c r="I775" s="47"/>
      <c r="O775" s="19"/>
      <c r="P775" s="19"/>
      <c r="Q775" s="19"/>
    </row>
    <row r="776" spans="6:17" ht="12.75">
      <c r="F776" s="724"/>
      <c r="G776" s="724"/>
      <c r="H776" s="47"/>
      <c r="I776" s="47"/>
      <c r="O776" s="19"/>
      <c r="P776" s="19"/>
      <c r="Q776" s="19"/>
    </row>
    <row r="777" spans="6:17" ht="12.75">
      <c r="F777" s="724"/>
      <c r="G777" s="724"/>
      <c r="H777" s="47"/>
      <c r="I777" s="47"/>
      <c r="O777" s="19"/>
      <c r="P777" s="19"/>
      <c r="Q777" s="19"/>
    </row>
    <row r="778" spans="6:17" ht="12.75">
      <c r="F778" s="724"/>
      <c r="G778" s="724"/>
      <c r="H778" s="47"/>
      <c r="I778" s="47"/>
      <c r="O778" s="19"/>
      <c r="P778" s="19"/>
      <c r="Q778" s="19"/>
    </row>
    <row r="779" spans="6:17" ht="12.75">
      <c r="F779" s="724"/>
      <c r="G779" s="724"/>
      <c r="H779" s="47"/>
      <c r="I779" s="47"/>
      <c r="O779" s="19"/>
      <c r="P779" s="19"/>
      <c r="Q779" s="19"/>
    </row>
    <row r="780" spans="6:17" ht="12.75">
      <c r="F780" s="724"/>
      <c r="G780" s="724"/>
      <c r="H780" s="47"/>
      <c r="I780" s="47"/>
      <c r="O780" s="19"/>
      <c r="P780" s="19"/>
      <c r="Q780" s="19"/>
    </row>
    <row r="781" spans="6:17" ht="12.75">
      <c r="F781" s="724"/>
      <c r="G781" s="724"/>
      <c r="H781" s="47"/>
      <c r="I781" s="47"/>
      <c r="O781" s="19"/>
      <c r="P781" s="19"/>
      <c r="Q781" s="19"/>
    </row>
    <row r="782" spans="6:17" ht="12.75">
      <c r="F782" s="724"/>
      <c r="G782" s="724"/>
      <c r="H782" s="47"/>
      <c r="I782" s="47"/>
      <c r="O782" s="19"/>
      <c r="P782" s="19"/>
      <c r="Q782" s="19"/>
    </row>
    <row r="783" spans="6:17" ht="12.75">
      <c r="F783" s="724"/>
      <c r="G783" s="724"/>
      <c r="H783" s="47"/>
      <c r="I783" s="47"/>
      <c r="O783" s="19"/>
      <c r="P783" s="19"/>
      <c r="Q783" s="19"/>
    </row>
    <row r="784" spans="6:17" ht="12.75">
      <c r="F784" s="724"/>
      <c r="G784" s="724"/>
      <c r="H784" s="47"/>
      <c r="I784" s="47"/>
      <c r="O784" s="19"/>
      <c r="P784" s="19"/>
      <c r="Q784" s="19"/>
    </row>
    <row r="785" spans="6:17" ht="12.75">
      <c r="F785" s="724"/>
      <c r="G785" s="724"/>
      <c r="H785" s="47"/>
      <c r="I785" s="47"/>
      <c r="O785" s="19"/>
      <c r="P785" s="19"/>
      <c r="Q785" s="19"/>
    </row>
    <row r="786" spans="6:17" ht="12.75">
      <c r="F786" s="724"/>
      <c r="G786" s="724"/>
      <c r="H786" s="47"/>
      <c r="I786" s="47"/>
      <c r="O786" s="19"/>
      <c r="P786" s="19"/>
      <c r="Q786" s="19"/>
    </row>
    <row r="787" spans="6:17" ht="12.75">
      <c r="F787" s="724"/>
      <c r="G787" s="724"/>
      <c r="H787" s="47"/>
      <c r="I787" s="47"/>
      <c r="O787" s="19"/>
      <c r="P787" s="19"/>
      <c r="Q787" s="19"/>
    </row>
    <row r="788" spans="6:17" ht="12.75">
      <c r="F788" s="724"/>
      <c r="G788" s="724"/>
      <c r="H788" s="47"/>
      <c r="I788" s="47"/>
      <c r="O788" s="19"/>
      <c r="P788" s="19"/>
      <c r="Q788" s="19"/>
    </row>
    <row r="789" spans="6:17" ht="12.75">
      <c r="F789" s="724"/>
      <c r="G789" s="724"/>
      <c r="H789" s="47"/>
      <c r="I789" s="47"/>
      <c r="O789" s="19"/>
      <c r="P789" s="19"/>
      <c r="Q789" s="19"/>
    </row>
    <row r="790" spans="6:17" ht="12.75">
      <c r="F790" s="724"/>
      <c r="G790" s="724"/>
      <c r="H790" s="47"/>
      <c r="I790" s="47"/>
      <c r="O790" s="19"/>
      <c r="P790" s="19"/>
      <c r="Q790" s="19"/>
    </row>
    <row r="791" spans="6:17" ht="12.75">
      <c r="F791" s="724"/>
      <c r="G791" s="724"/>
      <c r="H791" s="47"/>
      <c r="I791" s="47"/>
      <c r="O791" s="19"/>
      <c r="P791" s="19"/>
      <c r="Q791" s="19"/>
    </row>
    <row r="792" spans="6:17" ht="12.75">
      <c r="F792" s="724"/>
      <c r="G792" s="724"/>
      <c r="H792" s="47"/>
      <c r="I792" s="47"/>
      <c r="O792" s="19"/>
      <c r="P792" s="19"/>
      <c r="Q792" s="19"/>
    </row>
    <row r="793" spans="6:17" ht="12.75">
      <c r="F793" s="724"/>
      <c r="G793" s="724"/>
      <c r="H793" s="47"/>
      <c r="I793" s="47"/>
      <c r="O793" s="19"/>
      <c r="P793" s="19"/>
      <c r="Q793" s="19"/>
    </row>
    <row r="794" spans="6:17" ht="12.75">
      <c r="F794" s="724"/>
      <c r="G794" s="724"/>
      <c r="H794" s="47"/>
      <c r="I794" s="47"/>
      <c r="O794" s="19"/>
      <c r="P794" s="19"/>
      <c r="Q794" s="19"/>
    </row>
    <row r="795" spans="6:17" ht="12.75">
      <c r="F795" s="724"/>
      <c r="G795" s="724"/>
      <c r="H795" s="47"/>
      <c r="I795" s="47"/>
      <c r="O795" s="19"/>
      <c r="P795" s="19"/>
      <c r="Q795" s="19"/>
    </row>
    <row r="796" spans="6:17" ht="12.75">
      <c r="F796" s="724"/>
      <c r="G796" s="724"/>
      <c r="H796" s="47"/>
      <c r="I796" s="47"/>
      <c r="O796" s="19"/>
      <c r="P796" s="19"/>
      <c r="Q796" s="19"/>
    </row>
    <row r="797" spans="6:17" ht="12.75">
      <c r="F797" s="724"/>
      <c r="G797" s="724"/>
      <c r="H797" s="47"/>
      <c r="I797" s="47"/>
      <c r="O797" s="19"/>
      <c r="P797" s="19"/>
      <c r="Q797" s="19"/>
    </row>
    <row r="798" spans="6:17" ht="12.75">
      <c r="F798" s="724"/>
      <c r="G798" s="724"/>
      <c r="H798" s="47"/>
      <c r="I798" s="47"/>
      <c r="O798" s="19"/>
      <c r="P798" s="19"/>
      <c r="Q798" s="19"/>
    </row>
    <row r="799" spans="6:17" ht="12.75">
      <c r="F799" s="724"/>
      <c r="G799" s="724"/>
      <c r="H799" s="47"/>
      <c r="I799" s="47"/>
      <c r="O799" s="19"/>
      <c r="P799" s="19"/>
      <c r="Q799" s="19"/>
    </row>
    <row r="800" spans="6:17" ht="12.75">
      <c r="F800" s="724"/>
      <c r="G800" s="724"/>
      <c r="H800" s="47"/>
      <c r="I800" s="47"/>
      <c r="O800" s="19"/>
      <c r="P800" s="19"/>
      <c r="Q800" s="19"/>
    </row>
    <row r="801" spans="6:17" ht="12.75">
      <c r="F801" s="724"/>
      <c r="G801" s="724"/>
      <c r="H801" s="47"/>
      <c r="I801" s="47"/>
      <c r="O801" s="19"/>
      <c r="P801" s="19"/>
      <c r="Q801" s="19"/>
    </row>
    <row r="802" spans="6:17" ht="12.75">
      <c r="F802" s="724"/>
      <c r="G802" s="724"/>
      <c r="H802" s="47"/>
      <c r="I802" s="47"/>
      <c r="O802" s="19"/>
      <c r="P802" s="19"/>
      <c r="Q802" s="19"/>
    </row>
    <row r="803" spans="6:17" ht="12.75">
      <c r="F803" s="724"/>
      <c r="G803" s="724"/>
      <c r="H803" s="47"/>
      <c r="I803" s="47"/>
      <c r="O803" s="19"/>
      <c r="P803" s="19"/>
      <c r="Q803" s="19"/>
    </row>
    <row r="804" spans="6:17" ht="12.75">
      <c r="F804" s="724"/>
      <c r="G804" s="724"/>
      <c r="H804" s="47"/>
      <c r="I804" s="47"/>
      <c r="O804" s="19"/>
      <c r="P804" s="19"/>
      <c r="Q804" s="19"/>
    </row>
    <row r="805" spans="6:17" ht="12.75">
      <c r="F805" s="724"/>
      <c r="G805" s="724"/>
      <c r="H805" s="47"/>
      <c r="I805" s="47"/>
      <c r="O805" s="19"/>
      <c r="P805" s="19"/>
      <c r="Q805" s="19"/>
    </row>
    <row r="806" spans="6:17" ht="12.75">
      <c r="F806" s="724"/>
      <c r="G806" s="724"/>
      <c r="H806" s="47"/>
      <c r="I806" s="47"/>
      <c r="O806" s="19"/>
      <c r="P806" s="19"/>
      <c r="Q806" s="19"/>
    </row>
    <row r="807" spans="6:17" ht="12.75">
      <c r="F807" s="724"/>
      <c r="G807" s="724"/>
      <c r="H807" s="47"/>
      <c r="I807" s="47"/>
      <c r="O807" s="19"/>
      <c r="P807" s="19"/>
      <c r="Q807" s="19"/>
    </row>
    <row r="808" spans="6:17" ht="12.75">
      <c r="F808" s="724"/>
      <c r="G808" s="724"/>
      <c r="H808" s="47"/>
      <c r="I808" s="47"/>
      <c r="O808" s="19"/>
      <c r="P808" s="19"/>
      <c r="Q808" s="19"/>
    </row>
    <row r="809" spans="6:17" ht="12.75">
      <c r="F809" s="724"/>
      <c r="G809" s="724"/>
      <c r="H809" s="47"/>
      <c r="I809" s="47"/>
      <c r="O809" s="19"/>
      <c r="P809" s="19"/>
      <c r="Q809" s="19"/>
    </row>
    <row r="810" spans="6:17" ht="12.75">
      <c r="F810" s="724"/>
      <c r="G810" s="724"/>
      <c r="H810" s="47"/>
      <c r="I810" s="47"/>
      <c r="O810" s="19"/>
      <c r="P810" s="19"/>
      <c r="Q810" s="19"/>
    </row>
    <row r="811" spans="6:17" ht="12.75">
      <c r="F811" s="724"/>
      <c r="G811" s="724"/>
      <c r="H811" s="47"/>
      <c r="I811" s="47"/>
      <c r="O811" s="19"/>
      <c r="P811" s="19"/>
      <c r="Q811" s="19"/>
    </row>
    <row r="812" spans="6:17" ht="12.75">
      <c r="F812" s="724"/>
      <c r="G812" s="724"/>
      <c r="H812" s="47"/>
      <c r="I812" s="47"/>
      <c r="O812" s="19"/>
      <c r="P812" s="19"/>
      <c r="Q812" s="19"/>
    </row>
    <row r="813" spans="6:17" ht="12.75">
      <c r="F813" s="724"/>
      <c r="G813" s="724"/>
      <c r="H813" s="47"/>
      <c r="I813" s="47"/>
      <c r="O813" s="19"/>
      <c r="P813" s="19"/>
      <c r="Q813" s="19"/>
    </row>
    <row r="814" spans="6:17" ht="12.75">
      <c r="F814" s="724"/>
      <c r="G814" s="724"/>
      <c r="H814" s="47"/>
      <c r="I814" s="47"/>
      <c r="O814" s="19"/>
      <c r="P814" s="19"/>
      <c r="Q814" s="19"/>
    </row>
    <row r="815" spans="6:17" ht="12.75">
      <c r="F815" s="724"/>
      <c r="G815" s="724"/>
      <c r="H815" s="47"/>
      <c r="I815" s="47"/>
      <c r="O815" s="19"/>
      <c r="P815" s="19"/>
      <c r="Q815" s="19"/>
    </row>
    <row r="816" spans="6:17" ht="12.75">
      <c r="F816" s="724"/>
      <c r="G816" s="724"/>
      <c r="H816" s="47"/>
      <c r="I816" s="47"/>
      <c r="O816" s="19"/>
      <c r="P816" s="19"/>
      <c r="Q816" s="19"/>
    </row>
    <row r="817" spans="6:17" ht="12.75">
      <c r="F817" s="724"/>
      <c r="G817" s="724"/>
      <c r="H817" s="47"/>
      <c r="I817" s="47"/>
      <c r="O817" s="19"/>
      <c r="P817" s="19"/>
      <c r="Q817" s="19"/>
    </row>
    <row r="818" spans="6:17" ht="12.75">
      <c r="F818" s="724"/>
      <c r="G818" s="724"/>
      <c r="H818" s="47"/>
      <c r="I818" s="47"/>
      <c r="O818" s="19"/>
      <c r="P818" s="19"/>
      <c r="Q818" s="19"/>
    </row>
    <row r="819" spans="6:17" ht="12.75">
      <c r="F819" s="724"/>
      <c r="G819" s="724"/>
      <c r="H819" s="47"/>
      <c r="I819" s="47"/>
      <c r="O819" s="19"/>
      <c r="P819" s="19"/>
      <c r="Q819" s="19"/>
    </row>
    <row r="820" spans="6:17" ht="12.75">
      <c r="F820" s="724"/>
      <c r="G820" s="724"/>
      <c r="H820" s="47"/>
      <c r="I820" s="47"/>
      <c r="O820" s="19"/>
      <c r="P820" s="19"/>
      <c r="Q820" s="19"/>
    </row>
    <row r="821" spans="6:17" ht="12.75">
      <c r="F821" s="724"/>
      <c r="G821" s="724"/>
      <c r="H821" s="47"/>
      <c r="I821" s="47"/>
      <c r="O821" s="19"/>
      <c r="P821" s="19"/>
      <c r="Q821" s="19"/>
    </row>
    <row r="822" spans="6:17" ht="12.75">
      <c r="F822" s="724"/>
      <c r="G822" s="724"/>
      <c r="H822" s="47"/>
      <c r="I822" s="47"/>
      <c r="O822" s="19"/>
      <c r="P822" s="19"/>
      <c r="Q822" s="19"/>
    </row>
    <row r="823" spans="6:17" ht="12.75">
      <c r="F823" s="724"/>
      <c r="G823" s="724"/>
      <c r="H823" s="47"/>
      <c r="I823" s="47"/>
      <c r="O823" s="19"/>
      <c r="P823" s="19"/>
      <c r="Q823" s="19"/>
    </row>
    <row r="824" spans="6:17" ht="12.75">
      <c r="F824" s="724"/>
      <c r="G824" s="724"/>
      <c r="H824" s="47"/>
      <c r="I824" s="47"/>
      <c r="O824" s="19"/>
      <c r="P824" s="19"/>
      <c r="Q824" s="19"/>
    </row>
    <row r="825" spans="6:17" ht="12.75">
      <c r="F825" s="724"/>
      <c r="G825" s="724"/>
      <c r="H825" s="47"/>
      <c r="I825" s="47"/>
      <c r="O825" s="19"/>
      <c r="P825" s="19"/>
      <c r="Q825" s="19"/>
    </row>
    <row r="826" spans="6:17" ht="12.75">
      <c r="F826" s="724"/>
      <c r="G826" s="724"/>
      <c r="H826" s="47"/>
      <c r="I826" s="47"/>
      <c r="O826" s="19"/>
      <c r="P826" s="19"/>
      <c r="Q826" s="19"/>
    </row>
    <row r="827" spans="6:17" ht="12.75">
      <c r="F827" s="724"/>
      <c r="G827" s="724"/>
      <c r="H827" s="47"/>
      <c r="I827" s="47"/>
      <c r="O827" s="19"/>
      <c r="P827" s="19"/>
      <c r="Q827" s="19"/>
    </row>
    <row r="828" spans="6:17" ht="12.75">
      <c r="F828" s="724"/>
      <c r="G828" s="724"/>
      <c r="H828" s="47"/>
      <c r="I828" s="47"/>
      <c r="O828" s="19"/>
      <c r="P828" s="19"/>
      <c r="Q828" s="19"/>
    </row>
    <row r="829" spans="6:17" ht="12.75">
      <c r="F829" s="724"/>
      <c r="G829" s="724"/>
      <c r="H829" s="47"/>
      <c r="I829" s="47"/>
      <c r="O829" s="19"/>
      <c r="P829" s="19"/>
      <c r="Q829" s="19"/>
    </row>
    <row r="830" spans="6:17" ht="12.75">
      <c r="F830" s="724"/>
      <c r="G830" s="724"/>
      <c r="H830" s="47"/>
      <c r="I830" s="47"/>
      <c r="O830" s="19"/>
      <c r="P830" s="19"/>
      <c r="Q830" s="19"/>
    </row>
    <row r="831" spans="6:17" ht="12.75">
      <c r="F831" s="724"/>
      <c r="G831" s="724"/>
      <c r="H831" s="47"/>
      <c r="I831" s="47"/>
      <c r="O831" s="19"/>
      <c r="P831" s="19"/>
      <c r="Q831" s="19"/>
    </row>
    <row r="832" spans="6:17" ht="12.75">
      <c r="F832" s="724"/>
      <c r="G832" s="724"/>
      <c r="H832" s="47"/>
      <c r="I832" s="47"/>
      <c r="O832" s="19"/>
      <c r="P832" s="19"/>
      <c r="Q832" s="19"/>
    </row>
    <row r="833" spans="6:17" ht="12.75">
      <c r="F833" s="724"/>
      <c r="G833" s="724"/>
      <c r="H833" s="47"/>
      <c r="I833" s="47"/>
      <c r="O833" s="19"/>
      <c r="P833" s="19"/>
      <c r="Q833" s="19"/>
    </row>
    <row r="834" spans="6:17" ht="12.75">
      <c r="F834" s="724"/>
      <c r="G834" s="724"/>
      <c r="H834" s="47"/>
      <c r="I834" s="47"/>
      <c r="O834" s="19"/>
      <c r="P834" s="19"/>
      <c r="Q834" s="19"/>
    </row>
    <row r="835" spans="6:17" ht="12.75">
      <c r="F835" s="724"/>
      <c r="G835" s="724"/>
      <c r="H835" s="47"/>
      <c r="I835" s="47"/>
      <c r="O835" s="19"/>
      <c r="P835" s="19"/>
      <c r="Q835" s="19"/>
    </row>
    <row r="836" spans="6:17" ht="12.75">
      <c r="F836" s="724"/>
      <c r="G836" s="724"/>
      <c r="H836" s="47"/>
      <c r="I836" s="47"/>
      <c r="O836" s="19"/>
      <c r="P836" s="19"/>
      <c r="Q836" s="19"/>
    </row>
    <row r="837" spans="6:17" ht="12.75">
      <c r="F837" s="724"/>
      <c r="G837" s="724"/>
      <c r="H837" s="47"/>
      <c r="I837" s="47"/>
      <c r="O837" s="19"/>
      <c r="P837" s="19"/>
      <c r="Q837" s="19"/>
    </row>
    <row r="838" spans="6:17" ht="12.75">
      <c r="F838" s="724"/>
      <c r="G838" s="724"/>
      <c r="H838" s="47"/>
      <c r="I838" s="47"/>
      <c r="O838" s="19"/>
      <c r="P838" s="19"/>
      <c r="Q838" s="19"/>
    </row>
    <row r="839" spans="6:17" ht="12.75">
      <c r="F839" s="724"/>
      <c r="G839" s="724"/>
      <c r="H839" s="47"/>
      <c r="I839" s="47"/>
      <c r="O839" s="19"/>
      <c r="P839" s="19"/>
      <c r="Q839" s="19"/>
    </row>
    <row r="840" spans="6:17" ht="12.75">
      <c r="F840" s="724"/>
      <c r="G840" s="724"/>
      <c r="H840" s="47"/>
      <c r="I840" s="47"/>
      <c r="O840" s="19"/>
      <c r="P840" s="19"/>
      <c r="Q840" s="19"/>
    </row>
    <row r="841" spans="6:17" ht="12.75">
      <c r="F841" s="724"/>
      <c r="G841" s="724"/>
      <c r="H841" s="47"/>
      <c r="I841" s="47"/>
      <c r="O841" s="19"/>
      <c r="P841" s="19"/>
      <c r="Q841" s="19"/>
    </row>
    <row r="842" spans="6:17" ht="12.75">
      <c r="F842" s="724"/>
      <c r="G842" s="724"/>
      <c r="H842" s="47"/>
      <c r="I842" s="47"/>
      <c r="O842" s="19"/>
      <c r="P842" s="19"/>
      <c r="Q842" s="19"/>
    </row>
    <row r="843" spans="6:17" ht="12.75">
      <c r="F843" s="724"/>
      <c r="G843" s="724"/>
      <c r="H843" s="47"/>
      <c r="I843" s="47"/>
      <c r="O843" s="19"/>
      <c r="P843" s="19"/>
      <c r="Q843" s="19"/>
    </row>
    <row r="844" spans="6:17" ht="12.75">
      <c r="F844" s="724"/>
      <c r="G844" s="724"/>
      <c r="H844" s="47"/>
      <c r="I844" s="47"/>
      <c r="O844" s="19"/>
      <c r="P844" s="19"/>
      <c r="Q844" s="19"/>
    </row>
    <row r="845" spans="6:17" ht="12.75">
      <c r="F845" s="724"/>
      <c r="G845" s="724"/>
      <c r="H845" s="47"/>
      <c r="I845" s="47"/>
      <c r="O845" s="19"/>
      <c r="P845" s="19"/>
      <c r="Q845" s="19"/>
    </row>
    <row r="846" spans="6:17" ht="12.75">
      <c r="F846" s="724"/>
      <c r="G846" s="724"/>
      <c r="H846" s="47"/>
      <c r="I846" s="47"/>
      <c r="O846" s="19"/>
      <c r="P846" s="19"/>
      <c r="Q846" s="19"/>
    </row>
    <row r="847" spans="6:17" ht="12.75">
      <c r="F847" s="724"/>
      <c r="G847" s="724"/>
      <c r="H847" s="47"/>
      <c r="I847" s="47"/>
      <c r="O847" s="19"/>
      <c r="P847" s="19"/>
      <c r="Q847" s="19"/>
    </row>
    <row r="848" spans="6:17" ht="12.75">
      <c r="F848" s="724"/>
      <c r="G848" s="724"/>
      <c r="H848" s="47"/>
      <c r="I848" s="47"/>
      <c r="O848" s="19"/>
      <c r="P848" s="19"/>
      <c r="Q848" s="19"/>
    </row>
    <row r="849" spans="6:17" ht="12.75">
      <c r="F849" s="724"/>
      <c r="G849" s="724"/>
      <c r="H849" s="47"/>
      <c r="I849" s="47"/>
      <c r="O849" s="19"/>
      <c r="P849" s="19"/>
      <c r="Q849" s="19"/>
    </row>
    <row r="850" spans="6:17" ht="12.75">
      <c r="F850" s="724"/>
      <c r="G850" s="724"/>
      <c r="H850" s="47"/>
      <c r="I850" s="47"/>
      <c r="O850" s="19"/>
      <c r="P850" s="19"/>
      <c r="Q850" s="19"/>
    </row>
    <row r="851" spans="6:17" ht="12.75">
      <c r="F851" s="724"/>
      <c r="G851" s="724"/>
      <c r="H851" s="47"/>
      <c r="I851" s="47"/>
      <c r="O851" s="19"/>
      <c r="P851" s="19"/>
      <c r="Q851" s="19"/>
    </row>
    <row r="852" spans="6:17" ht="12.75">
      <c r="F852" s="724"/>
      <c r="G852" s="724"/>
      <c r="H852" s="47"/>
      <c r="I852" s="47"/>
      <c r="O852" s="19"/>
      <c r="P852" s="19"/>
      <c r="Q852" s="19"/>
    </row>
    <row r="853" spans="6:17" ht="12.75">
      <c r="F853" s="724"/>
      <c r="G853" s="724"/>
      <c r="H853" s="47"/>
      <c r="I853" s="47"/>
      <c r="O853" s="19"/>
      <c r="P853" s="19"/>
      <c r="Q853" s="19"/>
    </row>
    <row r="854" spans="6:17" ht="12.75">
      <c r="F854" s="724"/>
      <c r="G854" s="724"/>
      <c r="H854" s="47"/>
      <c r="I854" s="47"/>
      <c r="O854" s="19"/>
      <c r="P854" s="19"/>
      <c r="Q854" s="19"/>
    </row>
    <row r="855" spans="6:17" ht="12.75">
      <c r="F855" s="724"/>
      <c r="G855" s="724"/>
      <c r="H855" s="47"/>
      <c r="I855" s="47"/>
      <c r="O855" s="19"/>
      <c r="P855" s="19"/>
      <c r="Q855" s="19"/>
    </row>
    <row r="856" spans="6:17" ht="12.75">
      <c r="F856" s="724"/>
      <c r="G856" s="724"/>
      <c r="H856" s="47"/>
      <c r="I856" s="47"/>
      <c r="O856" s="19"/>
      <c r="P856" s="19"/>
      <c r="Q856" s="19"/>
    </row>
    <row r="857" spans="6:17" ht="12.75">
      <c r="F857" s="724"/>
      <c r="G857" s="724"/>
      <c r="H857" s="47"/>
      <c r="I857" s="47"/>
      <c r="O857" s="19"/>
      <c r="P857" s="19"/>
      <c r="Q857" s="19"/>
    </row>
    <row r="858" spans="6:17" ht="12.75">
      <c r="F858" s="724"/>
      <c r="G858" s="724"/>
      <c r="H858" s="47"/>
      <c r="I858" s="47"/>
      <c r="O858" s="19"/>
      <c r="P858" s="19"/>
      <c r="Q858" s="19"/>
    </row>
    <row r="859" spans="6:17" ht="12.75">
      <c r="F859" s="724"/>
      <c r="G859" s="724"/>
      <c r="H859" s="47"/>
      <c r="I859" s="47"/>
      <c r="O859" s="19"/>
      <c r="P859" s="19"/>
      <c r="Q859" s="19"/>
    </row>
    <row r="860" spans="6:17" ht="12.75">
      <c r="F860" s="724"/>
      <c r="G860" s="724"/>
      <c r="H860" s="47"/>
      <c r="I860" s="47"/>
      <c r="O860" s="19"/>
      <c r="P860" s="19"/>
      <c r="Q860" s="19"/>
    </row>
    <row r="861" spans="6:17" ht="12.75">
      <c r="F861" s="724"/>
      <c r="G861" s="724"/>
      <c r="H861" s="47"/>
      <c r="I861" s="47"/>
      <c r="O861" s="19"/>
      <c r="P861" s="19"/>
      <c r="Q861" s="19"/>
    </row>
    <row r="862" spans="6:17" ht="12.75">
      <c r="F862" s="724"/>
      <c r="G862" s="724"/>
      <c r="H862" s="47"/>
      <c r="I862" s="47"/>
      <c r="O862" s="19"/>
      <c r="P862" s="19"/>
      <c r="Q862" s="19"/>
    </row>
    <row r="863" spans="6:17" ht="12.75">
      <c r="F863" s="724"/>
      <c r="G863" s="724"/>
      <c r="H863" s="47"/>
      <c r="I863" s="47"/>
      <c r="O863" s="19"/>
      <c r="P863" s="19"/>
      <c r="Q863" s="19"/>
    </row>
    <row r="864" spans="6:17" ht="12.75">
      <c r="F864" s="724"/>
      <c r="G864" s="724"/>
      <c r="H864" s="47"/>
      <c r="I864" s="47"/>
      <c r="O864" s="19"/>
      <c r="P864" s="19"/>
      <c r="Q864" s="19"/>
    </row>
    <row r="865" spans="6:17" ht="12.75">
      <c r="F865" s="724"/>
      <c r="G865" s="724"/>
      <c r="H865" s="47"/>
      <c r="I865" s="47"/>
      <c r="O865" s="19"/>
      <c r="P865" s="19"/>
      <c r="Q865" s="19"/>
    </row>
    <row r="866" spans="6:17" ht="12.75">
      <c r="F866" s="724"/>
      <c r="G866" s="724"/>
      <c r="H866" s="47"/>
      <c r="I866" s="47"/>
      <c r="O866" s="19"/>
      <c r="P866" s="19"/>
      <c r="Q866" s="19"/>
    </row>
    <row r="867" spans="6:17" ht="12.75">
      <c r="F867" s="724"/>
      <c r="G867" s="724"/>
      <c r="H867" s="47"/>
      <c r="I867" s="47"/>
      <c r="O867" s="19"/>
      <c r="P867" s="19"/>
      <c r="Q867" s="19"/>
    </row>
    <row r="868" spans="6:17" ht="12.75">
      <c r="F868" s="724"/>
      <c r="G868" s="724"/>
      <c r="H868" s="47"/>
      <c r="I868" s="47"/>
      <c r="O868" s="19"/>
      <c r="P868" s="19"/>
      <c r="Q868" s="19"/>
    </row>
    <row r="869" spans="6:17" ht="12.75">
      <c r="F869" s="724"/>
      <c r="G869" s="724"/>
      <c r="H869" s="47"/>
      <c r="I869" s="47"/>
      <c r="O869" s="19"/>
      <c r="P869" s="19"/>
      <c r="Q869" s="19"/>
    </row>
    <row r="870" spans="6:17" ht="12.75">
      <c r="F870" s="724"/>
      <c r="G870" s="724"/>
      <c r="H870" s="47"/>
      <c r="I870" s="47"/>
      <c r="O870" s="19"/>
      <c r="P870" s="19"/>
      <c r="Q870" s="19"/>
    </row>
    <row r="871" spans="6:17" ht="12.75">
      <c r="F871" s="724"/>
      <c r="G871" s="724"/>
      <c r="H871" s="47"/>
      <c r="I871" s="47"/>
      <c r="O871" s="19"/>
      <c r="P871" s="19"/>
      <c r="Q871" s="19"/>
    </row>
    <row r="872" spans="6:17" ht="12.75">
      <c r="F872" s="724"/>
      <c r="G872" s="724"/>
      <c r="H872" s="47"/>
      <c r="I872" s="47"/>
      <c r="O872" s="19"/>
      <c r="P872" s="19"/>
      <c r="Q872" s="19"/>
    </row>
    <row r="873" spans="6:17" ht="12.75">
      <c r="F873" s="724"/>
      <c r="G873" s="724"/>
      <c r="H873" s="47"/>
      <c r="I873" s="47"/>
      <c r="O873" s="19"/>
      <c r="P873" s="19"/>
      <c r="Q873" s="19"/>
    </row>
    <row r="874" spans="6:17" ht="12.75">
      <c r="F874" s="724"/>
      <c r="G874" s="724"/>
      <c r="H874" s="47"/>
      <c r="I874" s="47"/>
      <c r="O874" s="19"/>
      <c r="P874" s="19"/>
      <c r="Q874" s="19"/>
    </row>
    <row r="875" spans="6:17" ht="12.75">
      <c r="F875" s="724"/>
      <c r="G875" s="724"/>
      <c r="H875" s="47"/>
      <c r="I875" s="47"/>
      <c r="O875" s="19"/>
      <c r="P875" s="19"/>
      <c r="Q875" s="19"/>
    </row>
    <row r="876" spans="6:17" ht="12.75">
      <c r="F876" s="724"/>
      <c r="G876" s="724"/>
      <c r="H876" s="47"/>
      <c r="I876" s="47"/>
      <c r="O876" s="19"/>
      <c r="P876" s="19"/>
      <c r="Q876" s="19"/>
    </row>
    <row r="877" spans="6:17" ht="12.75">
      <c r="F877" s="724"/>
      <c r="G877" s="724"/>
      <c r="H877" s="47"/>
      <c r="I877" s="47"/>
      <c r="O877" s="19"/>
      <c r="P877" s="19"/>
      <c r="Q877" s="19"/>
    </row>
    <row r="878" spans="6:17" ht="12.75">
      <c r="F878" s="724"/>
      <c r="G878" s="724"/>
      <c r="H878" s="47"/>
      <c r="I878" s="47"/>
      <c r="O878" s="19"/>
      <c r="P878" s="19"/>
      <c r="Q878" s="19"/>
    </row>
    <row r="879" spans="6:17" ht="12.75">
      <c r="F879" s="724"/>
      <c r="G879" s="724"/>
      <c r="H879" s="47"/>
      <c r="I879" s="47"/>
      <c r="O879" s="19"/>
      <c r="P879" s="19"/>
      <c r="Q879" s="19"/>
    </row>
    <row r="880" spans="6:17" ht="12.75">
      <c r="F880" s="724"/>
      <c r="G880" s="724"/>
      <c r="H880" s="47"/>
      <c r="I880" s="47"/>
      <c r="O880" s="19"/>
      <c r="P880" s="19"/>
      <c r="Q880" s="19"/>
    </row>
    <row r="881" spans="6:17" ht="12.75">
      <c r="F881" s="724"/>
      <c r="G881" s="724"/>
      <c r="H881" s="47"/>
      <c r="I881" s="47"/>
      <c r="O881" s="19"/>
      <c r="P881" s="19"/>
      <c r="Q881" s="19"/>
    </row>
    <row r="882" spans="6:17" ht="12.75">
      <c r="F882" s="724"/>
      <c r="G882" s="724"/>
      <c r="H882" s="47"/>
      <c r="I882" s="47"/>
      <c r="O882" s="19"/>
      <c r="P882" s="19"/>
      <c r="Q882" s="19"/>
    </row>
    <row r="883" spans="6:17" ht="12.75">
      <c r="F883" s="724"/>
      <c r="G883" s="724"/>
      <c r="H883" s="47"/>
      <c r="I883" s="47"/>
      <c r="O883" s="19"/>
      <c r="P883" s="19"/>
      <c r="Q883" s="19"/>
    </row>
    <row r="884" spans="6:17" ht="12.75">
      <c r="F884" s="724"/>
      <c r="G884" s="724"/>
      <c r="H884" s="47"/>
      <c r="I884" s="47"/>
      <c r="O884" s="19"/>
      <c r="P884" s="19"/>
      <c r="Q884" s="19"/>
    </row>
    <row r="885" spans="6:17" ht="12.75">
      <c r="F885" s="724"/>
      <c r="G885" s="724"/>
      <c r="H885" s="47"/>
      <c r="I885" s="47"/>
      <c r="O885" s="19"/>
      <c r="P885" s="19"/>
      <c r="Q885" s="19"/>
    </row>
    <row r="886" spans="6:17" ht="12.75">
      <c r="F886" s="724"/>
      <c r="G886" s="724"/>
      <c r="H886" s="47"/>
      <c r="I886" s="47"/>
      <c r="O886" s="19"/>
      <c r="P886" s="19"/>
      <c r="Q886" s="19"/>
    </row>
    <row r="887" spans="6:17" ht="12.75">
      <c r="F887" s="724"/>
      <c r="G887" s="724"/>
      <c r="H887" s="47"/>
      <c r="I887" s="47"/>
      <c r="O887" s="19"/>
      <c r="P887" s="19"/>
      <c r="Q887" s="19"/>
    </row>
    <row r="888" spans="6:17" ht="12.75">
      <c r="F888" s="724"/>
      <c r="G888" s="724"/>
      <c r="H888" s="47"/>
      <c r="I888" s="47"/>
      <c r="O888" s="19"/>
      <c r="P888" s="19"/>
      <c r="Q888" s="19"/>
    </row>
    <row r="889" spans="6:17" ht="12.75">
      <c r="F889" s="724"/>
      <c r="G889" s="724"/>
      <c r="H889" s="47"/>
      <c r="I889" s="47"/>
      <c r="O889" s="19"/>
      <c r="P889" s="19"/>
      <c r="Q889" s="19"/>
    </row>
    <row r="890" spans="6:17" ht="12.75">
      <c r="F890" s="724"/>
      <c r="G890" s="724"/>
      <c r="H890" s="47"/>
      <c r="I890" s="47"/>
      <c r="O890" s="19"/>
      <c r="P890" s="19"/>
      <c r="Q890" s="19"/>
    </row>
    <row r="891" spans="6:17" ht="12.75">
      <c r="F891" s="724"/>
      <c r="G891" s="724"/>
      <c r="H891" s="47"/>
      <c r="I891" s="47"/>
      <c r="O891" s="19"/>
      <c r="P891" s="19"/>
      <c r="Q891" s="19"/>
    </row>
    <row r="892" spans="6:17" ht="12.75">
      <c r="F892" s="724"/>
      <c r="G892" s="724"/>
      <c r="H892" s="47"/>
      <c r="I892" s="47"/>
      <c r="O892" s="19"/>
      <c r="P892" s="19"/>
      <c r="Q892" s="19"/>
    </row>
    <row r="893" spans="6:17" ht="12.75">
      <c r="F893" s="724"/>
      <c r="G893" s="724"/>
      <c r="H893" s="47"/>
      <c r="I893" s="47"/>
      <c r="O893" s="19"/>
      <c r="P893" s="19"/>
      <c r="Q893" s="19"/>
    </row>
    <row r="894" spans="6:17" ht="12.75">
      <c r="F894" s="724"/>
      <c r="G894" s="724"/>
      <c r="H894" s="47"/>
      <c r="I894" s="47"/>
      <c r="O894" s="19"/>
      <c r="P894" s="19"/>
      <c r="Q894" s="19"/>
    </row>
    <row r="895" spans="6:17" ht="12.75">
      <c r="F895" s="724"/>
      <c r="G895" s="724"/>
      <c r="H895" s="47"/>
      <c r="I895" s="47"/>
      <c r="O895" s="19"/>
      <c r="P895" s="19"/>
      <c r="Q895" s="19"/>
    </row>
    <row r="896" spans="6:17" ht="12.75">
      <c r="F896" s="724"/>
      <c r="G896" s="724"/>
      <c r="H896" s="47"/>
      <c r="I896" s="47"/>
      <c r="O896" s="19"/>
      <c r="P896" s="19"/>
      <c r="Q896" s="19"/>
    </row>
    <row r="897" spans="6:17" ht="12.75">
      <c r="F897" s="724"/>
      <c r="G897" s="724"/>
      <c r="H897" s="47"/>
      <c r="I897" s="47"/>
      <c r="O897" s="19"/>
      <c r="P897" s="19"/>
      <c r="Q897" s="19"/>
    </row>
    <row r="898" spans="6:17" ht="12.75">
      <c r="F898" s="724"/>
      <c r="G898" s="724"/>
      <c r="H898" s="47"/>
      <c r="I898" s="47"/>
      <c r="O898" s="19"/>
      <c r="P898" s="19"/>
      <c r="Q898" s="19"/>
    </row>
    <row r="899" spans="6:17" ht="12.75">
      <c r="F899" s="724"/>
      <c r="G899" s="724"/>
      <c r="H899" s="47"/>
      <c r="I899" s="47"/>
      <c r="O899" s="19"/>
      <c r="P899" s="19"/>
      <c r="Q899" s="19"/>
    </row>
    <row r="900" spans="6:17" ht="12.75">
      <c r="F900" s="724"/>
      <c r="G900" s="724"/>
      <c r="H900" s="47"/>
      <c r="I900" s="47"/>
      <c r="O900" s="19"/>
      <c r="P900" s="19"/>
      <c r="Q900" s="19"/>
    </row>
    <row r="901" spans="6:17" ht="12.75">
      <c r="F901" s="724"/>
      <c r="G901" s="724"/>
      <c r="H901" s="47"/>
      <c r="I901" s="47"/>
      <c r="O901" s="19"/>
      <c r="P901" s="19"/>
      <c r="Q901" s="19"/>
    </row>
    <row r="902" spans="6:17" ht="12.75">
      <c r="F902" s="724"/>
      <c r="G902" s="724"/>
      <c r="H902" s="47"/>
      <c r="I902" s="47"/>
      <c r="O902" s="19"/>
      <c r="P902" s="19"/>
      <c r="Q902" s="19"/>
    </row>
    <row r="903" spans="6:17" ht="12.75">
      <c r="F903" s="724"/>
      <c r="G903" s="724"/>
      <c r="H903" s="47"/>
      <c r="I903" s="47"/>
      <c r="O903" s="19"/>
      <c r="P903" s="19"/>
      <c r="Q903" s="19"/>
    </row>
    <row r="904" spans="6:17" ht="12.75">
      <c r="F904" s="724"/>
      <c r="G904" s="724"/>
      <c r="H904" s="47"/>
      <c r="I904" s="47"/>
      <c r="O904" s="19"/>
      <c r="P904" s="19"/>
      <c r="Q904" s="19"/>
    </row>
    <row r="905" spans="6:17" ht="12.75">
      <c r="F905" s="724"/>
      <c r="G905" s="724"/>
      <c r="H905" s="47"/>
      <c r="I905" s="47"/>
      <c r="O905" s="19"/>
      <c r="P905" s="19"/>
      <c r="Q905" s="19"/>
    </row>
    <row r="906" spans="6:17" ht="12.75">
      <c r="F906" s="724"/>
      <c r="G906" s="724"/>
      <c r="H906" s="47"/>
      <c r="I906" s="47"/>
      <c r="O906" s="19"/>
      <c r="P906" s="19"/>
      <c r="Q906" s="19"/>
    </row>
    <row r="907" spans="6:17" ht="12.75">
      <c r="F907" s="724"/>
      <c r="G907" s="724"/>
      <c r="H907" s="47"/>
      <c r="I907" s="47"/>
      <c r="O907" s="19"/>
      <c r="P907" s="19"/>
      <c r="Q907" s="19"/>
    </row>
    <row r="908" spans="6:17" ht="12.75">
      <c r="F908" s="724"/>
      <c r="G908" s="724"/>
      <c r="H908" s="47"/>
      <c r="I908" s="47"/>
      <c r="O908" s="19"/>
      <c r="P908" s="19"/>
      <c r="Q908" s="19"/>
    </row>
    <row r="909" spans="6:17" ht="12.75">
      <c r="F909" s="724"/>
      <c r="G909" s="724"/>
      <c r="H909" s="47"/>
      <c r="I909" s="47"/>
      <c r="O909" s="19"/>
      <c r="P909" s="19"/>
      <c r="Q909" s="19"/>
    </row>
    <row r="910" spans="6:17" ht="12.75">
      <c r="F910" s="724"/>
      <c r="G910" s="724"/>
      <c r="H910" s="47"/>
      <c r="I910" s="47"/>
      <c r="O910" s="19"/>
      <c r="P910" s="19"/>
      <c r="Q910" s="19"/>
    </row>
    <row r="911" spans="6:17" ht="12.75">
      <c r="F911" s="724"/>
      <c r="G911" s="724"/>
      <c r="H911" s="47"/>
      <c r="I911" s="47"/>
      <c r="O911" s="19"/>
      <c r="P911" s="19"/>
      <c r="Q911" s="19"/>
    </row>
    <row r="912" spans="6:17" ht="12.75">
      <c r="F912" s="724"/>
      <c r="G912" s="724"/>
      <c r="H912" s="47"/>
      <c r="I912" s="47"/>
      <c r="O912" s="19"/>
      <c r="P912" s="19"/>
      <c r="Q912" s="19"/>
    </row>
    <row r="913" spans="6:17" ht="12.75">
      <c r="F913" s="724"/>
      <c r="G913" s="724"/>
      <c r="H913" s="47"/>
      <c r="I913" s="47"/>
      <c r="O913" s="19"/>
      <c r="P913" s="19"/>
      <c r="Q913" s="19"/>
    </row>
    <row r="914" spans="6:17" ht="12.75">
      <c r="F914" s="724"/>
      <c r="G914" s="724"/>
      <c r="H914" s="47"/>
      <c r="I914" s="47"/>
      <c r="O914" s="19"/>
      <c r="P914" s="19"/>
      <c r="Q914" s="19"/>
    </row>
    <row r="915" spans="6:17" ht="12.75">
      <c r="F915" s="724"/>
      <c r="G915" s="724"/>
      <c r="H915" s="47"/>
      <c r="I915" s="47"/>
      <c r="O915" s="19"/>
      <c r="P915" s="19"/>
      <c r="Q915" s="19"/>
    </row>
    <row r="916" spans="6:17" ht="12.75">
      <c r="F916" s="724"/>
      <c r="G916" s="724"/>
      <c r="H916" s="47"/>
      <c r="I916" s="47"/>
      <c r="O916" s="19"/>
      <c r="P916" s="19"/>
      <c r="Q916" s="19"/>
    </row>
    <row r="917" spans="6:17" ht="12.75">
      <c r="F917" s="724"/>
      <c r="G917" s="724"/>
      <c r="H917" s="47"/>
      <c r="I917" s="47"/>
      <c r="O917" s="19"/>
      <c r="P917" s="19"/>
      <c r="Q917" s="19"/>
    </row>
    <row r="918" spans="6:17" ht="12.75">
      <c r="F918" s="724"/>
      <c r="G918" s="724"/>
      <c r="H918" s="47"/>
      <c r="I918" s="47"/>
      <c r="O918" s="19"/>
      <c r="P918" s="19"/>
      <c r="Q918" s="19"/>
    </row>
    <row r="919" spans="6:17" ht="12.75">
      <c r="F919" s="724"/>
      <c r="G919" s="724"/>
      <c r="H919" s="47"/>
      <c r="I919" s="47"/>
      <c r="O919" s="19"/>
      <c r="P919" s="19"/>
      <c r="Q919" s="19"/>
    </row>
    <row r="920" spans="6:17" ht="12.75">
      <c r="F920" s="724"/>
      <c r="G920" s="724"/>
      <c r="H920" s="47"/>
      <c r="I920" s="47"/>
      <c r="O920" s="19"/>
      <c r="P920" s="19"/>
      <c r="Q920" s="19"/>
    </row>
    <row r="921" spans="6:17" ht="12.75">
      <c r="F921" s="724"/>
      <c r="G921" s="724"/>
      <c r="H921" s="47"/>
      <c r="I921" s="47"/>
      <c r="O921" s="19"/>
      <c r="P921" s="19"/>
      <c r="Q921" s="19"/>
    </row>
    <row r="922" spans="6:17" ht="12.75">
      <c r="F922" s="724"/>
      <c r="G922" s="724"/>
      <c r="H922" s="47"/>
      <c r="I922" s="47"/>
      <c r="O922" s="19"/>
      <c r="P922" s="19"/>
      <c r="Q922" s="19"/>
    </row>
    <row r="923" spans="6:17" ht="12.75">
      <c r="F923" s="724"/>
      <c r="G923" s="724"/>
      <c r="H923" s="47"/>
      <c r="I923" s="47"/>
      <c r="O923" s="19"/>
      <c r="P923" s="19"/>
      <c r="Q923" s="19"/>
    </row>
    <row r="924" spans="6:17" ht="12.75">
      <c r="F924" s="724"/>
      <c r="G924" s="724"/>
      <c r="H924" s="47"/>
      <c r="I924" s="47"/>
      <c r="O924" s="19"/>
      <c r="P924" s="19"/>
      <c r="Q924" s="19"/>
    </row>
    <row r="925" spans="6:17" ht="12.75">
      <c r="F925" s="724"/>
      <c r="G925" s="724"/>
      <c r="H925" s="47"/>
      <c r="I925" s="47"/>
      <c r="O925" s="19"/>
      <c r="P925" s="19"/>
      <c r="Q925" s="19"/>
    </row>
    <row r="926" spans="6:17" ht="12.75">
      <c r="F926" s="724"/>
      <c r="G926" s="724"/>
      <c r="H926" s="47"/>
      <c r="I926" s="47"/>
      <c r="O926" s="19"/>
      <c r="P926" s="19"/>
      <c r="Q926" s="19"/>
    </row>
    <row r="927" spans="6:17" ht="12.75">
      <c r="F927" s="724"/>
      <c r="G927" s="724"/>
      <c r="H927" s="47"/>
      <c r="I927" s="47"/>
      <c r="O927" s="19"/>
      <c r="P927" s="19"/>
      <c r="Q927" s="19"/>
    </row>
    <row r="928" spans="6:17" ht="12.75">
      <c r="F928" s="724"/>
      <c r="G928" s="724"/>
      <c r="H928" s="47"/>
      <c r="I928" s="47"/>
      <c r="O928" s="19"/>
      <c r="P928" s="19"/>
      <c r="Q928" s="19"/>
    </row>
    <row r="929" spans="6:17" ht="12.75">
      <c r="F929" s="724"/>
      <c r="G929" s="724"/>
      <c r="H929" s="47"/>
      <c r="I929" s="47"/>
      <c r="O929" s="19"/>
      <c r="P929" s="19"/>
      <c r="Q929" s="19"/>
    </row>
    <row r="930" spans="6:17" ht="12.75">
      <c r="F930" s="724"/>
      <c r="G930" s="724"/>
      <c r="H930" s="47"/>
      <c r="I930" s="47"/>
      <c r="O930" s="19"/>
      <c r="P930" s="19"/>
      <c r="Q930" s="19"/>
    </row>
    <row r="931" spans="6:17" ht="12.75">
      <c r="F931" s="724"/>
      <c r="G931" s="724"/>
      <c r="H931" s="47"/>
      <c r="I931" s="47"/>
      <c r="O931" s="19"/>
      <c r="P931" s="19"/>
      <c r="Q931" s="19"/>
    </row>
    <row r="932" spans="6:17" ht="12.75">
      <c r="F932" s="724"/>
      <c r="G932" s="724"/>
      <c r="H932" s="47"/>
      <c r="I932" s="47"/>
      <c r="O932" s="19"/>
      <c r="P932" s="19"/>
      <c r="Q932" s="19"/>
    </row>
    <row r="933" spans="6:17" ht="12.75">
      <c r="F933" s="724"/>
      <c r="G933" s="724"/>
      <c r="H933" s="47"/>
      <c r="I933" s="47"/>
      <c r="O933" s="19"/>
      <c r="P933" s="19"/>
      <c r="Q933" s="19"/>
    </row>
    <row r="934" spans="6:17" ht="12.75">
      <c r="F934" s="724"/>
      <c r="G934" s="724"/>
      <c r="H934" s="47"/>
      <c r="I934" s="47"/>
      <c r="O934" s="19"/>
      <c r="P934" s="19"/>
      <c r="Q934" s="19"/>
    </row>
    <row r="935" spans="6:17" ht="12.75">
      <c r="F935" s="724"/>
      <c r="G935" s="724"/>
      <c r="H935" s="47"/>
      <c r="I935" s="47"/>
      <c r="O935" s="19"/>
      <c r="P935" s="19"/>
      <c r="Q935" s="19"/>
    </row>
    <row r="936" spans="6:17" ht="12.75">
      <c r="F936" s="724"/>
      <c r="G936" s="724"/>
      <c r="H936" s="47"/>
      <c r="I936" s="47"/>
      <c r="O936" s="19"/>
      <c r="P936" s="19"/>
      <c r="Q936" s="19"/>
    </row>
    <row r="937" spans="6:17" ht="12.75">
      <c r="F937" s="724"/>
      <c r="G937" s="724"/>
      <c r="H937" s="47"/>
      <c r="I937" s="47"/>
      <c r="O937" s="19"/>
      <c r="P937" s="19"/>
      <c r="Q937" s="19"/>
    </row>
    <row r="938" spans="6:17" ht="12.75">
      <c r="F938" s="724"/>
      <c r="G938" s="724"/>
      <c r="H938" s="47"/>
      <c r="I938" s="47"/>
      <c r="O938" s="19"/>
      <c r="P938" s="19"/>
      <c r="Q938" s="19"/>
    </row>
    <row r="939" spans="6:17" ht="12.75">
      <c r="F939" s="724"/>
      <c r="G939" s="724"/>
      <c r="H939" s="47"/>
      <c r="I939" s="47"/>
      <c r="O939" s="19"/>
      <c r="P939" s="19"/>
      <c r="Q939" s="19"/>
    </row>
    <row r="940" spans="6:17" ht="12.75">
      <c r="F940" s="724"/>
      <c r="G940" s="724"/>
      <c r="H940" s="47"/>
      <c r="I940" s="47"/>
      <c r="O940" s="19"/>
      <c r="P940" s="19"/>
      <c r="Q940" s="19"/>
    </row>
    <row r="941" spans="6:17" ht="12.75">
      <c r="F941" s="724"/>
      <c r="G941" s="724"/>
      <c r="H941" s="47"/>
      <c r="I941" s="47"/>
      <c r="O941" s="19"/>
      <c r="P941" s="19"/>
      <c r="Q941" s="19"/>
    </row>
    <row r="942" spans="6:17" ht="12.75">
      <c r="F942" s="724"/>
      <c r="G942" s="724"/>
      <c r="H942" s="47"/>
      <c r="I942" s="47"/>
      <c r="O942" s="19"/>
      <c r="P942" s="19"/>
      <c r="Q942" s="19"/>
    </row>
    <row r="943" spans="6:17" ht="12.75">
      <c r="F943" s="724"/>
      <c r="G943" s="724"/>
      <c r="H943" s="47"/>
      <c r="I943" s="47"/>
      <c r="O943" s="19"/>
      <c r="P943" s="19"/>
      <c r="Q943" s="19"/>
    </row>
    <row r="944" spans="6:17" ht="12.75">
      <c r="F944" s="724"/>
      <c r="G944" s="724"/>
      <c r="H944" s="47"/>
      <c r="I944" s="47"/>
      <c r="O944" s="19"/>
      <c r="P944" s="19"/>
      <c r="Q944" s="19"/>
    </row>
    <row r="945" spans="6:17" ht="12.75">
      <c r="F945" s="724"/>
      <c r="G945" s="724"/>
      <c r="H945" s="47"/>
      <c r="I945" s="47"/>
      <c r="O945" s="19"/>
      <c r="P945" s="19"/>
      <c r="Q945" s="19"/>
    </row>
    <row r="946" spans="6:17" ht="12.75">
      <c r="F946" s="724"/>
      <c r="G946" s="724"/>
      <c r="H946" s="47"/>
      <c r="I946" s="47"/>
      <c r="O946" s="19"/>
      <c r="P946" s="19"/>
      <c r="Q946" s="19"/>
    </row>
    <row r="947" spans="6:17" ht="12.75">
      <c r="F947" s="724"/>
      <c r="G947" s="724"/>
      <c r="H947" s="47"/>
      <c r="I947" s="47"/>
      <c r="O947" s="19"/>
      <c r="P947" s="19"/>
      <c r="Q947" s="19"/>
    </row>
    <row r="948" spans="6:17" ht="12.75">
      <c r="F948" s="724"/>
      <c r="G948" s="724"/>
      <c r="H948" s="47"/>
      <c r="I948" s="47"/>
      <c r="O948" s="19"/>
      <c r="P948" s="19"/>
      <c r="Q948" s="19"/>
    </row>
    <row r="949" spans="6:17" ht="12.75">
      <c r="F949" s="724"/>
      <c r="G949" s="724"/>
      <c r="H949" s="47"/>
      <c r="I949" s="47"/>
      <c r="O949" s="19"/>
      <c r="P949" s="19"/>
      <c r="Q949" s="19"/>
    </row>
    <row r="950" spans="6:17" ht="12.75">
      <c r="F950" s="724"/>
      <c r="G950" s="724"/>
      <c r="H950" s="47"/>
      <c r="I950" s="47"/>
      <c r="O950" s="19"/>
      <c r="P950" s="19"/>
      <c r="Q950" s="19"/>
    </row>
    <row r="951" spans="6:17" ht="12.75">
      <c r="F951" s="724"/>
      <c r="G951" s="724"/>
      <c r="H951" s="47"/>
      <c r="I951" s="47"/>
      <c r="O951" s="19"/>
      <c r="P951" s="19"/>
      <c r="Q951" s="19"/>
    </row>
    <row r="952" spans="6:17" ht="12.75">
      <c r="F952" s="724"/>
      <c r="G952" s="724"/>
      <c r="H952" s="47"/>
      <c r="I952" s="47"/>
      <c r="O952" s="19"/>
      <c r="P952" s="19"/>
      <c r="Q952" s="19"/>
    </row>
    <row r="953" spans="6:17" ht="12.75">
      <c r="F953" s="724"/>
      <c r="G953" s="724"/>
      <c r="H953" s="47"/>
      <c r="I953" s="47"/>
      <c r="O953" s="19"/>
      <c r="P953" s="19"/>
      <c r="Q953" s="19"/>
    </row>
    <row r="954" spans="6:17" ht="12.75">
      <c r="F954" s="724"/>
      <c r="G954" s="724"/>
      <c r="H954" s="47"/>
      <c r="I954" s="47"/>
      <c r="O954" s="19"/>
      <c r="P954" s="19"/>
      <c r="Q954" s="19"/>
    </row>
    <row r="955" spans="6:17" ht="12.75">
      <c r="F955" s="724"/>
      <c r="G955" s="724"/>
      <c r="H955" s="47"/>
      <c r="I955" s="47"/>
      <c r="O955" s="19"/>
      <c r="P955" s="19"/>
      <c r="Q955" s="19"/>
    </row>
    <row r="956" spans="6:17" ht="12.75">
      <c r="F956" s="724"/>
      <c r="G956" s="724"/>
      <c r="H956" s="47"/>
      <c r="I956" s="47"/>
      <c r="O956" s="19"/>
      <c r="P956" s="19"/>
      <c r="Q956" s="19"/>
    </row>
    <row r="957" spans="6:17" ht="12.75">
      <c r="F957" s="724"/>
      <c r="G957" s="724"/>
      <c r="H957" s="47"/>
      <c r="I957" s="47"/>
      <c r="O957" s="19"/>
      <c r="P957" s="19"/>
      <c r="Q957" s="19"/>
    </row>
    <row r="958" spans="6:17" ht="12.75">
      <c r="F958" s="724"/>
      <c r="G958" s="724"/>
      <c r="H958" s="47"/>
      <c r="I958" s="47"/>
      <c r="O958" s="19"/>
      <c r="P958" s="19"/>
      <c r="Q958" s="19"/>
    </row>
    <row r="959" spans="6:17" ht="12.75">
      <c r="F959" s="724"/>
      <c r="G959" s="724"/>
      <c r="H959" s="47"/>
      <c r="I959" s="47"/>
      <c r="O959" s="19"/>
      <c r="P959" s="19"/>
      <c r="Q959" s="19"/>
    </row>
    <row r="960" spans="6:17" ht="12.75">
      <c r="F960" s="724"/>
      <c r="G960" s="724"/>
      <c r="H960" s="47"/>
      <c r="I960" s="47"/>
      <c r="O960" s="19"/>
      <c r="P960" s="19"/>
      <c r="Q960" s="19"/>
    </row>
    <row r="961" spans="6:17" ht="12.75">
      <c r="F961" s="724"/>
      <c r="G961" s="724"/>
      <c r="H961" s="47"/>
      <c r="I961" s="47"/>
      <c r="O961" s="19"/>
      <c r="P961" s="19"/>
      <c r="Q961" s="19"/>
    </row>
    <row r="962" spans="6:17" ht="12.75">
      <c r="F962" s="724"/>
      <c r="G962" s="724"/>
      <c r="H962" s="47"/>
      <c r="I962" s="47"/>
      <c r="O962" s="19"/>
      <c r="P962" s="19"/>
      <c r="Q962" s="19"/>
    </row>
    <row r="963" spans="6:17" ht="12.75">
      <c r="F963" s="724"/>
      <c r="G963" s="724"/>
      <c r="H963" s="47"/>
      <c r="I963" s="47"/>
      <c r="O963" s="19"/>
      <c r="P963" s="19"/>
      <c r="Q963" s="19"/>
    </row>
    <row r="964" spans="6:17" ht="12.75">
      <c r="F964" s="724"/>
      <c r="G964" s="724"/>
      <c r="H964" s="47"/>
      <c r="I964" s="47"/>
      <c r="O964" s="19"/>
      <c r="P964" s="19"/>
      <c r="Q964" s="19"/>
    </row>
    <row r="965" spans="6:17" ht="12.75">
      <c r="F965" s="724"/>
      <c r="G965" s="724"/>
      <c r="H965" s="47"/>
      <c r="I965" s="47"/>
      <c r="O965" s="19"/>
      <c r="P965" s="19"/>
      <c r="Q965" s="19"/>
    </row>
    <row r="966" spans="6:17" ht="12.75">
      <c r="F966" s="724"/>
      <c r="G966" s="724"/>
      <c r="H966" s="47"/>
      <c r="I966" s="47"/>
      <c r="O966" s="19"/>
      <c r="P966" s="19"/>
      <c r="Q966" s="19"/>
    </row>
    <row r="967" spans="6:17" ht="12.75">
      <c r="F967" s="724"/>
      <c r="G967" s="724"/>
      <c r="H967" s="47"/>
      <c r="I967" s="47"/>
      <c r="O967" s="19"/>
      <c r="P967" s="19"/>
      <c r="Q967" s="19"/>
    </row>
    <row r="968" spans="6:17" ht="12.75">
      <c r="F968" s="724"/>
      <c r="G968" s="724"/>
      <c r="H968" s="47"/>
      <c r="I968" s="47"/>
      <c r="O968" s="19"/>
      <c r="P968" s="19"/>
      <c r="Q968" s="19"/>
    </row>
    <row r="969" spans="6:17" ht="12.75">
      <c r="F969" s="724"/>
      <c r="G969" s="724"/>
      <c r="H969" s="47"/>
      <c r="I969" s="47"/>
      <c r="O969" s="19"/>
      <c r="P969" s="19"/>
      <c r="Q969" s="19"/>
    </row>
    <row r="970" spans="6:17" ht="12.75">
      <c r="F970" s="724"/>
      <c r="G970" s="724"/>
      <c r="H970" s="47"/>
      <c r="I970" s="47"/>
      <c r="O970" s="19"/>
      <c r="P970" s="19"/>
      <c r="Q970" s="19"/>
    </row>
    <row r="971" spans="6:17" ht="12.75">
      <c r="F971" s="724"/>
      <c r="G971" s="724"/>
      <c r="H971" s="47"/>
      <c r="I971" s="47"/>
      <c r="O971" s="19"/>
      <c r="P971" s="19"/>
      <c r="Q971" s="19"/>
    </row>
    <row r="972" spans="6:17" ht="12.75">
      <c r="F972" s="724"/>
      <c r="G972" s="724"/>
      <c r="H972" s="47"/>
      <c r="I972" s="47"/>
      <c r="O972" s="19"/>
      <c r="P972" s="19"/>
      <c r="Q972" s="19"/>
    </row>
    <row r="973" spans="6:17" ht="12.75">
      <c r="F973" s="724"/>
      <c r="G973" s="724"/>
      <c r="H973" s="47"/>
      <c r="I973" s="47"/>
      <c r="O973" s="19"/>
      <c r="P973" s="19"/>
      <c r="Q973" s="19"/>
    </row>
    <row r="974" spans="6:17" ht="12.75">
      <c r="F974" s="724"/>
      <c r="G974" s="724"/>
      <c r="H974" s="47"/>
      <c r="I974" s="47"/>
      <c r="O974" s="19"/>
      <c r="P974" s="19"/>
      <c r="Q974" s="19"/>
    </row>
    <row r="975" spans="6:17" ht="12.75">
      <c r="F975" s="724"/>
      <c r="G975" s="724"/>
      <c r="H975" s="47"/>
      <c r="I975" s="47"/>
      <c r="O975" s="19"/>
      <c r="P975" s="19"/>
      <c r="Q975" s="19"/>
    </row>
    <row r="976" spans="6:17" ht="12.75">
      <c r="F976" s="724"/>
      <c r="G976" s="724"/>
      <c r="H976" s="47"/>
      <c r="I976" s="47"/>
      <c r="O976" s="19"/>
      <c r="P976" s="19"/>
      <c r="Q976" s="19"/>
    </row>
    <row r="977" spans="6:17" ht="12.75">
      <c r="F977" s="724"/>
      <c r="G977" s="724"/>
      <c r="H977" s="47"/>
      <c r="I977" s="47"/>
      <c r="O977" s="19"/>
      <c r="P977" s="19"/>
      <c r="Q977" s="19"/>
    </row>
    <row r="978" spans="6:17" ht="12.75">
      <c r="F978" s="724"/>
      <c r="G978" s="724"/>
      <c r="H978" s="47"/>
      <c r="I978" s="47"/>
      <c r="O978" s="19"/>
      <c r="P978" s="19"/>
      <c r="Q978" s="19"/>
    </row>
    <row r="979" spans="6:17" ht="12.75">
      <c r="F979" s="724"/>
      <c r="G979" s="724"/>
      <c r="H979" s="47"/>
      <c r="I979" s="47"/>
      <c r="O979" s="19"/>
      <c r="P979" s="19"/>
      <c r="Q979" s="19"/>
    </row>
    <row r="980" spans="6:17" ht="12.75">
      <c r="F980" s="724"/>
      <c r="G980" s="724"/>
      <c r="H980" s="47"/>
      <c r="I980" s="47"/>
      <c r="O980" s="19"/>
      <c r="P980" s="19"/>
      <c r="Q980" s="19"/>
    </row>
    <row r="981" spans="6:17" ht="12.75">
      <c r="F981" s="724"/>
      <c r="G981" s="724"/>
      <c r="H981" s="47"/>
      <c r="I981" s="47"/>
      <c r="O981" s="19"/>
      <c r="P981" s="19"/>
      <c r="Q981" s="19"/>
    </row>
    <row r="982" spans="6:17" ht="12.75">
      <c r="F982" s="724"/>
      <c r="G982" s="724"/>
      <c r="H982" s="47"/>
      <c r="I982" s="47"/>
      <c r="O982" s="19"/>
      <c r="P982" s="19"/>
      <c r="Q982" s="19"/>
    </row>
    <row r="983" spans="6:17" ht="12.75">
      <c r="F983" s="724"/>
      <c r="G983" s="724"/>
      <c r="H983" s="47"/>
      <c r="I983" s="47"/>
      <c r="O983" s="19"/>
      <c r="P983" s="19"/>
      <c r="Q983" s="19"/>
    </row>
    <row r="984" spans="6:17" ht="12.75">
      <c r="F984" s="724"/>
      <c r="G984" s="724"/>
      <c r="H984" s="47"/>
      <c r="I984" s="47"/>
      <c r="O984" s="19"/>
      <c r="P984" s="19"/>
      <c r="Q984" s="19"/>
    </row>
    <row r="985" spans="6:17" ht="12.75">
      <c r="F985" s="724"/>
      <c r="G985" s="724"/>
      <c r="H985" s="47"/>
      <c r="I985" s="47"/>
      <c r="O985" s="19"/>
      <c r="P985" s="19"/>
      <c r="Q985" s="19"/>
    </row>
    <row r="986" spans="6:17" ht="12.75">
      <c r="F986" s="724"/>
      <c r="G986" s="724"/>
      <c r="H986" s="47"/>
      <c r="I986" s="47"/>
      <c r="O986" s="19"/>
      <c r="P986" s="19"/>
      <c r="Q986" s="19"/>
    </row>
    <row r="987" spans="6:17" ht="12.75">
      <c r="F987" s="724"/>
      <c r="G987" s="724"/>
      <c r="H987" s="47"/>
      <c r="I987" s="47"/>
      <c r="O987" s="19"/>
      <c r="P987" s="19"/>
      <c r="Q987" s="19"/>
    </row>
    <row r="988" spans="6:17" ht="12.75">
      <c r="F988" s="724"/>
      <c r="G988" s="724"/>
      <c r="H988" s="47"/>
      <c r="I988" s="47"/>
      <c r="O988" s="19"/>
      <c r="P988" s="19"/>
      <c r="Q988" s="19"/>
    </row>
    <row r="989" spans="6:17" ht="12.75">
      <c r="F989" s="724"/>
      <c r="G989" s="724"/>
      <c r="H989" s="47"/>
      <c r="I989" s="47"/>
      <c r="O989" s="19"/>
      <c r="P989" s="19"/>
      <c r="Q989" s="19"/>
    </row>
    <row r="990" spans="6:17" ht="12.75">
      <c r="F990" s="724"/>
      <c r="G990" s="724"/>
      <c r="H990" s="47"/>
      <c r="I990" s="47"/>
      <c r="O990" s="19"/>
      <c r="P990" s="19"/>
      <c r="Q990" s="19"/>
    </row>
    <row r="991" spans="6:17" ht="12.75">
      <c r="F991" s="724"/>
      <c r="G991" s="724"/>
      <c r="H991" s="47"/>
      <c r="I991" s="47"/>
      <c r="O991" s="19"/>
      <c r="P991" s="19"/>
      <c r="Q991" s="19"/>
    </row>
    <row r="992" spans="6:17" ht="12.75">
      <c r="F992" s="724"/>
      <c r="G992" s="724"/>
      <c r="H992" s="47"/>
      <c r="I992" s="47"/>
      <c r="O992" s="19"/>
      <c r="P992" s="19"/>
      <c r="Q992" s="19"/>
    </row>
    <row r="993" spans="6:17" ht="12.75">
      <c r="F993" s="724"/>
      <c r="G993" s="724"/>
      <c r="H993" s="47"/>
      <c r="I993" s="47"/>
      <c r="O993" s="19"/>
      <c r="P993" s="19"/>
      <c r="Q993" s="19"/>
    </row>
    <row r="994" spans="6:17" ht="12.75">
      <c r="F994" s="724"/>
      <c r="G994" s="724"/>
      <c r="H994" s="47"/>
      <c r="I994" s="47"/>
      <c r="O994" s="19"/>
      <c r="P994" s="19"/>
      <c r="Q994" s="19"/>
    </row>
    <row r="995" spans="6:17" ht="12.75">
      <c r="F995" s="724"/>
      <c r="G995" s="724"/>
      <c r="H995" s="47"/>
      <c r="I995" s="47"/>
      <c r="O995" s="19"/>
      <c r="P995" s="19"/>
      <c r="Q995" s="19"/>
    </row>
    <row r="996" spans="6:17" ht="12.75">
      <c r="F996" s="724"/>
      <c r="G996" s="724"/>
      <c r="H996" s="47"/>
      <c r="I996" s="47"/>
      <c r="O996" s="19"/>
      <c r="P996" s="19"/>
      <c r="Q996" s="19"/>
    </row>
    <row r="997" spans="6:17" ht="12.75">
      <c r="F997" s="724"/>
      <c r="G997" s="724"/>
      <c r="H997" s="47"/>
      <c r="I997" s="47"/>
      <c r="O997" s="19"/>
      <c r="P997" s="19"/>
      <c r="Q997" s="19"/>
    </row>
    <row r="998" spans="6:17" ht="12.75">
      <c r="F998" s="724"/>
      <c r="G998" s="724"/>
      <c r="H998" s="47"/>
      <c r="I998" s="47"/>
      <c r="O998" s="19"/>
      <c r="P998" s="19"/>
      <c r="Q998" s="19"/>
    </row>
    <row r="999" spans="6:17" ht="12.75">
      <c r="F999" s="724"/>
      <c r="G999" s="724"/>
      <c r="H999" s="47"/>
      <c r="I999" s="47"/>
      <c r="O999" s="19"/>
      <c r="P999" s="19"/>
      <c r="Q999" s="19"/>
    </row>
    <row r="1000" spans="6:17" ht="12.75">
      <c r="F1000" s="724"/>
      <c r="G1000" s="724"/>
      <c r="H1000" s="47"/>
      <c r="I1000" s="47"/>
      <c r="O1000" s="19"/>
      <c r="P1000" s="19"/>
      <c r="Q1000" s="19"/>
    </row>
  </sheetData>
  <mergeCells count="2">
    <mergeCell ref="B6:B12"/>
    <mergeCell ref="B18:B19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963"/>
  <sheetViews>
    <sheetView workbookViewId="0">
      <pane ySplit="2" topLeftCell="A3" activePane="bottomLeft" state="frozen"/>
      <selection sqref="A1:M1"/>
      <selection pane="bottomLeft" sqref="A1:M2"/>
    </sheetView>
  </sheetViews>
  <sheetFormatPr defaultColWidth="12.5703125" defaultRowHeight="15.75" customHeight="1"/>
  <cols>
    <col min="1" max="1" width="4.7109375" customWidth="1"/>
    <col min="2" max="2" width="5.140625" customWidth="1"/>
    <col min="3" max="3" width="5.42578125" customWidth="1"/>
    <col min="4" max="4" width="41.5703125" customWidth="1"/>
    <col min="5" max="5" width="11.7109375" customWidth="1"/>
    <col min="6" max="7" width="16.85546875" customWidth="1"/>
    <col min="8" max="8" width="15.28515625" customWidth="1"/>
    <col min="9" max="9" width="21.28515625" customWidth="1"/>
    <col min="10" max="10" width="18.42578125" customWidth="1"/>
    <col min="11" max="11" width="56.85546875" customWidth="1"/>
    <col min="12" max="12" width="13.85546875" customWidth="1"/>
    <col min="13" max="13" width="16.42578125" customWidth="1"/>
  </cols>
  <sheetData>
    <row r="1" spans="1:16" ht="14.25">
      <c r="A1" s="768"/>
      <c r="B1" s="768"/>
      <c r="C1" s="768"/>
      <c r="D1" s="769"/>
      <c r="E1" s="932"/>
      <c r="F1" s="933"/>
      <c r="G1" s="867"/>
      <c r="H1" s="867"/>
      <c r="I1" s="868"/>
      <c r="J1" s="770"/>
      <c r="K1" s="771"/>
      <c r="L1" s="771"/>
      <c r="M1" s="771"/>
      <c r="N1" s="47"/>
      <c r="O1" s="47"/>
      <c r="P1" s="47"/>
    </row>
    <row r="2" spans="1:16" ht="70.5" customHeight="1">
      <c r="A2" s="772" t="s">
        <v>1</v>
      </c>
      <c r="B2" s="772" t="s">
        <v>2</v>
      </c>
      <c r="C2" s="772" t="s">
        <v>3</v>
      </c>
      <c r="D2" s="773" t="s">
        <v>4</v>
      </c>
      <c r="E2" s="862"/>
      <c r="F2" s="774" t="s">
        <v>545</v>
      </c>
      <c r="G2" s="775" t="s">
        <v>9</v>
      </c>
      <c r="H2" s="774" t="s">
        <v>13</v>
      </c>
      <c r="I2" s="727" t="s">
        <v>546</v>
      </c>
      <c r="J2" s="727" t="s">
        <v>547</v>
      </c>
      <c r="K2" s="776" t="s">
        <v>548</v>
      </c>
      <c r="L2" s="770" t="s">
        <v>549</v>
      </c>
      <c r="M2" s="777" t="s">
        <v>550</v>
      </c>
      <c r="N2" s="47"/>
      <c r="O2" s="47"/>
      <c r="P2" s="47"/>
    </row>
    <row r="3" spans="1:16" ht="15">
      <c r="A3" s="778">
        <v>1</v>
      </c>
      <c r="B3" s="778">
        <v>2</v>
      </c>
      <c r="C3" s="779">
        <v>3</v>
      </c>
      <c r="D3" s="778">
        <v>4</v>
      </c>
      <c r="E3" s="780">
        <v>5</v>
      </c>
      <c r="F3" s="778">
        <v>6</v>
      </c>
      <c r="G3" s="778">
        <v>7</v>
      </c>
      <c r="H3" s="780">
        <v>8</v>
      </c>
      <c r="I3" s="780">
        <v>9</v>
      </c>
      <c r="J3" s="780">
        <v>10</v>
      </c>
      <c r="K3" s="781">
        <v>11</v>
      </c>
      <c r="L3" s="780">
        <v>12</v>
      </c>
      <c r="M3" s="158">
        <v>13</v>
      </c>
      <c r="N3" s="47"/>
      <c r="O3" s="47"/>
      <c r="P3" s="47"/>
    </row>
    <row r="4" spans="1:16" ht="15">
      <c r="A4" s="36"/>
      <c r="B4" s="36"/>
      <c r="C4" s="36"/>
      <c r="D4" s="45" t="s">
        <v>14</v>
      </c>
      <c r="E4" s="782">
        <f>ЦА!E8</f>
        <v>4378631.5999999996</v>
      </c>
      <c r="F4" s="782">
        <f>ЦА!F8</f>
        <v>733720.19999999984</v>
      </c>
      <c r="G4" s="782">
        <f>ЦА!G8</f>
        <v>731296.58300999994</v>
      </c>
      <c r="H4" s="351">
        <f>ЦА!L8</f>
        <v>526002.81961000001</v>
      </c>
      <c r="I4" s="351">
        <f t="shared" ref="I4:I54" si="0">E4-G4</f>
        <v>3647335.0169899995</v>
      </c>
      <c r="J4" s="351">
        <f t="shared" ref="J4:J54" si="1">E4-H4</f>
        <v>3852628.7803899995</v>
      </c>
      <c r="K4" s="783"/>
      <c r="L4" s="351"/>
      <c r="M4" s="351"/>
      <c r="N4" s="47"/>
      <c r="O4" s="784"/>
      <c r="P4" s="47"/>
    </row>
    <row r="5" spans="1:16" ht="30">
      <c r="A5" s="785">
        <v>1</v>
      </c>
      <c r="B5" s="786"/>
      <c r="C5" s="786"/>
      <c r="D5" s="787" t="s">
        <v>15</v>
      </c>
      <c r="E5" s="788">
        <f>ЦА!E9</f>
        <v>2317201</v>
      </c>
      <c r="F5" s="788">
        <f>ЦА!F9</f>
        <v>732121.59999999986</v>
      </c>
      <c r="G5" s="788">
        <f>ЦА!G9</f>
        <v>729697.98300999997</v>
      </c>
      <c r="H5" s="789">
        <f>ЦА!L9</f>
        <v>525393.41960999998</v>
      </c>
      <c r="I5" s="789">
        <f t="shared" si="0"/>
        <v>1587503.0169899999</v>
      </c>
      <c r="J5" s="789">
        <f t="shared" si="1"/>
        <v>1791807.58039</v>
      </c>
      <c r="K5" s="790"/>
      <c r="L5" s="789"/>
      <c r="M5" s="789"/>
      <c r="N5" s="791"/>
      <c r="O5" s="791"/>
      <c r="P5" s="791"/>
    </row>
    <row r="6" spans="1:16" ht="45">
      <c r="A6" s="786"/>
      <c r="B6" s="792">
        <v>100</v>
      </c>
      <c r="C6" s="792"/>
      <c r="D6" s="787" t="s">
        <v>16</v>
      </c>
      <c r="E6" s="788">
        <f>ЦА!E10</f>
        <v>33577.799999999996</v>
      </c>
      <c r="F6" s="788">
        <f>ЦА!F10</f>
        <v>16182.6</v>
      </c>
      <c r="G6" s="788">
        <f>ЦА!G10</f>
        <v>16182.504000000001</v>
      </c>
      <c r="H6" s="789">
        <f>ЦА!L10</f>
        <v>14749.704000000002</v>
      </c>
      <c r="I6" s="789">
        <f t="shared" si="0"/>
        <v>17395.295999999995</v>
      </c>
      <c r="J6" s="789">
        <f t="shared" si="1"/>
        <v>18828.095999999994</v>
      </c>
      <c r="K6" s="790"/>
      <c r="L6" s="789"/>
      <c r="M6" s="789"/>
      <c r="N6" s="791"/>
      <c r="O6" s="791"/>
      <c r="P6" s="791"/>
    </row>
    <row r="7" spans="1:16" ht="32.25" customHeight="1">
      <c r="A7" s="934"/>
      <c r="B7" s="319"/>
      <c r="C7" s="319">
        <v>131</v>
      </c>
      <c r="D7" s="319" t="s">
        <v>17</v>
      </c>
      <c r="E7" s="793">
        <f>ЦА!E11</f>
        <v>22026.5</v>
      </c>
      <c r="F7" s="793">
        <f>ЦА!F11</f>
        <v>12702.5</v>
      </c>
      <c r="G7" s="793">
        <f>ЦА!G11</f>
        <v>12702.5</v>
      </c>
      <c r="H7" s="794">
        <f>ЦА!L11</f>
        <v>12702.5</v>
      </c>
      <c r="I7" s="794">
        <f t="shared" si="0"/>
        <v>9324</v>
      </c>
      <c r="J7" s="794">
        <f t="shared" si="1"/>
        <v>9324</v>
      </c>
      <c r="K7" s="795" t="s">
        <v>551</v>
      </c>
      <c r="L7" s="796"/>
      <c r="M7" s="794"/>
      <c r="N7" s="724"/>
      <c r="O7" s="724"/>
      <c r="P7" s="724"/>
    </row>
    <row r="8" spans="1:16" ht="15">
      <c r="A8" s="863"/>
      <c r="B8" s="36"/>
      <c r="C8" s="36">
        <v>135</v>
      </c>
      <c r="D8" s="36" t="s">
        <v>18</v>
      </c>
      <c r="E8" s="782">
        <f>ЦА!E12</f>
        <v>2873.1</v>
      </c>
      <c r="F8" s="782">
        <f>ЦА!F12</f>
        <v>1548.1</v>
      </c>
      <c r="G8" s="782">
        <f>ЦА!G12</f>
        <v>1548.1</v>
      </c>
      <c r="H8" s="351">
        <f>ЦА!L12</f>
        <v>1548.1</v>
      </c>
      <c r="I8" s="351">
        <f t="shared" si="0"/>
        <v>1325</v>
      </c>
      <c r="J8" s="351">
        <f t="shared" si="1"/>
        <v>1325</v>
      </c>
      <c r="K8" s="797" t="s">
        <v>552</v>
      </c>
      <c r="L8" s="798"/>
      <c r="M8" s="351"/>
      <c r="N8" s="47"/>
      <c r="O8" s="47"/>
      <c r="P8" s="47"/>
    </row>
    <row r="9" spans="1:16" ht="30">
      <c r="A9" s="863"/>
      <c r="B9" s="36"/>
      <c r="C9" s="36">
        <v>136</v>
      </c>
      <c r="D9" s="799" t="s">
        <v>19</v>
      </c>
      <c r="E9" s="782">
        <f>ЦА!E13</f>
        <v>0</v>
      </c>
      <c r="F9" s="782">
        <f>ЦА!F13</f>
        <v>0</v>
      </c>
      <c r="G9" s="782">
        <f>ЦА!G13</f>
        <v>0</v>
      </c>
      <c r="H9" s="351">
        <f>ЦА!L13</f>
        <v>0</v>
      </c>
      <c r="I9" s="351">
        <f t="shared" si="0"/>
        <v>0</v>
      </c>
      <c r="J9" s="351">
        <f t="shared" si="1"/>
        <v>0</v>
      </c>
      <c r="K9" s="783"/>
      <c r="L9" s="351"/>
      <c r="M9" s="351"/>
      <c r="N9" s="47"/>
      <c r="O9" s="47"/>
      <c r="P9" s="47"/>
    </row>
    <row r="10" spans="1:16" ht="30">
      <c r="A10" s="863"/>
      <c r="B10" s="36"/>
      <c r="C10" s="36">
        <v>157</v>
      </c>
      <c r="D10" s="799" t="s">
        <v>75</v>
      </c>
      <c r="E10" s="782">
        <f>ЦА!E14</f>
        <v>0</v>
      </c>
      <c r="F10" s="782">
        <f>ЦА!F14</f>
        <v>0</v>
      </c>
      <c r="G10" s="782">
        <f>ЦА!G14</f>
        <v>0</v>
      </c>
      <c r="H10" s="351">
        <f>ЦА!L14</f>
        <v>0</v>
      </c>
      <c r="I10" s="351">
        <f t="shared" si="0"/>
        <v>0</v>
      </c>
      <c r="J10" s="351">
        <f t="shared" si="1"/>
        <v>0</v>
      </c>
      <c r="K10" s="783"/>
      <c r="L10" s="351"/>
      <c r="M10" s="351"/>
      <c r="N10" s="47"/>
      <c r="O10" s="47"/>
      <c r="P10" s="47"/>
    </row>
    <row r="11" spans="1:16" ht="15">
      <c r="A11" s="862"/>
      <c r="B11" s="36"/>
      <c r="C11" s="46">
        <v>159</v>
      </c>
      <c r="D11" s="36"/>
      <c r="E11" s="782">
        <f>ЦА!E15</f>
        <v>8678</v>
      </c>
      <c r="F11" s="782">
        <f>ЦА!F15</f>
        <v>1931.8</v>
      </c>
      <c r="G11" s="782">
        <f>ЦА!G15</f>
        <v>1931.704</v>
      </c>
      <c r="H11" s="351">
        <f>ЦА!L15</f>
        <v>498.904</v>
      </c>
      <c r="I11" s="351">
        <f t="shared" si="0"/>
        <v>6746.2960000000003</v>
      </c>
      <c r="J11" s="351">
        <f t="shared" si="1"/>
        <v>8179.0959999999995</v>
      </c>
      <c r="K11" s="800" t="s">
        <v>553</v>
      </c>
      <c r="L11" s="798">
        <v>350</v>
      </c>
      <c r="M11" s="351"/>
      <c r="N11" s="47"/>
      <c r="O11" s="47"/>
      <c r="P11" s="47"/>
    </row>
    <row r="12" spans="1:16" ht="15">
      <c r="A12" s="36"/>
      <c r="B12" s="36"/>
      <c r="C12" s="36">
        <v>169</v>
      </c>
      <c r="D12" s="36" t="s">
        <v>22</v>
      </c>
      <c r="E12" s="782">
        <f>ЦА!E16</f>
        <v>0.2</v>
      </c>
      <c r="F12" s="782">
        <f>ЦА!F16</f>
        <v>0.2</v>
      </c>
      <c r="G12" s="782">
        <f>ЦА!G16</f>
        <v>0.2</v>
      </c>
      <c r="H12" s="351">
        <f>ЦА!L16</f>
        <v>0.2</v>
      </c>
      <c r="I12" s="351">
        <f t="shared" si="0"/>
        <v>0</v>
      </c>
      <c r="J12" s="351">
        <f t="shared" si="1"/>
        <v>0</v>
      </c>
      <c r="K12" s="800"/>
      <c r="L12" s="798"/>
      <c r="M12" s="351"/>
      <c r="N12" s="47"/>
      <c r="O12" s="47"/>
      <c r="P12" s="47"/>
    </row>
    <row r="13" spans="1:16" ht="15">
      <c r="A13" s="36"/>
      <c r="B13" s="36"/>
      <c r="C13" s="36">
        <v>322</v>
      </c>
      <c r="D13" s="36" t="s">
        <v>23</v>
      </c>
      <c r="E13" s="782">
        <f>ЦА!E17</f>
        <v>0</v>
      </c>
      <c r="F13" s="782">
        <f>ЦА!F17</f>
        <v>0</v>
      </c>
      <c r="G13" s="782">
        <f>ЦА!G17</f>
        <v>0</v>
      </c>
      <c r="H13" s="351">
        <f>ЦА!L17</f>
        <v>0</v>
      </c>
      <c r="I13" s="351">
        <f t="shared" si="0"/>
        <v>0</v>
      </c>
      <c r="J13" s="351">
        <f t="shared" si="1"/>
        <v>0</v>
      </c>
      <c r="K13" s="783"/>
      <c r="L13" s="351"/>
      <c r="M13" s="351"/>
      <c r="N13" s="47"/>
      <c r="O13" s="47"/>
      <c r="P13" s="47"/>
    </row>
    <row r="14" spans="1:16" ht="45">
      <c r="A14" s="36"/>
      <c r="B14" s="36"/>
      <c r="C14" s="779">
        <v>414</v>
      </c>
      <c r="D14" s="801" t="s">
        <v>24</v>
      </c>
      <c r="E14" s="782">
        <f>ЦА!E18</f>
        <v>0</v>
      </c>
      <c r="F14" s="782">
        <f>ЦА!F18</f>
        <v>0</v>
      </c>
      <c r="G14" s="782">
        <f>ЦА!G18</f>
        <v>0</v>
      </c>
      <c r="H14" s="351">
        <f>ЦА!L18</f>
        <v>0</v>
      </c>
      <c r="I14" s="351">
        <f t="shared" si="0"/>
        <v>0</v>
      </c>
      <c r="J14" s="351">
        <f t="shared" si="1"/>
        <v>0</v>
      </c>
      <c r="K14" s="783"/>
      <c r="L14" s="351"/>
      <c r="M14" s="351"/>
      <c r="N14" s="47"/>
      <c r="O14" s="47"/>
      <c r="P14" s="47"/>
    </row>
    <row r="15" spans="1:16" ht="57.75">
      <c r="A15" s="802"/>
      <c r="B15" s="803">
        <v>104</v>
      </c>
      <c r="C15" s="804"/>
      <c r="D15" s="805" t="s">
        <v>25</v>
      </c>
      <c r="E15" s="806">
        <f>ЦА!E19</f>
        <v>725359</v>
      </c>
      <c r="F15" s="806">
        <f>ЦА!F19</f>
        <v>261863.39999999997</v>
      </c>
      <c r="G15" s="806">
        <f>ЦА!G19</f>
        <v>259440.14600000001</v>
      </c>
      <c r="H15" s="807">
        <f>ЦА!L19</f>
        <v>71875.627999999997</v>
      </c>
      <c r="I15" s="807">
        <f t="shared" si="0"/>
        <v>465918.85399999999</v>
      </c>
      <c r="J15" s="807">
        <f t="shared" si="1"/>
        <v>653483.37199999997</v>
      </c>
      <c r="K15" s="808"/>
      <c r="L15" s="807"/>
      <c r="M15" s="807"/>
      <c r="N15" s="809"/>
      <c r="O15" s="809"/>
      <c r="P15" s="809"/>
    </row>
    <row r="16" spans="1:16" ht="36.75">
      <c r="A16" s="36"/>
      <c r="B16" s="36"/>
      <c r="C16" s="36">
        <v>149</v>
      </c>
      <c r="D16" s="36" t="s">
        <v>26</v>
      </c>
      <c r="E16" s="782">
        <f>ЦА!E20</f>
        <v>286391</v>
      </c>
      <c r="F16" s="782">
        <f>ЦА!F20</f>
        <v>1611.9</v>
      </c>
      <c r="G16" s="782">
        <f>ЦА!G20</f>
        <v>1611.8209999999999</v>
      </c>
      <c r="H16" s="351">
        <f>ЦА!L20</f>
        <v>1611.8209999999999</v>
      </c>
      <c r="I16" s="351">
        <f t="shared" si="0"/>
        <v>284779.179</v>
      </c>
      <c r="J16" s="351">
        <f t="shared" si="1"/>
        <v>284779.179</v>
      </c>
      <c r="K16" s="797" t="s">
        <v>554</v>
      </c>
      <c r="L16" s="810"/>
      <c r="M16" s="811"/>
      <c r="N16" s="47"/>
      <c r="O16" s="780"/>
      <c r="P16" s="47"/>
    </row>
    <row r="17" spans="1:16" ht="100.5" customHeight="1">
      <c r="A17" s="36"/>
      <c r="B17" s="36"/>
      <c r="C17" s="36">
        <v>152</v>
      </c>
      <c r="D17" s="36" t="s">
        <v>28</v>
      </c>
      <c r="E17" s="782">
        <f>ЦА!E21</f>
        <v>194738</v>
      </c>
      <c r="F17" s="782">
        <f>ЦА!F21</f>
        <v>133290.29999999999</v>
      </c>
      <c r="G17" s="782">
        <f>ЦА!G21</f>
        <v>130867.15</v>
      </c>
      <c r="H17" s="351">
        <f>ЦА!L21</f>
        <v>41191.207000000002</v>
      </c>
      <c r="I17" s="351">
        <f t="shared" si="0"/>
        <v>63870.850000000006</v>
      </c>
      <c r="J17" s="351">
        <f t="shared" si="1"/>
        <v>153546.79300000001</v>
      </c>
      <c r="K17" s="812" t="s">
        <v>555</v>
      </c>
      <c r="L17" s="810">
        <v>3700</v>
      </c>
      <c r="M17" s="811"/>
      <c r="N17" s="780"/>
      <c r="O17" s="47"/>
      <c r="P17" s="47"/>
    </row>
    <row r="18" spans="1:16" ht="36.75">
      <c r="A18" s="36"/>
      <c r="B18" s="36"/>
      <c r="C18" s="36">
        <v>159</v>
      </c>
      <c r="D18" s="36" t="s">
        <v>29</v>
      </c>
      <c r="E18" s="782">
        <f>ЦА!E22</f>
        <v>244230</v>
      </c>
      <c r="F18" s="782">
        <f>ЦА!F22</f>
        <v>126961.2</v>
      </c>
      <c r="G18" s="782">
        <f>ЦА!G22</f>
        <v>126961.175</v>
      </c>
      <c r="H18" s="351">
        <f>ЦА!L22</f>
        <v>29072.6</v>
      </c>
      <c r="I18" s="351">
        <f t="shared" si="0"/>
        <v>117268.825</v>
      </c>
      <c r="J18" s="351">
        <f t="shared" si="1"/>
        <v>215157.4</v>
      </c>
      <c r="K18" s="812" t="s">
        <v>556</v>
      </c>
      <c r="L18" s="798"/>
      <c r="M18" s="811"/>
      <c r="N18" s="47"/>
      <c r="O18" s="813">
        <f>J18+M18</f>
        <v>215157.4</v>
      </c>
      <c r="P18" s="47">
        <f>125.41674+1717.5+4113.74+8066.19287+146.1+6433.84067</f>
        <v>20602.790280000001</v>
      </c>
    </row>
    <row r="19" spans="1:16" ht="43.5">
      <c r="A19" s="802"/>
      <c r="B19" s="803">
        <v>111</v>
      </c>
      <c r="C19" s="802"/>
      <c r="D19" s="805" t="s">
        <v>30</v>
      </c>
      <c r="E19" s="806">
        <f>ЦА!E23</f>
        <v>775000</v>
      </c>
      <c r="F19" s="806">
        <f>ЦА!F23</f>
        <v>0</v>
      </c>
      <c r="G19" s="806">
        <f>ЦА!G23</f>
        <v>0</v>
      </c>
      <c r="H19" s="807">
        <f>ЦА!L23</f>
        <v>0</v>
      </c>
      <c r="I19" s="807">
        <f t="shared" si="0"/>
        <v>775000</v>
      </c>
      <c r="J19" s="807">
        <f t="shared" si="1"/>
        <v>775000</v>
      </c>
      <c r="K19" s="808"/>
      <c r="L19" s="807"/>
      <c r="M19" s="807"/>
      <c r="N19" s="809"/>
      <c r="O19" s="809"/>
      <c r="P19" s="809"/>
    </row>
    <row r="20" spans="1:16" ht="30">
      <c r="A20" s="36"/>
      <c r="B20" s="36"/>
      <c r="C20" s="36">
        <v>412</v>
      </c>
      <c r="D20" s="799" t="s">
        <v>31</v>
      </c>
      <c r="E20" s="782">
        <f>ЦА!E24</f>
        <v>0</v>
      </c>
      <c r="F20" s="782">
        <f>ЦА!F24</f>
        <v>0</v>
      </c>
      <c r="G20" s="782">
        <f>ЦА!G24</f>
        <v>0</v>
      </c>
      <c r="H20" s="351">
        <f>ЦА!L24</f>
        <v>0</v>
      </c>
      <c r="I20" s="351">
        <f t="shared" si="0"/>
        <v>0</v>
      </c>
      <c r="J20" s="351">
        <f t="shared" si="1"/>
        <v>0</v>
      </c>
      <c r="K20" s="783"/>
      <c r="L20" s="351"/>
      <c r="M20" s="811"/>
      <c r="N20" s="47"/>
      <c r="O20" s="47"/>
      <c r="P20" s="47"/>
    </row>
    <row r="21" spans="1:16" ht="36.75">
      <c r="A21" s="36"/>
      <c r="B21" s="36"/>
      <c r="C21" s="36">
        <v>413</v>
      </c>
      <c r="D21" s="36" t="s">
        <v>32</v>
      </c>
      <c r="E21" s="782">
        <f>ЦА!E25</f>
        <v>420000</v>
      </c>
      <c r="F21" s="782">
        <f>ЦА!F25</f>
        <v>0</v>
      </c>
      <c r="G21" s="782">
        <f>ЦА!G25</f>
        <v>0</v>
      </c>
      <c r="H21" s="351">
        <f>ЦА!L25</f>
        <v>0</v>
      </c>
      <c r="I21" s="351">
        <f t="shared" si="0"/>
        <v>420000</v>
      </c>
      <c r="J21" s="351">
        <f t="shared" si="1"/>
        <v>420000</v>
      </c>
      <c r="K21" s="797" t="s">
        <v>557</v>
      </c>
      <c r="L21" s="798"/>
      <c r="M21" s="811"/>
      <c r="N21" s="47"/>
      <c r="O21" s="47"/>
      <c r="P21" s="47"/>
    </row>
    <row r="22" spans="1:16" ht="69" customHeight="1">
      <c r="A22" s="36"/>
      <c r="B22" s="36"/>
      <c r="C22" s="36">
        <v>414</v>
      </c>
      <c r="D22" s="799" t="s">
        <v>24</v>
      </c>
      <c r="E22" s="782">
        <f>ЦА!E26</f>
        <v>355000</v>
      </c>
      <c r="F22" s="782">
        <f>ЦА!F26</f>
        <v>0</v>
      </c>
      <c r="G22" s="782">
        <f>ЦА!G26</f>
        <v>0</v>
      </c>
      <c r="H22" s="351">
        <f>ЦА!L26</f>
        <v>0</v>
      </c>
      <c r="I22" s="351">
        <f t="shared" si="0"/>
        <v>355000</v>
      </c>
      <c r="J22" s="351">
        <f t="shared" si="1"/>
        <v>355000</v>
      </c>
      <c r="K22" s="812" t="s">
        <v>558</v>
      </c>
      <c r="L22" s="798"/>
      <c r="M22" s="811"/>
      <c r="N22" s="780">
        <v>2334.66</v>
      </c>
      <c r="O22" s="47"/>
      <c r="P22" s="47"/>
    </row>
    <row r="23" spans="1:16" ht="15" hidden="1">
      <c r="A23" s="36"/>
      <c r="B23" s="36"/>
      <c r="C23" s="36">
        <v>416</v>
      </c>
      <c r="D23" s="36" t="s">
        <v>33</v>
      </c>
      <c r="E23" s="782">
        <f>ЦА!E27</f>
        <v>0</v>
      </c>
      <c r="F23" s="782">
        <f>ЦА!F27</f>
        <v>0</v>
      </c>
      <c r="G23" s="782">
        <f>ЦА!G27</f>
        <v>0</v>
      </c>
      <c r="H23" s="351">
        <f>ЦА!L27</f>
        <v>0</v>
      </c>
      <c r="I23" s="351">
        <f t="shared" si="0"/>
        <v>0</v>
      </c>
      <c r="J23" s="351">
        <f t="shared" si="1"/>
        <v>0</v>
      </c>
      <c r="K23" s="783"/>
      <c r="L23" s="351"/>
      <c r="M23" s="811"/>
      <c r="N23" s="47"/>
      <c r="O23" s="47"/>
      <c r="P23" s="47"/>
    </row>
    <row r="24" spans="1:16" ht="15" hidden="1">
      <c r="A24" s="36"/>
      <c r="B24" s="36"/>
      <c r="C24" s="36">
        <v>419</v>
      </c>
      <c r="D24" s="36" t="s">
        <v>34</v>
      </c>
      <c r="E24" s="782">
        <f>ЦА!E28</f>
        <v>0</v>
      </c>
      <c r="F24" s="782">
        <f>ЦА!F28</f>
        <v>0</v>
      </c>
      <c r="G24" s="782">
        <f>ЦА!G28</f>
        <v>0</v>
      </c>
      <c r="H24" s="351">
        <f>ЦА!L28</f>
        <v>0</v>
      </c>
      <c r="I24" s="351">
        <f t="shared" si="0"/>
        <v>0</v>
      </c>
      <c r="J24" s="351">
        <f t="shared" si="1"/>
        <v>0</v>
      </c>
      <c r="K24" s="783"/>
      <c r="L24" s="351"/>
      <c r="M24" s="811"/>
      <c r="N24" s="47"/>
      <c r="O24" s="47"/>
      <c r="P24" s="47"/>
    </row>
    <row r="25" spans="1:16" ht="34.5" hidden="1" customHeight="1">
      <c r="A25" s="36"/>
      <c r="B25" s="36"/>
      <c r="C25" s="36">
        <v>421</v>
      </c>
      <c r="D25" s="799" t="s">
        <v>35</v>
      </c>
      <c r="E25" s="782">
        <f>ЦА!E29</f>
        <v>0</v>
      </c>
      <c r="F25" s="782">
        <f>ЦА!F29</f>
        <v>0</v>
      </c>
      <c r="G25" s="782">
        <f>ЦА!G29</f>
        <v>0</v>
      </c>
      <c r="H25" s="351">
        <f>ЦА!L29</f>
        <v>0</v>
      </c>
      <c r="I25" s="351">
        <f t="shared" si="0"/>
        <v>0</v>
      </c>
      <c r="J25" s="351">
        <f t="shared" si="1"/>
        <v>0</v>
      </c>
      <c r="K25" s="783"/>
      <c r="L25" s="351"/>
      <c r="M25" s="811"/>
      <c r="N25" s="47"/>
      <c r="O25" s="47"/>
      <c r="P25" s="47"/>
    </row>
    <row r="26" spans="1:16" ht="15">
      <c r="A26" s="802"/>
      <c r="B26" s="803">
        <v>123</v>
      </c>
      <c r="C26" s="803"/>
      <c r="D26" s="814" t="s">
        <v>36</v>
      </c>
      <c r="E26" s="806">
        <f>ЦА!E30</f>
        <v>783264.2</v>
      </c>
      <c r="F26" s="806">
        <f>ЦА!F30</f>
        <v>454075.6</v>
      </c>
      <c r="G26" s="806">
        <f>ЦА!G30</f>
        <v>454075.33300999994</v>
      </c>
      <c r="H26" s="807">
        <f>ЦА!L30</f>
        <v>438768.08760999999</v>
      </c>
      <c r="I26" s="807">
        <f t="shared" si="0"/>
        <v>329188.86699000001</v>
      </c>
      <c r="J26" s="807">
        <f t="shared" si="1"/>
        <v>344496.11238999997</v>
      </c>
      <c r="K26" s="808"/>
      <c r="L26" s="807"/>
      <c r="M26" s="815"/>
      <c r="N26" s="809"/>
      <c r="O26" s="809"/>
      <c r="P26" s="809"/>
    </row>
    <row r="27" spans="1:16" ht="15">
      <c r="A27" s="861"/>
      <c r="B27" s="36"/>
      <c r="C27" s="36">
        <v>111</v>
      </c>
      <c r="D27" s="36" t="s">
        <v>37</v>
      </c>
      <c r="E27" s="782">
        <f>ЦА!E31</f>
        <v>418460.9</v>
      </c>
      <c r="F27" s="782">
        <f>ЦА!F31</f>
        <v>184905.5</v>
      </c>
      <c r="G27" s="782">
        <f>ЦА!G31</f>
        <v>184905.5</v>
      </c>
      <c r="H27" s="351">
        <f>ЦА!L31</f>
        <v>184905.5</v>
      </c>
      <c r="I27" s="351">
        <f t="shared" si="0"/>
        <v>233555.40000000002</v>
      </c>
      <c r="J27" s="351">
        <f t="shared" si="1"/>
        <v>233555.40000000002</v>
      </c>
      <c r="K27" s="800" t="s">
        <v>78</v>
      </c>
      <c r="L27" s="798"/>
      <c r="M27" s="811"/>
      <c r="N27" s="47"/>
      <c r="O27" s="47"/>
      <c r="P27" s="47"/>
    </row>
    <row r="28" spans="1:16" ht="15">
      <c r="A28" s="863"/>
      <c r="B28" s="36"/>
      <c r="C28" s="36">
        <v>112</v>
      </c>
      <c r="D28" s="36" t="s">
        <v>38</v>
      </c>
      <c r="E28" s="782">
        <f>ЦА!E32</f>
        <v>151820.9</v>
      </c>
      <c r="F28" s="782">
        <f>ЦА!F32</f>
        <v>151820.9</v>
      </c>
      <c r="G28" s="782">
        <f>ЦА!G32</f>
        <v>151820.9</v>
      </c>
      <c r="H28" s="351">
        <f>ЦА!L32</f>
        <v>151820.9</v>
      </c>
      <c r="I28" s="351">
        <f t="shared" si="0"/>
        <v>0</v>
      </c>
      <c r="J28" s="351">
        <f t="shared" si="1"/>
        <v>0</v>
      </c>
      <c r="K28" s="783"/>
      <c r="L28" s="798"/>
      <c r="M28" s="811"/>
      <c r="N28" s="47"/>
      <c r="O28" s="47">
        <f>L28*10/100</f>
        <v>0</v>
      </c>
      <c r="P28" s="47"/>
    </row>
    <row r="29" spans="1:16" ht="15">
      <c r="A29" s="863"/>
      <c r="B29" s="36"/>
      <c r="C29" s="36">
        <v>113</v>
      </c>
      <c r="D29" s="36" t="s">
        <v>39</v>
      </c>
      <c r="E29" s="782">
        <f>ЦА!E33</f>
        <v>74207</v>
      </c>
      <c r="F29" s="782">
        <f>ЦА!F33</f>
        <v>36819</v>
      </c>
      <c r="G29" s="816">
        <f>ЦА!G33</f>
        <v>36818.896999999997</v>
      </c>
      <c r="H29" s="351">
        <f>ЦА!L33</f>
        <v>36818.896999999997</v>
      </c>
      <c r="I29" s="351">
        <f t="shared" si="0"/>
        <v>37388.103000000003</v>
      </c>
      <c r="J29" s="351">
        <f t="shared" si="1"/>
        <v>37388.103000000003</v>
      </c>
      <c r="K29" s="800" t="s">
        <v>78</v>
      </c>
      <c r="L29" s="798"/>
      <c r="M29" s="811"/>
      <c r="N29" s="47"/>
      <c r="O29" s="47"/>
      <c r="P29" s="47"/>
    </row>
    <row r="30" spans="1:16" ht="15">
      <c r="A30" s="863"/>
      <c r="B30" s="36"/>
      <c r="C30" s="46">
        <v>116</v>
      </c>
      <c r="D30" s="35" t="s">
        <v>40</v>
      </c>
      <c r="E30" s="782">
        <f>ЦА!E34</f>
        <v>0</v>
      </c>
      <c r="F30" s="782">
        <f>ЦА!F34</f>
        <v>0</v>
      </c>
      <c r="G30" s="782">
        <f>ЦА!G34</f>
        <v>0</v>
      </c>
      <c r="H30" s="351">
        <f>ЦА!L34</f>
        <v>0</v>
      </c>
      <c r="I30" s="351">
        <f t="shared" si="0"/>
        <v>0</v>
      </c>
      <c r="J30" s="351">
        <f t="shared" si="1"/>
        <v>0</v>
      </c>
      <c r="K30" s="783"/>
      <c r="L30" s="798"/>
      <c r="M30" s="811"/>
      <c r="N30" s="47"/>
      <c r="O30" s="47"/>
      <c r="P30" s="47"/>
    </row>
    <row r="31" spans="1:16" ht="15">
      <c r="A31" s="863"/>
      <c r="B31" s="36"/>
      <c r="C31" s="36">
        <v>121</v>
      </c>
      <c r="D31" s="36" t="s">
        <v>41</v>
      </c>
      <c r="E31" s="782">
        <f>ЦА!E35</f>
        <v>33716.1</v>
      </c>
      <c r="F31" s="782">
        <f>ЦА!F35</f>
        <v>21128.1</v>
      </c>
      <c r="G31" s="782">
        <f>ЦА!G35</f>
        <v>21128.1</v>
      </c>
      <c r="H31" s="351">
        <f>ЦА!L35</f>
        <v>21128.1</v>
      </c>
      <c r="I31" s="351">
        <f t="shared" si="0"/>
        <v>12588</v>
      </c>
      <c r="J31" s="351">
        <f t="shared" si="1"/>
        <v>12588</v>
      </c>
      <c r="K31" s="800" t="s">
        <v>78</v>
      </c>
      <c r="L31" s="798"/>
      <c r="M31" s="811"/>
      <c r="N31" s="47"/>
      <c r="O31" s="47"/>
      <c r="P31" s="47"/>
    </row>
    <row r="32" spans="1:16" ht="15">
      <c r="A32" s="863"/>
      <c r="B32" s="36"/>
      <c r="C32" s="36">
        <v>122</v>
      </c>
      <c r="D32" s="36" t="s">
        <v>42</v>
      </c>
      <c r="E32" s="782">
        <f>ЦА!E36</f>
        <v>15250.7</v>
      </c>
      <c r="F32" s="782">
        <f>ЦА!F36</f>
        <v>7738.7</v>
      </c>
      <c r="G32" s="782">
        <f>ЦА!G36</f>
        <v>7738.7</v>
      </c>
      <c r="H32" s="351">
        <f>ЦА!L36</f>
        <v>7738.7</v>
      </c>
      <c r="I32" s="351">
        <f t="shared" si="0"/>
        <v>7512.0000000000009</v>
      </c>
      <c r="J32" s="351">
        <f t="shared" si="1"/>
        <v>7512.0000000000009</v>
      </c>
      <c r="K32" s="800" t="s">
        <v>78</v>
      </c>
      <c r="L32" s="798"/>
      <c r="M32" s="811"/>
      <c r="N32" s="47"/>
      <c r="O32" s="47"/>
      <c r="P32" s="47"/>
    </row>
    <row r="33" spans="1:16" ht="15" hidden="1">
      <c r="A33" s="863"/>
      <c r="B33" s="36"/>
      <c r="C33" s="36">
        <v>123</v>
      </c>
      <c r="D33" s="36" t="s">
        <v>43</v>
      </c>
      <c r="E33" s="782">
        <f>ЦА!E37</f>
        <v>0</v>
      </c>
      <c r="F33" s="782">
        <f>ЦА!F37</f>
        <v>0</v>
      </c>
      <c r="G33" s="782">
        <f>ЦА!G37</f>
        <v>0</v>
      </c>
      <c r="H33" s="351">
        <f>ЦА!L37</f>
        <v>0</v>
      </c>
      <c r="I33" s="351">
        <f t="shared" si="0"/>
        <v>0</v>
      </c>
      <c r="J33" s="351">
        <f t="shared" si="1"/>
        <v>0</v>
      </c>
      <c r="K33" s="783"/>
      <c r="L33" s="351"/>
      <c r="M33" s="811"/>
      <c r="N33" s="47"/>
      <c r="O33" s="47"/>
      <c r="P33" s="47"/>
    </row>
    <row r="34" spans="1:16" ht="30">
      <c r="A34" s="863"/>
      <c r="B34" s="36"/>
      <c r="C34" s="36">
        <v>124</v>
      </c>
      <c r="D34" s="799" t="s">
        <v>44</v>
      </c>
      <c r="E34" s="782">
        <f>ЦА!E38</f>
        <v>15459.6</v>
      </c>
      <c r="F34" s="782">
        <f>ЦА!F38</f>
        <v>8307.6</v>
      </c>
      <c r="G34" s="782">
        <f>ЦА!G38</f>
        <v>8307.6</v>
      </c>
      <c r="H34" s="351">
        <f>ЦА!L38</f>
        <v>8307.6</v>
      </c>
      <c r="I34" s="351">
        <f t="shared" si="0"/>
        <v>7152</v>
      </c>
      <c r="J34" s="351">
        <f t="shared" si="1"/>
        <v>7152</v>
      </c>
      <c r="K34" s="800" t="s">
        <v>559</v>
      </c>
      <c r="L34" s="798"/>
      <c r="M34" s="811"/>
      <c r="N34" s="47"/>
      <c r="O34" s="47"/>
      <c r="P34" s="47"/>
    </row>
    <row r="35" spans="1:16" ht="30" hidden="1">
      <c r="A35" s="863"/>
      <c r="B35" s="36"/>
      <c r="C35" s="36">
        <v>142</v>
      </c>
      <c r="D35" s="799" t="s">
        <v>45</v>
      </c>
      <c r="E35" s="782">
        <f>ЦА!E39</f>
        <v>0</v>
      </c>
      <c r="F35" s="782">
        <f>ЦА!F39</f>
        <v>0</v>
      </c>
      <c r="G35" s="782">
        <f>ЦА!G39</f>
        <v>0</v>
      </c>
      <c r="H35" s="351">
        <f>ЦА!L39</f>
        <v>0</v>
      </c>
      <c r="I35" s="351">
        <f t="shared" si="0"/>
        <v>0</v>
      </c>
      <c r="J35" s="351">
        <f t="shared" si="1"/>
        <v>0</v>
      </c>
      <c r="K35" s="783"/>
      <c r="L35" s="351"/>
      <c r="M35" s="811"/>
      <c r="N35" s="47"/>
      <c r="O35" s="47"/>
      <c r="P35" s="47"/>
    </row>
    <row r="36" spans="1:16" ht="30" hidden="1">
      <c r="A36" s="863"/>
      <c r="B36" s="36"/>
      <c r="C36" s="36">
        <v>144</v>
      </c>
      <c r="D36" s="799" t="s">
        <v>46</v>
      </c>
      <c r="E36" s="782">
        <f>ЦА!E41</f>
        <v>0</v>
      </c>
      <c r="F36" s="782">
        <f>ЦА!F41</f>
        <v>0</v>
      </c>
      <c r="G36" s="782">
        <f>ЦА!G41</f>
        <v>0</v>
      </c>
      <c r="H36" s="351">
        <f>ЦА!L41</f>
        <v>0</v>
      </c>
      <c r="I36" s="351">
        <f t="shared" si="0"/>
        <v>0</v>
      </c>
      <c r="J36" s="351">
        <f t="shared" si="1"/>
        <v>0</v>
      </c>
      <c r="K36" s="783"/>
      <c r="L36" s="351"/>
      <c r="M36" s="811"/>
      <c r="N36" s="47"/>
      <c r="O36" s="47"/>
      <c r="P36" s="47"/>
    </row>
    <row r="37" spans="1:16" ht="36.75">
      <c r="A37" s="863"/>
      <c r="B37" s="36"/>
      <c r="C37" s="36">
        <v>149</v>
      </c>
      <c r="D37" s="36" t="s">
        <v>26</v>
      </c>
      <c r="E37" s="782">
        <f>ЦА!E42</f>
        <v>7718</v>
      </c>
      <c r="F37" s="782">
        <f>ЦА!F42</f>
        <v>5746.9</v>
      </c>
      <c r="G37" s="782">
        <f>ЦА!G42</f>
        <v>5746.8379999999997</v>
      </c>
      <c r="H37" s="351">
        <f>ЦА!L42</f>
        <v>5746.8379999999997</v>
      </c>
      <c r="I37" s="351">
        <f t="shared" si="0"/>
        <v>1971.1620000000003</v>
      </c>
      <c r="J37" s="351">
        <f t="shared" si="1"/>
        <v>1971.1620000000003</v>
      </c>
      <c r="K37" s="797" t="s">
        <v>560</v>
      </c>
      <c r="L37" s="798"/>
      <c r="M37" s="811"/>
      <c r="N37" s="47"/>
      <c r="O37" s="47"/>
      <c r="P37" s="47"/>
    </row>
    <row r="38" spans="1:16" ht="15" hidden="1">
      <c r="A38" s="863"/>
      <c r="B38" s="36"/>
      <c r="C38" s="36">
        <v>151</v>
      </c>
      <c r="D38" s="36" t="s">
        <v>47</v>
      </c>
      <c r="E38" s="782">
        <f>ЦА!E43</f>
        <v>0</v>
      </c>
      <c r="F38" s="782">
        <f>ЦА!F43</f>
        <v>0</v>
      </c>
      <c r="G38" s="782">
        <f>ЦА!G43</f>
        <v>0</v>
      </c>
      <c r="H38" s="351">
        <f>ЦА!L43</f>
        <v>0</v>
      </c>
      <c r="I38" s="351">
        <f t="shared" si="0"/>
        <v>0</v>
      </c>
      <c r="J38" s="351">
        <f t="shared" si="1"/>
        <v>0</v>
      </c>
      <c r="K38" s="783"/>
      <c r="L38" s="351"/>
      <c r="M38" s="811"/>
      <c r="N38" s="47"/>
      <c r="O38" s="47"/>
      <c r="P38" s="47"/>
    </row>
    <row r="39" spans="1:16" ht="24.75">
      <c r="A39" s="863"/>
      <c r="B39" s="36"/>
      <c r="C39" s="36">
        <v>152</v>
      </c>
      <c r="D39" s="36" t="s">
        <v>28</v>
      </c>
      <c r="E39" s="782">
        <f>ЦА!E44</f>
        <v>9202</v>
      </c>
      <c r="F39" s="782">
        <f>ЦА!F44</f>
        <v>2823.8</v>
      </c>
      <c r="G39" s="782">
        <f>ЦА!G44</f>
        <v>2823.75801</v>
      </c>
      <c r="H39" s="351">
        <f>ЦА!L44</f>
        <v>600.35261000000003</v>
      </c>
      <c r="I39" s="351">
        <f t="shared" si="0"/>
        <v>6378.2419900000004</v>
      </c>
      <c r="J39" s="351">
        <f t="shared" si="1"/>
        <v>8601.6473900000001</v>
      </c>
      <c r="K39" s="797" t="s">
        <v>561</v>
      </c>
      <c r="L39" s="351"/>
      <c r="M39" s="817"/>
      <c r="N39" s="813">
        <f>J39+M39</f>
        <v>8601.6473900000001</v>
      </c>
      <c r="O39" s="780">
        <v>139.76241999999999</v>
      </c>
      <c r="P39" s="818">
        <f>O39-N39</f>
        <v>-8461.884970000001</v>
      </c>
    </row>
    <row r="40" spans="1:16" ht="15">
      <c r="A40" s="863"/>
      <c r="B40" s="36"/>
      <c r="C40" s="36">
        <v>153</v>
      </c>
      <c r="D40" s="36" t="s">
        <v>48</v>
      </c>
      <c r="E40" s="782">
        <f>ЦА!E45</f>
        <v>7553</v>
      </c>
      <c r="F40" s="782">
        <f>ЦА!F45</f>
        <v>7551.1</v>
      </c>
      <c r="G40" s="782">
        <f>ЦА!G45</f>
        <v>7551.04</v>
      </c>
      <c r="H40" s="159">
        <f>ЦА!L45</f>
        <v>3150</v>
      </c>
      <c r="I40" s="351">
        <f t="shared" si="0"/>
        <v>1.9600000000000364</v>
      </c>
      <c r="J40" s="351">
        <f t="shared" si="1"/>
        <v>4403</v>
      </c>
      <c r="K40" s="797" t="s">
        <v>85</v>
      </c>
      <c r="L40" s="798"/>
      <c r="M40" s="819"/>
      <c r="N40" s="47"/>
      <c r="O40" s="813">
        <f t="shared" ref="O40:O41" si="2">J40+M40</f>
        <v>4403</v>
      </c>
      <c r="P40" s="780">
        <v>600</v>
      </c>
    </row>
    <row r="41" spans="1:16" ht="36.75">
      <c r="A41" s="863"/>
      <c r="B41" s="36"/>
      <c r="C41" s="36">
        <v>159</v>
      </c>
      <c r="D41" s="36" t="s">
        <v>21</v>
      </c>
      <c r="E41" s="782">
        <f>ЦА!E47</f>
        <v>18974</v>
      </c>
      <c r="F41" s="782">
        <f>ЦА!F47</f>
        <v>18974</v>
      </c>
      <c r="G41" s="782">
        <f>ЦА!G47</f>
        <v>18974</v>
      </c>
      <c r="H41" s="351">
        <f>ЦА!L47</f>
        <v>10291.200000000001</v>
      </c>
      <c r="I41" s="351">
        <f t="shared" si="0"/>
        <v>0</v>
      </c>
      <c r="J41" s="351">
        <f t="shared" si="1"/>
        <v>8682.7999999999993</v>
      </c>
      <c r="K41" s="797" t="s">
        <v>562</v>
      </c>
      <c r="L41" s="798"/>
      <c r="M41" s="819"/>
      <c r="N41" s="47"/>
      <c r="O41" s="813">
        <f t="shared" si="2"/>
        <v>8682.7999999999993</v>
      </c>
      <c r="P41" s="47">
        <f>868.695+57.76601+2.35+1998+1581.2</f>
        <v>4508.0110100000002</v>
      </c>
    </row>
    <row r="42" spans="1:16" ht="15">
      <c r="A42" s="862"/>
      <c r="B42" s="36"/>
      <c r="C42" s="36">
        <v>161</v>
      </c>
      <c r="D42" s="36" t="s">
        <v>50</v>
      </c>
      <c r="E42" s="782">
        <f>ЦА!E48</f>
        <v>30902</v>
      </c>
      <c r="F42" s="782">
        <f>ЦА!F48</f>
        <v>8260</v>
      </c>
      <c r="G42" s="782">
        <f>ЦА!G48</f>
        <v>8260</v>
      </c>
      <c r="H42" s="351">
        <f>ЦА!L48</f>
        <v>8260</v>
      </c>
      <c r="I42" s="351">
        <f t="shared" si="0"/>
        <v>22642</v>
      </c>
      <c r="J42" s="351">
        <f t="shared" si="1"/>
        <v>22642</v>
      </c>
      <c r="K42" s="800" t="s">
        <v>563</v>
      </c>
      <c r="L42" s="798"/>
      <c r="M42" s="811"/>
      <c r="N42" s="47"/>
      <c r="O42" s="47"/>
      <c r="P42" s="47"/>
    </row>
    <row r="43" spans="1:16" ht="30" hidden="1">
      <c r="A43" s="36"/>
      <c r="B43" s="36"/>
      <c r="C43" s="36">
        <v>165</v>
      </c>
      <c r="D43" s="799" t="s">
        <v>20</v>
      </c>
      <c r="E43" s="782">
        <f>ЦА!E49</f>
        <v>0</v>
      </c>
      <c r="F43" s="782">
        <f>ЦА!F49</f>
        <v>0</v>
      </c>
      <c r="G43" s="782">
        <f>ЦА!G49</f>
        <v>0</v>
      </c>
      <c r="H43" s="351">
        <f>ЦА!L49</f>
        <v>0</v>
      </c>
      <c r="I43" s="351">
        <f t="shared" si="0"/>
        <v>0</v>
      </c>
      <c r="J43" s="351">
        <f t="shared" si="1"/>
        <v>0</v>
      </c>
      <c r="K43" s="783"/>
      <c r="L43" s="351"/>
      <c r="M43" s="811"/>
      <c r="N43" s="47"/>
      <c r="O43" s="47"/>
      <c r="P43" s="47"/>
    </row>
    <row r="44" spans="1:16" ht="15" hidden="1">
      <c r="A44" s="36"/>
      <c r="B44" s="36"/>
      <c r="C44" s="36">
        <v>169</v>
      </c>
      <c r="D44" s="36" t="s">
        <v>22</v>
      </c>
      <c r="E44" s="782">
        <f>ЦА!E50</f>
        <v>0</v>
      </c>
      <c r="F44" s="782">
        <f>ЦА!F50</f>
        <v>0</v>
      </c>
      <c r="G44" s="782">
        <f>ЦА!G50</f>
        <v>0</v>
      </c>
      <c r="H44" s="351">
        <f>ЦА!L50</f>
        <v>0</v>
      </c>
      <c r="I44" s="351">
        <f t="shared" si="0"/>
        <v>0</v>
      </c>
      <c r="J44" s="351">
        <f t="shared" si="1"/>
        <v>0</v>
      </c>
      <c r="K44" s="783"/>
      <c r="L44" s="351"/>
      <c r="M44" s="811"/>
      <c r="N44" s="47"/>
      <c r="O44" s="47"/>
      <c r="P44" s="47"/>
    </row>
    <row r="45" spans="1:16" ht="15" hidden="1">
      <c r="A45" s="36"/>
      <c r="B45" s="36"/>
      <c r="C45" s="36">
        <v>322</v>
      </c>
      <c r="D45" s="36" t="s">
        <v>23</v>
      </c>
      <c r="E45" s="782">
        <f>ЦА!E51</f>
        <v>0</v>
      </c>
      <c r="F45" s="782">
        <f>ЦА!F51</f>
        <v>0</v>
      </c>
      <c r="G45" s="782">
        <f>ЦА!G51</f>
        <v>0</v>
      </c>
      <c r="H45" s="351">
        <f>ЦА!L51</f>
        <v>0</v>
      </c>
      <c r="I45" s="351">
        <f t="shared" si="0"/>
        <v>0</v>
      </c>
      <c r="J45" s="351">
        <f t="shared" si="1"/>
        <v>0</v>
      </c>
      <c r="K45" s="783"/>
      <c r="L45" s="351"/>
      <c r="M45" s="811"/>
      <c r="N45" s="47"/>
      <c r="O45" s="47"/>
      <c r="P45" s="47"/>
    </row>
    <row r="46" spans="1:16" ht="45" hidden="1">
      <c r="A46" s="36"/>
      <c r="B46" s="36"/>
      <c r="C46" s="36">
        <v>414</v>
      </c>
      <c r="D46" s="799" t="s">
        <v>24</v>
      </c>
      <c r="E46" s="782">
        <f>ЦА!E52</f>
        <v>0</v>
      </c>
      <c r="F46" s="782">
        <f>ЦА!F52</f>
        <v>0</v>
      </c>
      <c r="G46" s="782">
        <f>ЦА!G52</f>
        <v>0</v>
      </c>
      <c r="H46" s="351">
        <f>ЦА!L52</f>
        <v>0</v>
      </c>
      <c r="I46" s="351">
        <f t="shared" si="0"/>
        <v>0</v>
      </c>
      <c r="J46" s="351">
        <f t="shared" si="1"/>
        <v>0</v>
      </c>
      <c r="K46" s="783"/>
      <c r="L46" s="351"/>
      <c r="M46" s="811"/>
      <c r="N46" s="47"/>
      <c r="O46" s="47"/>
      <c r="P46" s="47"/>
    </row>
    <row r="47" spans="1:16" ht="15" customHeight="1">
      <c r="A47" s="804">
        <v>70</v>
      </c>
      <c r="B47" s="802"/>
      <c r="C47" s="802"/>
      <c r="D47" s="820" t="s">
        <v>51</v>
      </c>
      <c r="E47" s="806">
        <f>ЦА!E53</f>
        <v>2060194</v>
      </c>
      <c r="F47" s="806">
        <f>ЦА!F53</f>
        <v>362</v>
      </c>
      <c r="G47" s="806">
        <f>ЦА!G53</f>
        <v>362</v>
      </c>
      <c r="H47" s="807">
        <f>ЦА!L53</f>
        <v>362</v>
      </c>
      <c r="I47" s="807">
        <f t="shared" si="0"/>
        <v>2059832</v>
      </c>
      <c r="J47" s="807">
        <f t="shared" si="1"/>
        <v>2059832</v>
      </c>
      <c r="K47" s="808"/>
      <c r="L47" s="807"/>
      <c r="M47" s="807"/>
      <c r="N47" s="809"/>
      <c r="O47" s="809"/>
      <c r="P47" s="809"/>
    </row>
    <row r="48" spans="1:16" ht="45">
      <c r="A48" s="36"/>
      <c r="B48" s="778">
        <v>100</v>
      </c>
      <c r="C48" s="36"/>
      <c r="D48" s="799" t="s">
        <v>52</v>
      </c>
      <c r="E48" s="782">
        <f>ЦА!E54</f>
        <v>906371</v>
      </c>
      <c r="F48" s="782">
        <f>ЦА!F54</f>
        <v>362</v>
      </c>
      <c r="G48" s="782">
        <f>ЦА!G54</f>
        <v>362</v>
      </c>
      <c r="H48" s="351">
        <f>ЦА!L54</f>
        <v>362</v>
      </c>
      <c r="I48" s="351">
        <f t="shared" si="0"/>
        <v>906009</v>
      </c>
      <c r="J48" s="351">
        <f t="shared" si="1"/>
        <v>906009</v>
      </c>
      <c r="K48" s="783"/>
      <c r="L48" s="351"/>
      <c r="M48" s="811"/>
      <c r="N48" s="47"/>
      <c r="O48" s="47"/>
      <c r="P48" s="47"/>
    </row>
    <row r="49" spans="1:16" ht="60" customHeight="1">
      <c r="A49" s="861"/>
      <c r="B49" s="36"/>
      <c r="C49" s="36">
        <v>159</v>
      </c>
      <c r="D49" s="36" t="s">
        <v>21</v>
      </c>
      <c r="E49" s="782">
        <f>ЦА!E55</f>
        <v>872659</v>
      </c>
      <c r="F49" s="782">
        <f>ЦА!F55</f>
        <v>0</v>
      </c>
      <c r="G49" s="782">
        <f>ЦА!G55</f>
        <v>0</v>
      </c>
      <c r="H49" s="351">
        <f>ЦА!L55</f>
        <v>0</v>
      </c>
      <c r="I49" s="351">
        <f t="shared" si="0"/>
        <v>872659</v>
      </c>
      <c r="J49" s="351">
        <f t="shared" si="1"/>
        <v>872659</v>
      </c>
      <c r="K49" s="797" t="s">
        <v>564</v>
      </c>
      <c r="L49" s="798"/>
      <c r="M49" s="811"/>
      <c r="N49" s="47"/>
      <c r="O49" s="47"/>
      <c r="P49" s="47"/>
    </row>
    <row r="50" spans="1:16" ht="15">
      <c r="A50" s="862"/>
      <c r="B50" s="36"/>
      <c r="C50" s="36">
        <v>161</v>
      </c>
      <c r="D50" s="36" t="s">
        <v>50</v>
      </c>
      <c r="E50" s="782">
        <f>ЦА!E56</f>
        <v>33712</v>
      </c>
      <c r="F50" s="782">
        <f>ЦА!F56</f>
        <v>362</v>
      </c>
      <c r="G50" s="782">
        <f>ЦА!G56</f>
        <v>362</v>
      </c>
      <c r="H50" s="351">
        <f>ЦА!L56</f>
        <v>362</v>
      </c>
      <c r="I50" s="351">
        <f t="shared" si="0"/>
        <v>33350</v>
      </c>
      <c r="J50" s="351">
        <f t="shared" si="1"/>
        <v>33350</v>
      </c>
      <c r="K50" s="797" t="s">
        <v>565</v>
      </c>
      <c r="L50" s="798"/>
      <c r="M50" s="811"/>
      <c r="N50" s="47"/>
      <c r="O50" s="47"/>
      <c r="P50" s="47"/>
    </row>
    <row r="51" spans="1:16" ht="75">
      <c r="A51" s="36"/>
      <c r="B51" s="778">
        <v>112</v>
      </c>
      <c r="C51" s="36"/>
      <c r="D51" s="799" t="s">
        <v>53</v>
      </c>
      <c r="E51" s="782">
        <f>ЦА!E57</f>
        <v>1153823</v>
      </c>
      <c r="F51" s="782">
        <f>ЦА!F57</f>
        <v>0</v>
      </c>
      <c r="G51" s="782">
        <f>ЦА!G57</f>
        <v>0</v>
      </c>
      <c r="H51" s="351">
        <f>ЦА!L57</f>
        <v>0</v>
      </c>
      <c r="I51" s="351">
        <f t="shared" si="0"/>
        <v>1153823</v>
      </c>
      <c r="J51" s="351">
        <f t="shared" si="1"/>
        <v>1153823</v>
      </c>
      <c r="K51" s="783"/>
      <c r="L51" s="798"/>
      <c r="M51" s="811"/>
      <c r="N51" s="47"/>
      <c r="O51" s="47"/>
      <c r="P51" s="47"/>
    </row>
    <row r="52" spans="1:16" ht="64.5">
      <c r="A52" s="36"/>
      <c r="B52" s="36"/>
      <c r="C52" s="36">
        <v>418</v>
      </c>
      <c r="D52" s="799" t="s">
        <v>54</v>
      </c>
      <c r="E52" s="782">
        <f>ЦА!E58</f>
        <v>967869</v>
      </c>
      <c r="F52" s="782">
        <f>ЦА!F58</f>
        <v>0</v>
      </c>
      <c r="G52" s="782">
        <f>ЦА!G58</f>
        <v>0</v>
      </c>
      <c r="H52" s="351">
        <f>ЦА!L58</f>
        <v>0</v>
      </c>
      <c r="I52" s="351">
        <f t="shared" si="0"/>
        <v>967869</v>
      </c>
      <c r="J52" s="351">
        <f t="shared" si="1"/>
        <v>967869</v>
      </c>
      <c r="K52" s="821" t="s">
        <v>566</v>
      </c>
      <c r="L52" s="798"/>
      <c r="M52" s="811"/>
      <c r="N52" s="47"/>
      <c r="O52" s="47"/>
      <c r="P52" s="47"/>
    </row>
    <row r="53" spans="1:16" ht="43.5">
      <c r="A53" s="803">
        <v>138</v>
      </c>
      <c r="B53" s="822">
        <v>138</v>
      </c>
      <c r="C53" s="802"/>
      <c r="D53" s="805" t="s">
        <v>55</v>
      </c>
      <c r="E53" s="806">
        <f>ЦА!E60</f>
        <v>1236.5999999999999</v>
      </c>
      <c r="F53" s="806">
        <f>ЦА!F60</f>
        <v>1236.5999999999999</v>
      </c>
      <c r="G53" s="806">
        <f>ЦА!G60</f>
        <v>1236.5999999999999</v>
      </c>
      <c r="H53" s="807">
        <f>ЦА!L60</f>
        <v>247.4</v>
      </c>
      <c r="I53" s="807">
        <f t="shared" si="0"/>
        <v>0</v>
      </c>
      <c r="J53" s="807">
        <f t="shared" si="1"/>
        <v>989.19999999999993</v>
      </c>
      <c r="K53" s="823"/>
      <c r="L53" s="807"/>
      <c r="M53" s="807"/>
      <c r="N53" s="809"/>
      <c r="O53" s="809"/>
      <c r="P53" s="809"/>
    </row>
    <row r="54" spans="1:16" ht="15">
      <c r="A54" s="36"/>
      <c r="B54" s="36"/>
      <c r="C54" s="36">
        <v>159</v>
      </c>
      <c r="D54" s="36" t="s">
        <v>29</v>
      </c>
      <c r="E54" s="782">
        <f>ЦА!E61</f>
        <v>1236.5999999999999</v>
      </c>
      <c r="F54" s="782">
        <f>ЦА!F61</f>
        <v>1236.5999999999999</v>
      </c>
      <c r="G54" s="782">
        <f>ЦА!G61</f>
        <v>1236.5999999999999</v>
      </c>
      <c r="H54" s="351">
        <f>ЦА!L61</f>
        <v>247.4</v>
      </c>
      <c r="I54" s="351">
        <f t="shared" si="0"/>
        <v>0</v>
      </c>
      <c r="J54" s="351">
        <f t="shared" si="1"/>
        <v>989.19999999999993</v>
      </c>
      <c r="K54" s="158" t="s">
        <v>567</v>
      </c>
      <c r="L54" s="351"/>
      <c r="M54" s="351"/>
      <c r="N54" s="47"/>
      <c r="O54" s="47"/>
      <c r="P54" s="47"/>
    </row>
    <row r="55" spans="1:16" ht="12.7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</row>
    <row r="56" spans="1:16" ht="12.75">
      <c r="A56" s="47"/>
      <c r="B56" s="47"/>
      <c r="C56" s="47"/>
      <c r="D56" s="47"/>
      <c r="E56" s="47"/>
      <c r="F56" s="780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16" ht="12.75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16" ht="12.75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</row>
    <row r="59" spans="1:16" ht="12.75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</row>
    <row r="60" spans="1:16" ht="12.75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</row>
    <row r="61" spans="1:16" ht="12.75">
      <c r="A61" s="47"/>
      <c r="B61" s="47"/>
      <c r="C61" s="47"/>
      <c r="D61" s="47"/>
      <c r="E61" s="47"/>
      <c r="F61" s="780"/>
      <c r="G61" s="47"/>
      <c r="H61" s="47"/>
      <c r="I61" s="47"/>
      <c r="J61" s="47"/>
      <c r="K61" s="47"/>
      <c r="L61" s="47"/>
      <c r="M61" s="47"/>
      <c r="N61" s="47"/>
      <c r="O61" s="47"/>
      <c r="P61" s="47"/>
    </row>
    <row r="62" spans="1:16" ht="12.75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</row>
    <row r="63" spans="1:16" ht="12.75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</row>
    <row r="64" spans="1:16" ht="12.75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</row>
    <row r="65" spans="1:16" ht="12.75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</row>
    <row r="66" spans="1:16" ht="12.75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</row>
    <row r="67" spans="1:16" ht="12.75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</row>
    <row r="68" spans="1:16" ht="12.75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</row>
    <row r="69" spans="1:16" ht="12.75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</row>
    <row r="70" spans="1:16" ht="12.75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</row>
    <row r="71" spans="1:16" ht="12.75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</row>
    <row r="72" spans="1:16" ht="12.7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</row>
    <row r="73" spans="1:16" ht="12.75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</row>
    <row r="74" spans="1:16" ht="12.75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</row>
    <row r="75" spans="1:16" ht="12.75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</row>
    <row r="76" spans="1:16" ht="12.75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</row>
    <row r="77" spans="1:16" ht="12.75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</row>
    <row r="78" spans="1:16" ht="12.75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</row>
    <row r="79" spans="1:16" ht="12.75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</row>
    <row r="80" spans="1:16" ht="12.75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</row>
    <row r="81" spans="1:16" ht="12.75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</row>
    <row r="82" spans="1:16" ht="12.75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</row>
    <row r="83" spans="1:16" ht="12.75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</row>
    <row r="84" spans="1:16" ht="12.7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</row>
    <row r="85" spans="1:16" ht="12.75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</row>
    <row r="86" spans="1:16" ht="12.75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</row>
    <row r="87" spans="1:16" ht="12.75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</row>
    <row r="88" spans="1:16" ht="12.75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</row>
    <row r="89" spans="1:16" ht="12.75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</row>
    <row r="90" spans="1:16" ht="12.75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</row>
    <row r="91" spans="1:16" ht="12.75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</row>
    <row r="92" spans="1:16" ht="12.75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</row>
    <row r="93" spans="1:16" ht="12.75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</row>
    <row r="94" spans="1:16" ht="12.75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</row>
    <row r="95" spans="1:16" ht="12.75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</row>
    <row r="96" spans="1:16" ht="12.75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</row>
    <row r="97" spans="1:16" ht="12.75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</row>
    <row r="98" spans="1:16" ht="12.75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</row>
    <row r="99" spans="1:16" ht="12.75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</row>
    <row r="100" spans="1:16" ht="12.75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</row>
    <row r="101" spans="1:16" ht="12.75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</row>
    <row r="102" spans="1:16" ht="12.75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</row>
    <row r="103" spans="1:16" ht="12.75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</row>
    <row r="104" spans="1:16" ht="12.75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</row>
    <row r="105" spans="1:16" ht="12.75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</row>
    <row r="106" spans="1:16" ht="12.75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</row>
    <row r="107" spans="1:16" ht="12.75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</row>
    <row r="108" spans="1:16" ht="12.75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</row>
    <row r="109" spans="1:16" ht="12.75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</row>
    <row r="110" spans="1:16" ht="12.75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</row>
    <row r="111" spans="1:16" ht="12.75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</row>
    <row r="112" spans="1:16" ht="12.75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</row>
    <row r="113" spans="1:16" ht="12.75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</row>
    <row r="114" spans="1:16" ht="12.75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</row>
    <row r="115" spans="1:16" ht="12.75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</row>
    <row r="116" spans="1:16" ht="12.75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</row>
    <row r="117" spans="1:16" ht="12.75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</row>
    <row r="118" spans="1:16" ht="12.75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</row>
    <row r="119" spans="1:16" ht="12.75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</row>
    <row r="120" spans="1:16" ht="12.75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</row>
    <row r="121" spans="1:16" ht="12.75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</row>
    <row r="122" spans="1:16" ht="12.75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</row>
    <row r="123" spans="1:16" ht="12.75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</row>
    <row r="124" spans="1:16" ht="12.75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</row>
    <row r="125" spans="1:16" ht="12.75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</row>
    <row r="126" spans="1:16" ht="12.75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</row>
    <row r="127" spans="1:16" ht="12.75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</row>
    <row r="128" spans="1:16" ht="12.75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</row>
    <row r="129" spans="1:16" ht="12.75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</row>
    <row r="130" spans="1:16" ht="12.75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</row>
    <row r="131" spans="1:16" ht="12.75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</row>
    <row r="132" spans="1:16" ht="12.75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</row>
    <row r="133" spans="1:16" ht="12.75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</row>
    <row r="134" spans="1:16" ht="12.75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</row>
    <row r="135" spans="1:16" ht="12.75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</row>
    <row r="136" spans="1:16" ht="12.75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</row>
    <row r="137" spans="1:16" ht="12.75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</row>
    <row r="138" spans="1:16" ht="12.75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</row>
    <row r="139" spans="1:16" ht="12.75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</row>
    <row r="140" spans="1:16" ht="12.75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</row>
    <row r="141" spans="1:16" ht="12.75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</row>
    <row r="142" spans="1:16" ht="12.75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</row>
    <row r="143" spans="1:16" ht="12.75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</row>
    <row r="144" spans="1:16" ht="12.75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</row>
    <row r="145" spans="1:16" ht="12.75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</row>
    <row r="146" spans="1:16" ht="12.75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</row>
    <row r="147" spans="1:16" ht="12.75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</row>
    <row r="148" spans="1:16" ht="12.75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</row>
    <row r="149" spans="1:16" ht="12.75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</row>
    <row r="150" spans="1:16" ht="12.75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</row>
    <row r="151" spans="1:16" ht="12.75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</row>
    <row r="152" spans="1:16" ht="12.75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</row>
    <row r="153" spans="1:16" ht="12.75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</row>
    <row r="154" spans="1:16" ht="12.75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</row>
    <row r="155" spans="1:16" ht="12.75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</row>
    <row r="156" spans="1:16" ht="12.75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</row>
    <row r="157" spans="1:16" ht="12.75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</row>
    <row r="158" spans="1:16" ht="12.75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</row>
    <row r="159" spans="1:16" ht="12.75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</row>
    <row r="160" spans="1:16" ht="12.75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</row>
    <row r="161" spans="1:16" ht="12.75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</row>
    <row r="162" spans="1:16" ht="12.75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</row>
    <row r="163" spans="1:16" ht="12.75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</row>
    <row r="164" spans="1:16" ht="12.75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</row>
    <row r="165" spans="1:16" ht="12.75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</row>
    <row r="166" spans="1:16" ht="12.75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</row>
    <row r="167" spans="1:16" ht="12.75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</row>
    <row r="168" spans="1:16" ht="12.75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</row>
    <row r="169" spans="1:16" ht="12.75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</row>
    <row r="170" spans="1:16" ht="12.75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</row>
    <row r="171" spans="1:16" ht="12.75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</row>
    <row r="172" spans="1:16" ht="12.75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</row>
    <row r="173" spans="1:16" ht="12.75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</row>
    <row r="174" spans="1:16" ht="12.75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</row>
    <row r="175" spans="1:16" ht="12.75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</row>
    <row r="176" spans="1:16" ht="12.75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</row>
    <row r="177" spans="1:16" ht="12.75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</row>
    <row r="178" spans="1:16" ht="12.75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</row>
    <row r="179" spans="1:16" ht="12.75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</row>
    <row r="180" spans="1:16" ht="12.75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</row>
    <row r="181" spans="1:16" ht="12.75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</row>
    <row r="182" spans="1:16" ht="12.75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</row>
    <row r="183" spans="1:16" ht="12.75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</row>
    <row r="184" spans="1:16" ht="12.75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</row>
    <row r="185" spans="1:16" ht="12.75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</row>
    <row r="186" spans="1:16" ht="12.75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</row>
    <row r="187" spans="1:16" ht="12.75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</row>
    <row r="188" spans="1:16" ht="12.75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</row>
    <row r="189" spans="1:16" ht="12.75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</row>
    <row r="190" spans="1:16" ht="12.75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</row>
    <row r="191" spans="1:16" ht="12.75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</row>
    <row r="192" spans="1:16" ht="12.75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</row>
    <row r="193" spans="1:16" ht="12.75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</row>
    <row r="194" spans="1:16" ht="12.75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</row>
    <row r="195" spans="1:16" ht="12.75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</row>
    <row r="196" spans="1:16" ht="12.75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</row>
    <row r="197" spans="1:16" ht="12.75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</row>
    <row r="198" spans="1:16" ht="12.75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</row>
    <row r="199" spans="1:16" ht="12.75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</row>
    <row r="200" spans="1:16" ht="12.75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</row>
    <row r="201" spans="1:16" ht="12.75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</row>
    <row r="202" spans="1:16" ht="12.75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</row>
    <row r="203" spans="1:16" ht="12.75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</row>
    <row r="204" spans="1:16" ht="12.75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</row>
    <row r="205" spans="1:16" ht="12.75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</row>
    <row r="206" spans="1:16" ht="12.75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</row>
    <row r="207" spans="1:16" ht="12.75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</row>
    <row r="208" spans="1:16" ht="12.75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</row>
    <row r="209" spans="1:16" ht="12.75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</row>
    <row r="210" spans="1:16" ht="12.75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</row>
    <row r="211" spans="1:16" ht="12.75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</row>
    <row r="212" spans="1:16" ht="12.75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</row>
    <row r="213" spans="1:16" ht="12.75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</row>
    <row r="214" spans="1:16" ht="12.75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</row>
    <row r="215" spans="1:16" ht="12.75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</row>
    <row r="216" spans="1:16" ht="12.75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</row>
    <row r="217" spans="1:16" ht="12.75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</row>
    <row r="218" spans="1:16" ht="12.75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</row>
    <row r="219" spans="1:16" ht="12.75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</row>
    <row r="220" spans="1:16" ht="12.75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</row>
    <row r="221" spans="1:16" ht="12.75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</row>
    <row r="222" spans="1:16" ht="12.75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</row>
    <row r="223" spans="1:16" ht="12.75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</row>
    <row r="224" spans="1:16" ht="12.75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</row>
    <row r="225" spans="1:16" ht="12.75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</row>
    <row r="226" spans="1:16" ht="12.75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</row>
    <row r="227" spans="1:16" ht="12.75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</row>
    <row r="228" spans="1:16" ht="12.75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</row>
    <row r="229" spans="1:16" ht="12.75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</row>
    <row r="230" spans="1:16" ht="12.75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</row>
    <row r="231" spans="1:16" ht="12.75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</row>
    <row r="232" spans="1:16" ht="12.75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</row>
    <row r="233" spans="1:16" ht="12.75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</row>
    <row r="234" spans="1:16" ht="12.75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</row>
    <row r="235" spans="1:16" ht="12.75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</row>
    <row r="236" spans="1:16" ht="12.75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</row>
    <row r="237" spans="1:16" ht="12.75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</row>
    <row r="238" spans="1:16" ht="12.75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</row>
    <row r="239" spans="1:16" ht="12.75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</row>
    <row r="240" spans="1:16" ht="12.75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</row>
    <row r="241" spans="1:16" ht="12.75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</row>
    <row r="242" spans="1:16" ht="12.75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</row>
    <row r="243" spans="1:16" ht="12.75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</row>
    <row r="244" spans="1:16" ht="12.75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</row>
    <row r="245" spans="1:16" ht="12.75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</row>
    <row r="246" spans="1:16" ht="12.75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</row>
    <row r="247" spans="1:16" ht="12.75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</row>
    <row r="248" spans="1:16" ht="12.75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</row>
    <row r="249" spans="1:16" ht="12.75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</row>
    <row r="250" spans="1:16" ht="12.75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</row>
    <row r="251" spans="1:16" ht="12.75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</row>
    <row r="252" spans="1:16" ht="12.75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</row>
    <row r="253" spans="1:16" ht="12.75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</row>
    <row r="254" spans="1:16" ht="12.75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</row>
    <row r="255" spans="1:16" ht="12.75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</row>
    <row r="256" spans="1:16" ht="12.75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</row>
    <row r="257" spans="1:16" ht="12.75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</row>
    <row r="258" spans="1:16" ht="12.75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</row>
    <row r="259" spans="1:16" ht="12.75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</row>
    <row r="260" spans="1:16" ht="12.75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</row>
    <row r="261" spans="1:16" ht="12.75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</row>
    <row r="262" spans="1:16" ht="12.75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</row>
    <row r="263" spans="1:16" ht="12.75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</row>
    <row r="264" spans="1:16" ht="12.75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</row>
    <row r="265" spans="1:16" ht="12.75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</row>
    <row r="266" spans="1:16" ht="12.75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</row>
    <row r="267" spans="1:16" ht="12.75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</row>
    <row r="268" spans="1:16" ht="12.75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</row>
    <row r="269" spans="1:16" ht="12.75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</row>
    <row r="270" spans="1:16" ht="12.75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</row>
    <row r="271" spans="1:16" ht="12.75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</row>
    <row r="272" spans="1:16" ht="12.75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</row>
    <row r="273" spans="1:16" ht="12.75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</row>
    <row r="274" spans="1:16" ht="12.75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</row>
    <row r="275" spans="1:16" ht="12.75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</row>
    <row r="276" spans="1:16" ht="12.75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</row>
    <row r="277" spans="1:16" ht="12.75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</row>
    <row r="278" spans="1:16" ht="12.75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</row>
    <row r="279" spans="1:16" ht="12.75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</row>
    <row r="280" spans="1:16" ht="12.75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</row>
    <row r="281" spans="1:16" ht="12.75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</row>
    <row r="282" spans="1:16" ht="12.75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</row>
    <row r="283" spans="1:16" ht="12.75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</row>
    <row r="284" spans="1:16" ht="12.75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</row>
    <row r="285" spans="1:16" ht="12.75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</row>
    <row r="286" spans="1:16" ht="12.75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</row>
    <row r="287" spans="1:16" ht="12.75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</row>
    <row r="288" spans="1:16" ht="12.75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</row>
    <row r="289" spans="1:16" ht="12.75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</row>
    <row r="290" spans="1:16" ht="12.75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</row>
    <row r="291" spans="1:16" ht="12.75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</row>
    <row r="292" spans="1:16" ht="12.75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</row>
    <row r="293" spans="1:16" ht="12.75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</row>
    <row r="294" spans="1:16" ht="12.75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</row>
    <row r="295" spans="1:16" ht="12.75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</row>
    <row r="296" spans="1:16" ht="12.75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</row>
    <row r="297" spans="1:16" ht="12.75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</row>
    <row r="298" spans="1:16" ht="12.75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</row>
    <row r="299" spans="1:16" ht="12.75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</row>
    <row r="300" spans="1:16" ht="12.75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</row>
    <row r="301" spans="1:16" ht="12.75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</row>
    <row r="302" spans="1:16" ht="12.75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</row>
    <row r="303" spans="1:16" ht="12.75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</row>
    <row r="304" spans="1:16" ht="12.75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</row>
    <row r="305" spans="1:16" ht="12.75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</row>
    <row r="306" spans="1:16" ht="12.75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</row>
    <row r="307" spans="1:16" ht="12.75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</row>
    <row r="308" spans="1:16" ht="12.75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</row>
    <row r="309" spans="1:16" ht="12.75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</row>
    <row r="310" spans="1:16" ht="12.75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</row>
    <row r="311" spans="1:16" ht="12.75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</row>
    <row r="312" spans="1:16" ht="12.75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</row>
    <row r="313" spans="1:16" ht="12.75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</row>
    <row r="314" spans="1:16" ht="12.75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</row>
    <row r="315" spans="1:16" ht="12.75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</row>
    <row r="316" spans="1:16" ht="12.75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</row>
    <row r="317" spans="1:16" ht="12.75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</row>
    <row r="318" spans="1:16" ht="12.75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</row>
    <row r="319" spans="1:16" ht="12.75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</row>
    <row r="320" spans="1:16" ht="12.75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</row>
    <row r="321" spans="1:16" ht="12.75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</row>
    <row r="322" spans="1:16" ht="12.75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</row>
    <row r="323" spans="1:16" ht="12.75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</row>
    <row r="324" spans="1:16" ht="12.75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</row>
    <row r="325" spans="1:16" ht="12.75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</row>
    <row r="326" spans="1:16" ht="12.75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</row>
    <row r="327" spans="1:16" ht="12.75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</row>
    <row r="328" spans="1:16" ht="12.75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</row>
    <row r="329" spans="1:16" ht="12.75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</row>
    <row r="330" spans="1:16" ht="12.75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</row>
    <row r="331" spans="1:16" ht="12.75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</row>
    <row r="332" spans="1:16" ht="12.75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</row>
    <row r="333" spans="1:16" ht="12.75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</row>
    <row r="334" spans="1:16" ht="12.75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</row>
    <row r="335" spans="1:16" ht="12.75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</row>
    <row r="336" spans="1:16" ht="12.75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</row>
    <row r="337" spans="1:16" ht="12.75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</row>
    <row r="338" spans="1:16" ht="12.75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</row>
    <row r="339" spans="1:16" ht="12.75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</row>
    <row r="340" spans="1:16" ht="12.75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</row>
    <row r="341" spans="1:16" ht="12.75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</row>
    <row r="342" spans="1:16" ht="12.75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</row>
    <row r="343" spans="1:16" ht="12.75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</row>
    <row r="344" spans="1:16" ht="12.75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</row>
    <row r="345" spans="1:16" ht="12.75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</row>
    <row r="346" spans="1:16" ht="12.75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</row>
    <row r="347" spans="1:16" ht="12.75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</row>
    <row r="348" spans="1:16" ht="12.75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</row>
    <row r="349" spans="1:16" ht="12.75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</row>
    <row r="350" spans="1:16" ht="12.75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</row>
    <row r="351" spans="1:16" ht="12.75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</row>
    <row r="352" spans="1:16" ht="12.75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</row>
    <row r="353" spans="1:16" ht="12.75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</row>
    <row r="354" spans="1:16" ht="12.75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</row>
    <row r="355" spans="1:16" ht="12.75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</row>
    <row r="356" spans="1:16" ht="12.75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</row>
    <row r="357" spans="1:16" ht="12.75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</row>
    <row r="358" spans="1:16" ht="12.75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</row>
    <row r="359" spans="1:16" ht="12.75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</row>
    <row r="360" spans="1:16" ht="12.75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</row>
    <row r="361" spans="1:16" ht="12.75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</row>
    <row r="362" spans="1:16" ht="12.75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</row>
    <row r="363" spans="1:16" ht="12.75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</row>
    <row r="364" spans="1:16" ht="12.75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</row>
    <row r="365" spans="1:16" ht="12.75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</row>
    <row r="366" spans="1:16" ht="12.75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</row>
    <row r="367" spans="1:16" ht="12.75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</row>
    <row r="368" spans="1:16" ht="12.75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</row>
    <row r="369" spans="1:16" ht="12.75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</row>
    <row r="370" spans="1:16" ht="12.75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</row>
    <row r="371" spans="1:16" ht="12.75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</row>
    <row r="372" spans="1:16" ht="12.75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</row>
    <row r="373" spans="1:16" ht="12.75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</row>
    <row r="374" spans="1:16" ht="12.75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</row>
    <row r="375" spans="1:16" ht="12.75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</row>
    <row r="376" spans="1:16" ht="12.75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</row>
    <row r="377" spans="1:16" ht="12.75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</row>
    <row r="378" spans="1:16" ht="12.75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</row>
    <row r="379" spans="1:16" ht="12.75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</row>
    <row r="380" spans="1:16" ht="12.75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</row>
    <row r="381" spans="1:16" ht="12.75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</row>
    <row r="382" spans="1:16" ht="12.75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</row>
    <row r="383" spans="1:16" ht="12.75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</row>
    <row r="384" spans="1:16" ht="12.75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</row>
    <row r="385" spans="1:16" ht="12.75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</row>
    <row r="386" spans="1:16" ht="12.75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</row>
    <row r="387" spans="1:16" ht="12.75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</row>
    <row r="388" spans="1:16" ht="12.75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</row>
    <row r="389" spans="1:16" ht="12.75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</row>
    <row r="390" spans="1:16" ht="12.75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</row>
    <row r="391" spans="1:16" ht="12.75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</row>
    <row r="392" spans="1:16" ht="12.75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</row>
    <row r="393" spans="1:16" ht="12.75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</row>
    <row r="394" spans="1:16" ht="12.75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</row>
    <row r="395" spans="1:16" ht="12.75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</row>
    <row r="396" spans="1:16" ht="12.75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</row>
    <row r="397" spans="1:16" ht="12.75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</row>
    <row r="398" spans="1:16" ht="12.75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</row>
    <row r="399" spans="1:16" ht="12.75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</row>
    <row r="400" spans="1:16" ht="12.75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</row>
    <row r="401" spans="1:16" ht="12.75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</row>
    <row r="402" spans="1:16" ht="12.75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</row>
    <row r="403" spans="1:16" ht="12.75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</row>
    <row r="404" spans="1:16" ht="12.75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</row>
    <row r="405" spans="1:16" ht="12.75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</row>
    <row r="406" spans="1:16" ht="12.75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</row>
    <row r="407" spans="1:16" ht="12.75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</row>
    <row r="408" spans="1:16" ht="12.75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</row>
    <row r="409" spans="1:16" ht="12.75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</row>
    <row r="410" spans="1:16" ht="12.75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</row>
    <row r="411" spans="1:16" ht="12.75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</row>
    <row r="412" spans="1:16" ht="12.75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</row>
    <row r="413" spans="1:16" ht="12.75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</row>
    <row r="414" spans="1:16" ht="12.75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</row>
    <row r="415" spans="1:16" ht="12.75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</row>
    <row r="416" spans="1:16" ht="12.75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</row>
    <row r="417" spans="1:16" ht="12.75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</row>
    <row r="418" spans="1:16" ht="12.75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</row>
    <row r="419" spans="1:16" ht="12.75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</row>
    <row r="420" spans="1:16" ht="12.75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</row>
    <row r="421" spans="1:16" ht="12.75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</row>
    <row r="422" spans="1:16" ht="12.75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</row>
    <row r="423" spans="1:16" ht="12.75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</row>
    <row r="424" spans="1:16" ht="12.75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</row>
    <row r="425" spans="1:16" ht="12.75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</row>
    <row r="426" spans="1:16" ht="12.75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</row>
    <row r="427" spans="1:16" ht="12.75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</row>
    <row r="428" spans="1:16" ht="12.75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</row>
    <row r="429" spans="1:16" ht="12.75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</row>
    <row r="430" spans="1:16" ht="12.75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</row>
    <row r="431" spans="1:16" ht="12.75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</row>
    <row r="432" spans="1:16" ht="12.75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</row>
    <row r="433" spans="1:16" ht="12.75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</row>
    <row r="434" spans="1:16" ht="12.75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</row>
    <row r="435" spans="1:16" ht="12.75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</row>
    <row r="436" spans="1:16" ht="12.75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</row>
    <row r="437" spans="1:16" ht="12.75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</row>
    <row r="438" spans="1:16" ht="12.75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</row>
    <row r="439" spans="1:16" ht="12.75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</row>
    <row r="440" spans="1:16" ht="12.75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</row>
    <row r="441" spans="1:16" ht="12.75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</row>
    <row r="442" spans="1:16" ht="12.75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</row>
    <row r="443" spans="1:16" ht="12.75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</row>
    <row r="444" spans="1:16" ht="12.75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</row>
    <row r="445" spans="1:16" ht="12.75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</row>
    <row r="446" spans="1:16" ht="12.75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</row>
    <row r="447" spans="1:16" ht="12.75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</row>
    <row r="448" spans="1:16" ht="12.75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</row>
    <row r="449" spans="1:16" ht="12.75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</row>
    <row r="450" spans="1:16" ht="12.75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</row>
    <row r="451" spans="1:16" ht="12.75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</row>
    <row r="452" spans="1:16" ht="12.75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</row>
    <row r="453" spans="1:16" ht="12.75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</row>
    <row r="454" spans="1:16" ht="12.75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</row>
    <row r="455" spans="1:16" ht="12.75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</row>
    <row r="456" spans="1:16" ht="12.75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</row>
    <row r="457" spans="1:16" ht="12.75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</row>
    <row r="458" spans="1:16" ht="12.75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</row>
    <row r="459" spans="1:16" ht="12.75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</row>
    <row r="460" spans="1:16" ht="12.75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</row>
    <row r="461" spans="1:16" ht="12.75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</row>
    <row r="462" spans="1:16" ht="12.75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</row>
    <row r="463" spans="1:16" ht="12.75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</row>
    <row r="464" spans="1:16" ht="12.75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</row>
    <row r="465" spans="1:16" ht="12.75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</row>
    <row r="466" spans="1:16" ht="12.75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</row>
    <row r="467" spans="1:16" ht="12.75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</row>
    <row r="468" spans="1:16" ht="12.75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</row>
    <row r="469" spans="1:16" ht="12.75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</row>
    <row r="470" spans="1:16" ht="12.75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</row>
    <row r="471" spans="1:16" ht="12.75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</row>
    <row r="472" spans="1:16" ht="12.75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</row>
    <row r="473" spans="1:16" ht="12.75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</row>
    <row r="474" spans="1:16" ht="12.75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</row>
    <row r="475" spans="1:16" ht="12.75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</row>
    <row r="476" spans="1:16" ht="12.75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</row>
    <row r="477" spans="1:16" ht="12.75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</row>
    <row r="478" spans="1:16" ht="12.75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</row>
    <row r="479" spans="1:16" ht="12.75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</row>
    <row r="480" spans="1:16" ht="12.75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</row>
    <row r="481" spans="1:16" ht="12.75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</row>
    <row r="482" spans="1:16" ht="12.75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</row>
    <row r="483" spans="1:16" ht="12.75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</row>
    <row r="484" spans="1:16" ht="12.75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</row>
    <row r="485" spans="1:16" ht="12.75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</row>
    <row r="486" spans="1:16" ht="12.75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</row>
    <row r="487" spans="1:16" ht="12.75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</row>
    <row r="488" spans="1:16" ht="12.75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</row>
    <row r="489" spans="1:16" ht="12.75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</row>
    <row r="490" spans="1:16" ht="12.75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</row>
    <row r="491" spans="1:16" ht="12.75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</row>
    <row r="492" spans="1:16" ht="12.75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</row>
    <row r="493" spans="1:16" ht="12.75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</row>
    <row r="494" spans="1:16" ht="12.75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</row>
    <row r="495" spans="1:16" ht="12.75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</row>
    <row r="496" spans="1:16" ht="12.75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</row>
    <row r="497" spans="1:16" ht="12.75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</row>
    <row r="498" spans="1:16" ht="12.75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</row>
    <row r="499" spans="1:16" ht="12.75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</row>
    <row r="500" spans="1:16" ht="12.75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</row>
    <row r="501" spans="1:16" ht="12.75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</row>
    <row r="502" spans="1:16" ht="12.75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</row>
    <row r="503" spans="1:16" ht="12.75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</row>
    <row r="504" spans="1:16" ht="12.75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</row>
    <row r="505" spans="1:16" ht="12.75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</row>
    <row r="506" spans="1:16" ht="12.75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</row>
    <row r="507" spans="1:16" ht="12.75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</row>
    <row r="508" spans="1:16" ht="12.75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</row>
    <row r="509" spans="1:16" ht="12.75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</row>
    <row r="510" spans="1:16" ht="12.75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</row>
    <row r="511" spans="1:16" ht="12.75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</row>
    <row r="512" spans="1:16" ht="12.75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</row>
    <row r="513" spans="1:16" ht="12.75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</row>
    <row r="514" spans="1:16" ht="12.75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</row>
    <row r="515" spans="1:16" ht="12.75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</row>
    <row r="516" spans="1:16" ht="12.75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</row>
    <row r="517" spans="1:16" ht="12.75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</row>
    <row r="518" spans="1:16" ht="12.75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</row>
    <row r="519" spans="1:16" ht="12.75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</row>
    <row r="520" spans="1:16" ht="12.75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</row>
    <row r="521" spans="1:16" ht="12.75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</row>
    <row r="522" spans="1:16" ht="12.75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</row>
    <row r="523" spans="1:16" ht="12.75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</row>
    <row r="524" spans="1:16" ht="12.75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</row>
    <row r="525" spans="1:16" ht="12.75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</row>
    <row r="526" spans="1:16" ht="12.75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</row>
    <row r="527" spans="1:16" ht="12.75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</row>
    <row r="528" spans="1:16" ht="12.75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</row>
    <row r="529" spans="1:16" ht="12.75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</row>
    <row r="530" spans="1:16" ht="12.75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</row>
    <row r="531" spans="1:16" ht="12.75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</row>
    <row r="532" spans="1:16" ht="12.75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</row>
    <row r="533" spans="1:16" ht="12.75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</row>
    <row r="534" spans="1:16" ht="12.75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</row>
    <row r="535" spans="1:16" ht="12.75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</row>
    <row r="536" spans="1:16" ht="12.75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</row>
    <row r="537" spans="1:16" ht="12.75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</row>
    <row r="538" spans="1:16" ht="12.75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</row>
    <row r="539" spans="1:16" ht="12.75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</row>
    <row r="540" spans="1:16" ht="12.75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</row>
    <row r="541" spans="1:16" ht="12.75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</row>
    <row r="542" spans="1:16" ht="12.75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</row>
    <row r="543" spans="1:16" ht="12.75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</row>
    <row r="544" spans="1:16" ht="12.75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</row>
    <row r="545" spans="1:16" ht="12.75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</row>
    <row r="546" spans="1:16" ht="12.75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</row>
    <row r="547" spans="1:16" ht="12.75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</row>
    <row r="548" spans="1:16" ht="12.75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</row>
    <row r="549" spans="1:16" ht="12.75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</row>
    <row r="550" spans="1:16" ht="12.75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</row>
    <row r="551" spans="1:16" ht="12.75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</row>
    <row r="552" spans="1:16" ht="12.75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</row>
    <row r="553" spans="1:16" ht="12.75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</row>
    <row r="554" spans="1:16" ht="12.75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</row>
    <row r="555" spans="1:16" ht="12.75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</row>
    <row r="556" spans="1:16" ht="12.75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</row>
    <row r="557" spans="1:16" ht="12.75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</row>
    <row r="558" spans="1:16" ht="12.75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</row>
    <row r="559" spans="1:16" ht="12.75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</row>
    <row r="560" spans="1:16" ht="12.75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</row>
    <row r="561" spans="1:16" ht="12.75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</row>
    <row r="562" spans="1:16" ht="12.75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</row>
    <row r="563" spans="1:16" ht="12.75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</row>
    <row r="564" spans="1:16" ht="12.75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</row>
    <row r="565" spans="1:16" ht="12.75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</row>
    <row r="566" spans="1:16" ht="12.75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</row>
    <row r="567" spans="1:16" ht="12.75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</row>
    <row r="568" spans="1:16" ht="12.75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</row>
    <row r="569" spans="1:16" ht="12.75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</row>
    <row r="570" spans="1:16" ht="12.75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</row>
    <row r="571" spans="1:16" ht="12.75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</row>
    <row r="572" spans="1:16" ht="12.75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</row>
    <row r="573" spans="1:16" ht="12.75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</row>
    <row r="574" spans="1:16" ht="12.75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</row>
    <row r="575" spans="1:16" ht="12.75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</row>
    <row r="576" spans="1:16" ht="12.75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</row>
    <row r="577" spans="1:16" ht="12.75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</row>
    <row r="578" spans="1:16" ht="12.75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</row>
    <row r="579" spans="1:16" ht="12.75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</row>
    <row r="580" spans="1:16" ht="12.75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</row>
    <row r="581" spans="1:16" ht="12.75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</row>
    <row r="582" spans="1:16" ht="12.75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</row>
    <row r="583" spans="1:16" ht="12.75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</row>
    <row r="584" spans="1:16" ht="12.75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</row>
    <row r="585" spans="1:16" ht="12.75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</row>
    <row r="586" spans="1:16" ht="12.75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</row>
    <row r="587" spans="1:16" ht="12.75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</row>
    <row r="588" spans="1:16" ht="12.75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</row>
    <row r="589" spans="1:16" ht="12.75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</row>
    <row r="590" spans="1:16" ht="12.75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</row>
    <row r="591" spans="1:16" ht="12.75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</row>
    <row r="592" spans="1:16" ht="12.75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</row>
    <row r="593" spans="1:16" ht="12.75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</row>
    <row r="594" spans="1:16" ht="12.75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</row>
    <row r="595" spans="1:16" ht="12.75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</row>
    <row r="596" spans="1:16" ht="12.75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</row>
    <row r="597" spans="1:16" ht="12.75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</row>
    <row r="598" spans="1:16" ht="12.75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</row>
    <row r="599" spans="1:16" ht="12.75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</row>
    <row r="600" spans="1:16" ht="12.75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</row>
    <row r="601" spans="1:16" ht="12.75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</row>
    <row r="602" spans="1:16" ht="12.75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</row>
    <row r="603" spans="1:16" ht="12.75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</row>
    <row r="604" spans="1:16" ht="12.75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</row>
    <row r="605" spans="1:16" ht="12.75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</row>
    <row r="606" spans="1:16" ht="12.75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</row>
    <row r="607" spans="1:16" ht="12.75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</row>
    <row r="608" spans="1:16" ht="12.75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</row>
    <row r="609" spans="1:16" ht="12.75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</row>
    <row r="610" spans="1:16" ht="12.75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</row>
    <row r="611" spans="1:16" ht="12.75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</row>
    <row r="612" spans="1:16" ht="12.75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</row>
    <row r="613" spans="1:16" ht="12.75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</row>
    <row r="614" spans="1:16" ht="12.75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</row>
    <row r="615" spans="1:16" ht="12.75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</row>
    <row r="616" spans="1:16" ht="12.75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</row>
    <row r="617" spans="1:16" ht="12.75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</row>
    <row r="618" spans="1:16" ht="12.75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</row>
    <row r="619" spans="1:16" ht="12.75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</row>
    <row r="620" spans="1:16" ht="12.75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</row>
    <row r="621" spans="1:16" ht="12.75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</row>
    <row r="622" spans="1:16" ht="12.75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</row>
    <row r="623" spans="1:16" ht="12.75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</row>
    <row r="624" spans="1:16" ht="12.75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</row>
    <row r="625" spans="1:16" ht="12.75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</row>
    <row r="626" spans="1:16" ht="12.75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</row>
    <row r="627" spans="1:16" ht="12.75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</row>
    <row r="628" spans="1:16" ht="12.75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</row>
    <row r="629" spans="1:16" ht="12.75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</row>
    <row r="630" spans="1:16" ht="12.75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</row>
    <row r="631" spans="1:16" ht="12.75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</row>
    <row r="632" spans="1:16" ht="12.75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</row>
    <row r="633" spans="1:16" ht="12.75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</row>
    <row r="634" spans="1:16" ht="12.75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</row>
    <row r="635" spans="1:16" ht="12.75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</row>
    <row r="636" spans="1:16" ht="12.75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</row>
    <row r="637" spans="1:16" ht="12.75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</row>
    <row r="638" spans="1:16" ht="12.75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</row>
    <row r="639" spans="1:16" ht="12.75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</row>
    <row r="640" spans="1:16" ht="12.75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</row>
    <row r="641" spans="1:16" ht="12.75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</row>
    <row r="642" spans="1:16" ht="12.75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</row>
    <row r="643" spans="1:16" ht="12.75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</row>
    <row r="644" spans="1:16" ht="12.75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</row>
    <row r="645" spans="1:16" ht="12.75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</row>
    <row r="646" spans="1:16" ht="12.75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</row>
    <row r="647" spans="1:16" ht="12.75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</row>
    <row r="648" spans="1:16" ht="12.75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</row>
    <row r="649" spans="1:16" ht="12.75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</row>
    <row r="650" spans="1:16" ht="12.75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</row>
    <row r="651" spans="1:16" ht="12.75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</row>
    <row r="652" spans="1:16" ht="12.75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</row>
    <row r="653" spans="1:16" ht="12.75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</row>
    <row r="654" spans="1:16" ht="12.75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</row>
    <row r="655" spans="1:16" ht="12.75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</row>
    <row r="656" spans="1:16" ht="12.75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</row>
    <row r="657" spans="1:16" ht="12.75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</row>
    <row r="658" spans="1:16" ht="12.75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</row>
    <row r="659" spans="1:16" ht="12.75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</row>
    <row r="660" spans="1:16" ht="12.75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</row>
    <row r="661" spans="1:16" ht="12.75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</row>
    <row r="662" spans="1:16" ht="12.75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</row>
    <row r="663" spans="1:16" ht="12.75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</row>
    <row r="664" spans="1:16" ht="12.75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</row>
    <row r="665" spans="1:16" ht="12.75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</row>
    <row r="666" spans="1:16" ht="12.75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</row>
    <row r="667" spans="1:16" ht="12.75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</row>
    <row r="668" spans="1:16" ht="12.75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</row>
    <row r="669" spans="1:16" ht="12.75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</row>
    <row r="670" spans="1:16" ht="12.75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</row>
    <row r="671" spans="1:16" ht="12.75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</row>
    <row r="672" spans="1:16" ht="12.75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</row>
    <row r="673" spans="1:16" ht="12.75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</row>
    <row r="674" spans="1:16" ht="12.75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</row>
    <row r="675" spans="1:16" ht="12.75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</row>
    <row r="676" spans="1:16" ht="12.75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</row>
    <row r="677" spans="1:16" ht="12.75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</row>
    <row r="678" spans="1:16" ht="12.75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</row>
    <row r="679" spans="1:16" ht="12.75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</row>
    <row r="680" spans="1:16" ht="12.75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</row>
    <row r="681" spans="1:16" ht="12.75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</row>
    <row r="682" spans="1:16" ht="12.75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</row>
    <row r="683" spans="1:16" ht="12.75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</row>
    <row r="684" spans="1:16" ht="12.75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</row>
    <row r="685" spans="1:16" ht="12.75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</row>
    <row r="686" spans="1:16" ht="12.75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</row>
    <row r="687" spans="1:16" ht="12.75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</row>
    <row r="688" spans="1:16" ht="12.75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</row>
    <row r="689" spans="1:16" ht="12.75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</row>
    <row r="690" spans="1:16" ht="12.75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</row>
    <row r="691" spans="1:16" ht="12.75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</row>
    <row r="692" spans="1:16" ht="12.75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</row>
    <row r="693" spans="1:16" ht="12.75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</row>
    <row r="694" spans="1:16" ht="12.75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</row>
    <row r="695" spans="1:16" ht="12.75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</row>
    <row r="696" spans="1:16" ht="12.75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</row>
    <row r="697" spans="1:16" ht="12.75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</row>
    <row r="698" spans="1:16" ht="12.75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</row>
    <row r="699" spans="1:16" ht="12.75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</row>
    <row r="700" spans="1:16" ht="12.75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</row>
    <row r="701" spans="1:16" ht="12.75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</row>
    <row r="702" spans="1:16" ht="12.75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</row>
    <row r="703" spans="1:16" ht="12.75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</row>
    <row r="704" spans="1:16" ht="12.75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</row>
    <row r="705" spans="1:16" ht="12.75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</row>
    <row r="706" spans="1:16" ht="12.75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</row>
    <row r="707" spans="1:16" ht="12.75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</row>
    <row r="708" spans="1:16" ht="12.75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</row>
    <row r="709" spans="1:16" ht="12.75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</row>
    <row r="710" spans="1:16" ht="12.75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</row>
    <row r="711" spans="1:16" ht="12.75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</row>
    <row r="712" spans="1:16" ht="12.75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</row>
    <row r="713" spans="1:16" ht="12.75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</row>
    <row r="714" spans="1:16" ht="12.75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</row>
    <row r="715" spans="1:16" ht="12.75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</row>
    <row r="716" spans="1:16" ht="12.75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</row>
    <row r="717" spans="1:16" ht="12.75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</row>
    <row r="718" spans="1:16" ht="12.75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</row>
    <row r="719" spans="1:16" ht="12.75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</row>
    <row r="720" spans="1:16" ht="12.75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</row>
    <row r="721" spans="1:16" ht="12.75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</row>
    <row r="722" spans="1:16" ht="12.75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</row>
    <row r="723" spans="1:16" ht="12.75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</row>
    <row r="724" spans="1:16" ht="12.75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</row>
    <row r="725" spans="1:16" ht="12.75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</row>
    <row r="726" spans="1:16" ht="12.75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</row>
    <row r="727" spans="1:16" ht="12.75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</row>
    <row r="728" spans="1:16" ht="12.75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</row>
    <row r="729" spans="1:16" ht="12.75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</row>
    <row r="730" spans="1:16" ht="12.75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</row>
    <row r="731" spans="1:16" ht="12.75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</row>
    <row r="732" spans="1:16" ht="12.75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</row>
    <row r="733" spans="1:16" ht="12.75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</row>
    <row r="734" spans="1:16" ht="12.75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</row>
    <row r="735" spans="1:16" ht="12.75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</row>
    <row r="736" spans="1:16" ht="12.75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</row>
    <row r="737" spans="1:16" ht="12.75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</row>
    <row r="738" spans="1:16" ht="12.75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</row>
    <row r="739" spans="1:16" ht="12.75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</row>
    <row r="740" spans="1:16" ht="12.75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</row>
    <row r="741" spans="1:16" ht="12.75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</row>
    <row r="742" spans="1:16" ht="12.75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</row>
    <row r="743" spans="1:16" ht="12.75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</row>
    <row r="744" spans="1:16" ht="12.75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</row>
    <row r="745" spans="1:16" ht="12.75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</row>
    <row r="746" spans="1:16" ht="12.75">
      <c r="A746" s="47"/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</row>
    <row r="747" spans="1:16" ht="12.75">
      <c r="A747" s="47"/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</row>
    <row r="748" spans="1:16" ht="12.75">
      <c r="A748" s="47"/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</row>
    <row r="749" spans="1:16" ht="12.75">
      <c r="A749" s="47"/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</row>
    <row r="750" spans="1:16" ht="12.75">
      <c r="A750" s="47"/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</row>
    <row r="751" spans="1:16" ht="12.75">
      <c r="A751" s="47"/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</row>
    <row r="752" spans="1:16" ht="12.75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</row>
    <row r="753" spans="1:16" ht="12.75">
      <c r="A753" s="47"/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</row>
    <row r="754" spans="1:16" ht="12.75">
      <c r="A754" s="47"/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</row>
    <row r="755" spans="1:16" ht="12.75">
      <c r="A755" s="47"/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</row>
    <row r="756" spans="1:16" ht="12.75">
      <c r="A756" s="47"/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</row>
    <row r="757" spans="1:16" ht="12.75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</row>
    <row r="758" spans="1:16" ht="12.75">
      <c r="A758" s="47"/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</row>
    <row r="759" spans="1:16" ht="12.75">
      <c r="A759" s="47"/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</row>
    <row r="760" spans="1:16" ht="12.75">
      <c r="A760" s="47"/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</row>
    <row r="761" spans="1:16" ht="12.75">
      <c r="A761" s="47"/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</row>
    <row r="762" spans="1:16" ht="12.75">
      <c r="A762" s="47"/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</row>
    <row r="763" spans="1:16" ht="12.75">
      <c r="A763" s="47"/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</row>
    <row r="764" spans="1:16" ht="12.75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</row>
    <row r="765" spans="1:16" ht="12.75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</row>
    <row r="766" spans="1:16" ht="12.75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</row>
    <row r="767" spans="1:16" ht="12.75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</row>
    <row r="768" spans="1:16" ht="12.75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</row>
    <row r="769" spans="1:16" ht="12.75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</row>
    <row r="770" spans="1:16" ht="12.75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</row>
    <row r="771" spans="1:16" ht="12.75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</row>
    <row r="772" spans="1:16" ht="12.75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</row>
    <row r="773" spans="1:16" ht="12.75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</row>
    <row r="774" spans="1:16" ht="12.75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</row>
    <row r="775" spans="1:16" ht="12.75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</row>
    <row r="776" spans="1:16" ht="12.75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</row>
    <row r="777" spans="1:16" ht="12.75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</row>
    <row r="778" spans="1:16" ht="12.75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</row>
    <row r="779" spans="1:16" ht="12.75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</row>
    <row r="780" spans="1:16" ht="12.75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</row>
    <row r="781" spans="1:16" ht="12.75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</row>
    <row r="782" spans="1:16" ht="12.75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</row>
    <row r="783" spans="1:16" ht="12.75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</row>
    <row r="784" spans="1:16" ht="12.75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</row>
    <row r="785" spans="1:16" ht="12.75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</row>
    <row r="786" spans="1:16" ht="12.75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</row>
    <row r="787" spans="1:16" ht="12.75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</row>
    <row r="788" spans="1:16" ht="12.75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</row>
    <row r="789" spans="1:16" ht="12.75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</row>
    <row r="790" spans="1:16" ht="12.75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</row>
    <row r="791" spans="1:16" ht="12.75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</row>
    <row r="792" spans="1:16" ht="12.75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</row>
    <row r="793" spans="1:16" ht="12.75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</row>
    <row r="794" spans="1:16" ht="12.75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</row>
    <row r="795" spans="1:16" ht="12.75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</row>
    <row r="796" spans="1:16" ht="12.75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</row>
    <row r="797" spans="1:16" ht="12.75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</row>
    <row r="798" spans="1:16" ht="12.75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</row>
    <row r="799" spans="1:16" ht="12.75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</row>
    <row r="800" spans="1:16" ht="12.75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</row>
    <row r="801" spans="1:16" ht="12.75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</row>
    <row r="802" spans="1:16" ht="12.75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</row>
    <row r="803" spans="1:16" ht="12.75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</row>
    <row r="804" spans="1:16" ht="12.75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</row>
    <row r="805" spans="1:16" ht="12.75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</row>
    <row r="806" spans="1:16" ht="12.75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</row>
    <row r="807" spans="1:16" ht="12.75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</row>
    <row r="808" spans="1:16" ht="12.75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</row>
    <row r="809" spans="1:16" ht="12.75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</row>
    <row r="810" spans="1:16" ht="12.75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</row>
    <row r="811" spans="1:16" ht="12.75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</row>
    <row r="812" spans="1:16" ht="12.75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</row>
    <row r="813" spans="1:16" ht="12.75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</row>
    <row r="814" spans="1:16" ht="12.75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</row>
    <row r="815" spans="1:16" ht="12.75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</row>
    <row r="816" spans="1:16" ht="12.75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</row>
    <row r="817" spans="1:16" ht="12.75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</row>
    <row r="818" spans="1:16" ht="12.75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</row>
    <row r="819" spans="1:16" ht="12.75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</row>
    <row r="820" spans="1:16" ht="12.75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</row>
    <row r="821" spans="1:16" ht="12.75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</row>
    <row r="822" spans="1:16" ht="12.75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</row>
    <row r="823" spans="1:16" ht="12.75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</row>
    <row r="824" spans="1:16" ht="12.75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</row>
    <row r="825" spans="1:16" ht="12.75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</row>
    <row r="826" spans="1:16" ht="12.75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</row>
    <row r="827" spans="1:16" ht="12.75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</row>
    <row r="828" spans="1:16" ht="12.75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</row>
    <row r="829" spans="1:16" ht="12.75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</row>
    <row r="830" spans="1:16" ht="12.75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</row>
    <row r="831" spans="1:16" ht="12.75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</row>
    <row r="832" spans="1:16" ht="12.75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</row>
    <row r="833" spans="1:16" ht="12.75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</row>
    <row r="834" spans="1:16" ht="12.75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</row>
    <row r="835" spans="1:16" ht="12.75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</row>
    <row r="836" spans="1:16" ht="12.75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</row>
    <row r="837" spans="1:16" ht="12.75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</row>
    <row r="838" spans="1:16" ht="12.75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</row>
    <row r="839" spans="1:16" ht="12.75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</row>
    <row r="840" spans="1:16" ht="12.75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</row>
    <row r="841" spans="1:16" ht="12.75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</row>
    <row r="842" spans="1:16" ht="12.75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</row>
    <row r="843" spans="1:16" ht="12.75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</row>
    <row r="844" spans="1:16" ht="12.75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</row>
    <row r="845" spans="1:16" ht="12.75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</row>
    <row r="846" spans="1:16" ht="12.75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</row>
    <row r="847" spans="1:16" ht="12.75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</row>
    <row r="848" spans="1:16" ht="12.75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</row>
    <row r="849" spans="1:16" ht="12.75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</row>
    <row r="850" spans="1:16" ht="12.75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</row>
    <row r="851" spans="1:16" ht="12.75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</row>
    <row r="852" spans="1:16" ht="12.75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</row>
    <row r="853" spans="1:16" ht="12.75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</row>
    <row r="854" spans="1:16" ht="12.75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</row>
    <row r="855" spans="1:16" ht="12.75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</row>
    <row r="856" spans="1:16" ht="12.75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</row>
    <row r="857" spans="1:16" ht="12.75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</row>
    <row r="858" spans="1:16" ht="12.75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</row>
    <row r="859" spans="1:16" ht="12.75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</row>
    <row r="860" spans="1:16" ht="12.75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</row>
    <row r="861" spans="1:16" ht="12.75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</row>
    <row r="862" spans="1:16" ht="12.75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</row>
    <row r="863" spans="1:16" ht="12.75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</row>
    <row r="864" spans="1:16" ht="12.75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</row>
    <row r="865" spans="1:16" ht="12.75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</row>
    <row r="866" spans="1:16" ht="12.75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</row>
    <row r="867" spans="1:16" ht="12.75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</row>
    <row r="868" spans="1:16" ht="12.75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</row>
    <row r="869" spans="1:16" ht="12.75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</row>
    <row r="870" spans="1:16" ht="12.75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</row>
    <row r="871" spans="1:16" ht="12.75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</row>
    <row r="872" spans="1:16" ht="12.75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</row>
    <row r="873" spans="1:16" ht="12.75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</row>
    <row r="874" spans="1:16" ht="12.75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</row>
    <row r="875" spans="1:16" ht="12.75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</row>
    <row r="876" spans="1:16" ht="12.75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</row>
    <row r="877" spans="1:16" ht="12.75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</row>
    <row r="878" spans="1:16" ht="12.75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</row>
    <row r="879" spans="1:16" ht="12.75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</row>
    <row r="880" spans="1:16" ht="12.75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</row>
    <row r="881" spans="1:16" ht="12.75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</row>
    <row r="882" spans="1:16" ht="12.75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</row>
    <row r="883" spans="1:16" ht="12.75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</row>
    <row r="884" spans="1:16" ht="12.75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</row>
    <row r="885" spans="1:16" ht="12.75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</row>
    <row r="886" spans="1:16" ht="12.75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</row>
    <row r="887" spans="1:16" ht="12.75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</row>
    <row r="888" spans="1:16" ht="12.75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</row>
    <row r="889" spans="1:16" ht="12.75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</row>
    <row r="890" spans="1:16" ht="12.75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</row>
    <row r="891" spans="1:16" ht="12.75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</row>
    <row r="892" spans="1:16" ht="12.75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</row>
    <row r="893" spans="1:16" ht="12.75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</row>
    <row r="894" spans="1:16" ht="12.75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</row>
    <row r="895" spans="1:16" ht="12.75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</row>
    <row r="896" spans="1:16" ht="12.75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</row>
    <row r="897" spans="1:16" ht="12.75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</row>
    <row r="898" spans="1:16" ht="12.75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</row>
    <row r="899" spans="1:16" ht="12.75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</row>
    <row r="900" spans="1:16" ht="12.75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</row>
    <row r="901" spans="1:16" ht="12.75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</row>
    <row r="902" spans="1:16" ht="12.75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</row>
    <row r="903" spans="1:16" ht="12.75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</row>
    <row r="904" spans="1:16" ht="12.75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</row>
    <row r="905" spans="1:16" ht="12.75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</row>
    <row r="906" spans="1:16" ht="12.75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</row>
    <row r="907" spans="1:16" ht="12.75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</row>
    <row r="908" spans="1:16" ht="12.75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</row>
    <row r="909" spans="1:16" ht="12.75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</row>
    <row r="910" spans="1:16" ht="12.75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</row>
    <row r="911" spans="1:16" ht="12.75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</row>
    <row r="912" spans="1:16" ht="12.75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</row>
    <row r="913" spans="1:16" ht="12.75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</row>
    <row r="914" spans="1:16" ht="12.75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</row>
    <row r="915" spans="1:16" ht="12.75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</row>
    <row r="916" spans="1:16" ht="12.75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</row>
    <row r="917" spans="1:16" ht="12.75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</row>
    <row r="918" spans="1:16" ht="12.75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</row>
    <row r="919" spans="1:16" ht="12.75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</row>
    <row r="920" spans="1:16" ht="12.75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</row>
    <row r="921" spans="1:16" ht="12.75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</row>
    <row r="922" spans="1:16" ht="12.75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</row>
    <row r="923" spans="1:16" ht="12.75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</row>
    <row r="924" spans="1:16" ht="12.75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</row>
    <row r="925" spans="1:16" ht="12.75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</row>
    <row r="926" spans="1:16" ht="12.75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</row>
    <row r="927" spans="1:16" ht="12.75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</row>
    <row r="928" spans="1:16" ht="12.75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</row>
    <row r="929" spans="1:16" ht="12.75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</row>
    <row r="930" spans="1:16" ht="12.75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</row>
    <row r="931" spans="1:16" ht="12.75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</row>
    <row r="932" spans="1:16" ht="12.75">
      <c r="A932" s="47"/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</row>
    <row r="933" spans="1:16" ht="12.75">
      <c r="A933" s="47"/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</row>
    <row r="934" spans="1:16" ht="12.75">
      <c r="A934" s="47"/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</row>
    <row r="935" spans="1:16" ht="12.75">
      <c r="A935" s="47"/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</row>
    <row r="936" spans="1:16" ht="12.75">
      <c r="A936" s="47"/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</row>
    <row r="937" spans="1:16" ht="12.75">
      <c r="A937" s="47"/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</row>
    <row r="938" spans="1:16" ht="12.75">
      <c r="A938" s="47"/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</row>
    <row r="939" spans="1:16" ht="12.75">
      <c r="A939" s="47"/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</row>
    <row r="940" spans="1:16" ht="12.75">
      <c r="A940" s="47"/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</row>
    <row r="941" spans="1:16" ht="12.75">
      <c r="A941" s="47"/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</row>
    <row r="942" spans="1:16" ht="12.75">
      <c r="A942" s="47"/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</row>
    <row r="943" spans="1:16" ht="12.75">
      <c r="A943" s="47"/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</row>
    <row r="944" spans="1:16" ht="12.75">
      <c r="A944" s="47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</row>
    <row r="945" spans="1:16" ht="12.75">
      <c r="A945" s="47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</row>
    <row r="946" spans="1:16" ht="12.75">
      <c r="A946" s="47"/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</row>
    <row r="947" spans="1:16" ht="12.75">
      <c r="A947" s="47"/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</row>
    <row r="948" spans="1:16" ht="12.75">
      <c r="A948" s="47"/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</row>
    <row r="949" spans="1:16" ht="12.75">
      <c r="A949" s="47"/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</row>
    <row r="950" spans="1:16" ht="12.75">
      <c r="A950" s="47"/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</row>
    <row r="951" spans="1:16" ht="12.75">
      <c r="A951" s="47"/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</row>
    <row r="952" spans="1:16" ht="12.75">
      <c r="A952" s="47"/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</row>
    <row r="953" spans="1:16" ht="12.75">
      <c r="A953" s="47"/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</row>
    <row r="954" spans="1:16" ht="12.75">
      <c r="A954" s="47"/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</row>
    <row r="955" spans="1:16" ht="12.75">
      <c r="A955" s="47"/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</row>
    <row r="956" spans="1:16" ht="12.75">
      <c r="A956" s="47"/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</row>
    <row r="957" spans="1:16" ht="12.75">
      <c r="A957" s="47"/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</row>
    <row r="958" spans="1:16" ht="12.75">
      <c r="A958" s="47"/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</row>
    <row r="959" spans="1:16" ht="12.75">
      <c r="A959" s="47"/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</row>
    <row r="960" spans="1:16" ht="12.75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</row>
    <row r="961" spans="1:16" ht="12.75">
      <c r="A961" s="47"/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</row>
    <row r="962" spans="1:16" ht="12.75">
      <c r="A962" s="47"/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</row>
    <row r="963" spans="1:16" ht="12.75">
      <c r="A963" s="47"/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</row>
  </sheetData>
  <mergeCells count="5">
    <mergeCell ref="E1:E2"/>
    <mergeCell ref="F1:I1"/>
    <mergeCell ref="A7:A11"/>
    <mergeCell ref="A27:A42"/>
    <mergeCell ref="A49:A50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23"/>
  <sheetViews>
    <sheetView workbookViewId="0">
      <selection sqref="A1:M2"/>
    </sheetView>
  </sheetViews>
  <sheetFormatPr defaultColWidth="12.5703125" defaultRowHeight="15.75" customHeight="1"/>
  <cols>
    <col min="1" max="1" width="7.7109375" customWidth="1"/>
    <col min="2" max="2" width="18" customWidth="1"/>
    <col min="3" max="3" width="7.140625" customWidth="1"/>
    <col min="4" max="5" width="10.5703125" customWidth="1"/>
    <col min="6" max="6" width="6.42578125" customWidth="1"/>
    <col min="7" max="8" width="10.42578125" customWidth="1"/>
    <col min="9" max="9" width="9" customWidth="1"/>
    <col min="10" max="10" width="37.5703125" customWidth="1"/>
  </cols>
  <sheetData>
    <row r="1" spans="1:17" ht="12.75">
      <c r="A1" s="935" t="s">
        <v>568</v>
      </c>
      <c r="B1" s="865"/>
      <c r="C1" s="865"/>
      <c r="D1" s="865"/>
      <c r="E1" s="865"/>
      <c r="F1" s="865"/>
      <c r="G1" s="865"/>
      <c r="H1" s="865"/>
      <c r="I1" s="865"/>
      <c r="J1" s="865"/>
    </row>
    <row r="2" spans="1:17" ht="12.75">
      <c r="A2" s="824"/>
      <c r="B2" s="824"/>
    </row>
    <row r="3" spans="1:17" ht="12.75">
      <c r="A3" s="936" t="s">
        <v>569</v>
      </c>
      <c r="B3" s="936" t="s">
        <v>570</v>
      </c>
      <c r="C3" s="937" t="s">
        <v>523</v>
      </c>
      <c r="D3" s="867"/>
      <c r="E3" s="868"/>
      <c r="F3" s="937" t="s">
        <v>571</v>
      </c>
      <c r="G3" s="867"/>
      <c r="H3" s="868"/>
      <c r="I3" s="938" t="s">
        <v>572</v>
      </c>
      <c r="J3" s="936" t="s">
        <v>190</v>
      </c>
    </row>
    <row r="4" spans="1:17" ht="39" customHeight="1">
      <c r="A4" s="862"/>
      <c r="B4" s="862"/>
      <c r="C4" s="570" t="s">
        <v>573</v>
      </c>
      <c r="D4" s="353" t="s">
        <v>574</v>
      </c>
      <c r="E4" s="570" t="s">
        <v>575</v>
      </c>
      <c r="F4" s="570" t="s">
        <v>573</v>
      </c>
      <c r="G4" s="353" t="s">
        <v>574</v>
      </c>
      <c r="H4" s="570" t="s">
        <v>575</v>
      </c>
      <c r="I4" s="862"/>
      <c r="J4" s="862"/>
    </row>
    <row r="5" spans="1:17" ht="35.25" customHeight="1">
      <c r="A5" s="358">
        <v>1</v>
      </c>
      <c r="B5" s="751" t="s">
        <v>576</v>
      </c>
      <c r="C5" s="825">
        <v>169</v>
      </c>
      <c r="D5" s="826">
        <f>E5/C5</f>
        <v>134.91124260355031</v>
      </c>
      <c r="E5" s="826">
        <v>22800</v>
      </c>
      <c r="F5" s="825">
        <v>169</v>
      </c>
      <c r="G5" s="826">
        <f>H5/F5</f>
        <v>134.91124260355031</v>
      </c>
      <c r="H5" s="826">
        <v>22800</v>
      </c>
      <c r="I5" s="826">
        <f t="shared" ref="I5:I13" si="0">E5-H5</f>
        <v>0</v>
      </c>
      <c r="J5" s="576" t="s">
        <v>577</v>
      </c>
    </row>
    <row r="6" spans="1:17" ht="12.75">
      <c r="A6" s="358">
        <v>2</v>
      </c>
      <c r="B6" s="751" t="s">
        <v>578</v>
      </c>
      <c r="C6" s="825">
        <v>1</v>
      </c>
      <c r="D6" s="826">
        <v>3967</v>
      </c>
      <c r="E6" s="826">
        <f t="shared" ref="E6:E10" si="1">C6*D6</f>
        <v>3967</v>
      </c>
      <c r="F6" s="577"/>
      <c r="G6" s="577"/>
      <c r="H6" s="577"/>
      <c r="I6" s="826">
        <f t="shared" si="0"/>
        <v>3967</v>
      </c>
      <c r="J6" s="573" t="s">
        <v>579</v>
      </c>
    </row>
    <row r="7" spans="1:17" ht="25.5">
      <c r="A7" s="358">
        <v>3</v>
      </c>
      <c r="B7" s="751" t="s">
        <v>319</v>
      </c>
      <c r="C7" s="825">
        <v>20</v>
      </c>
      <c r="D7" s="826">
        <f>7600/20</f>
        <v>380</v>
      </c>
      <c r="E7" s="826">
        <f t="shared" si="1"/>
        <v>7600</v>
      </c>
      <c r="F7" s="577"/>
      <c r="G7" s="577"/>
      <c r="H7" s="577"/>
      <c r="I7" s="826">
        <f t="shared" si="0"/>
        <v>7600</v>
      </c>
      <c r="J7" s="573" t="s">
        <v>580</v>
      </c>
    </row>
    <row r="8" spans="1:17" ht="12.75">
      <c r="A8" s="358">
        <v>4</v>
      </c>
      <c r="B8" s="751" t="s">
        <v>578</v>
      </c>
      <c r="C8" s="825">
        <v>1</v>
      </c>
      <c r="D8" s="826">
        <v>34733</v>
      </c>
      <c r="E8" s="826">
        <f t="shared" si="1"/>
        <v>34733</v>
      </c>
      <c r="F8" s="577"/>
      <c r="G8" s="577"/>
      <c r="H8" s="577"/>
      <c r="I8" s="826">
        <f t="shared" si="0"/>
        <v>34733</v>
      </c>
      <c r="J8" s="573" t="s">
        <v>581</v>
      </c>
    </row>
    <row r="9" spans="1:17" ht="12.75">
      <c r="A9" s="358">
        <v>5</v>
      </c>
      <c r="B9" s="751" t="s">
        <v>582</v>
      </c>
      <c r="C9" s="825">
        <v>20</v>
      </c>
      <c r="D9" s="826">
        <f>1600/20</f>
        <v>80</v>
      </c>
      <c r="E9" s="826">
        <f t="shared" si="1"/>
        <v>1600</v>
      </c>
      <c r="F9" s="577"/>
      <c r="G9" s="577"/>
      <c r="H9" s="577"/>
      <c r="I9" s="826">
        <f t="shared" si="0"/>
        <v>1600</v>
      </c>
      <c r="J9" s="573" t="s">
        <v>583</v>
      </c>
    </row>
    <row r="10" spans="1:17" ht="12.75">
      <c r="A10" s="827">
        <v>6</v>
      </c>
      <c r="B10" s="828" t="s">
        <v>584</v>
      </c>
      <c r="C10" s="829">
        <v>20</v>
      </c>
      <c r="D10" s="830">
        <v>380</v>
      </c>
      <c r="E10" s="830">
        <f t="shared" si="1"/>
        <v>7600</v>
      </c>
      <c r="F10" s="830">
        <v>20</v>
      </c>
      <c r="G10" s="830">
        <v>369.37</v>
      </c>
      <c r="H10" s="831">
        <f t="shared" ref="H10:H13" si="2">F10*G10</f>
        <v>7387.4</v>
      </c>
      <c r="I10" s="832">
        <f t="shared" si="0"/>
        <v>212.60000000000036</v>
      </c>
      <c r="J10" s="833" t="s">
        <v>585</v>
      </c>
      <c r="K10" s="834"/>
      <c r="L10" s="834"/>
      <c r="M10" s="834"/>
      <c r="N10" s="834"/>
      <c r="O10" s="834"/>
      <c r="P10" s="834"/>
      <c r="Q10" s="834"/>
    </row>
    <row r="11" spans="1:17" ht="12.75">
      <c r="A11" s="358">
        <v>7</v>
      </c>
      <c r="B11" s="751" t="s">
        <v>319</v>
      </c>
      <c r="C11" s="835"/>
      <c r="D11" s="335"/>
      <c r="E11" s="335"/>
      <c r="F11" s="835">
        <v>14</v>
      </c>
      <c r="G11" s="335">
        <f>(494728.57*12%+494728.57)/1000</f>
        <v>554.09599839999998</v>
      </c>
      <c r="H11" s="335">
        <f t="shared" si="2"/>
        <v>7757.3439775999996</v>
      </c>
      <c r="I11" s="826">
        <f t="shared" si="0"/>
        <v>-7757.3439775999996</v>
      </c>
      <c r="J11" s="573" t="s">
        <v>586</v>
      </c>
      <c r="M11" s="12">
        <v>6146</v>
      </c>
      <c r="O11" s="13">
        <f t="shared" ref="O11:O12" si="3">H11-M11</f>
        <v>1611.3439775999996</v>
      </c>
    </row>
    <row r="12" spans="1:17" ht="12.75">
      <c r="A12" s="358">
        <v>8</v>
      </c>
      <c r="B12" s="751" t="s">
        <v>587</v>
      </c>
      <c r="C12" s="53"/>
      <c r="D12" s="53"/>
      <c r="E12" s="356"/>
      <c r="F12" s="358">
        <v>3</v>
      </c>
      <c r="G12" s="836">
        <v>39</v>
      </c>
      <c r="H12" s="292">
        <f t="shared" si="2"/>
        <v>117</v>
      </c>
      <c r="I12" s="826">
        <f t="shared" si="0"/>
        <v>-117</v>
      </c>
      <c r="J12" s="573" t="s">
        <v>588</v>
      </c>
      <c r="M12" s="12">
        <v>60</v>
      </c>
      <c r="O12" s="14">
        <f t="shared" si="3"/>
        <v>57</v>
      </c>
    </row>
    <row r="13" spans="1:17" ht="12.75">
      <c r="A13" s="358">
        <v>9</v>
      </c>
      <c r="B13" s="751" t="s">
        <v>589</v>
      </c>
      <c r="C13" s="53"/>
      <c r="D13" s="53"/>
      <c r="E13" s="356"/>
      <c r="F13" s="358">
        <v>1</v>
      </c>
      <c r="G13" s="358">
        <v>45</v>
      </c>
      <c r="H13" s="292">
        <f t="shared" si="2"/>
        <v>45</v>
      </c>
      <c r="I13" s="826">
        <f t="shared" si="0"/>
        <v>-45</v>
      </c>
      <c r="J13" s="573" t="s">
        <v>588</v>
      </c>
    </row>
    <row r="14" spans="1:17" ht="21" customHeight="1">
      <c r="A14" s="837"/>
      <c r="B14" s="837" t="s">
        <v>355</v>
      </c>
      <c r="C14" s="53"/>
      <c r="D14" s="53"/>
      <c r="E14" s="322">
        <f>SUM(E5:E13)</f>
        <v>78300</v>
      </c>
      <c r="F14" s="53"/>
      <c r="G14" s="53"/>
      <c r="H14" s="322">
        <f t="shared" ref="H14:I14" si="4">SUM(H5:H13)</f>
        <v>38106.743977600003</v>
      </c>
      <c r="I14" s="322">
        <f t="shared" si="4"/>
        <v>40193.256022399997</v>
      </c>
      <c r="J14" s="838" t="s">
        <v>590</v>
      </c>
      <c r="O14" s="12">
        <v>45</v>
      </c>
    </row>
    <row r="15" spans="1:17" ht="21" customHeight="1">
      <c r="E15" s="839"/>
      <c r="I15" s="840"/>
    </row>
    <row r="16" spans="1:17" ht="21" customHeight="1">
      <c r="E16" s="839"/>
      <c r="H16" s="13">
        <f>H5+H12+H13</f>
        <v>22962</v>
      </c>
      <c r="I16" s="840"/>
    </row>
    <row r="18" spans="8:10" ht="12.75">
      <c r="J18" s="12">
        <v>39980</v>
      </c>
    </row>
    <row r="19" spans="8:10" ht="12.75">
      <c r="H19" s="13">
        <f>'ЦА ожидаемое'!I22</f>
        <v>355000</v>
      </c>
    </row>
    <row r="20" spans="8:10" ht="12.75">
      <c r="J20" s="13">
        <f>I14-J18</f>
        <v>213.25602239999716</v>
      </c>
    </row>
    <row r="21" spans="8:10" ht="12.75">
      <c r="H21" s="13">
        <f>H19-H5-M11-M12-H13</f>
        <v>325949</v>
      </c>
    </row>
    <row r="23" spans="8:10" ht="12.75">
      <c r="H23" s="13">
        <f>H21-I14</f>
        <v>285755.74397760001</v>
      </c>
    </row>
  </sheetData>
  <mergeCells count="7">
    <mergeCell ref="A1:J1"/>
    <mergeCell ref="A3:A4"/>
    <mergeCell ref="B3:B4"/>
    <mergeCell ref="C3:E3"/>
    <mergeCell ref="F3:H3"/>
    <mergeCell ref="I3:I4"/>
    <mergeCell ref="J3:J4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31"/>
  <sheetViews>
    <sheetView workbookViewId="0">
      <selection sqref="A1:M2"/>
    </sheetView>
  </sheetViews>
  <sheetFormatPr defaultColWidth="12.5703125" defaultRowHeight="15.75" customHeight="1"/>
  <cols>
    <col min="1" max="1" width="9.42578125" customWidth="1"/>
    <col min="2" max="2" width="10" customWidth="1"/>
    <col min="3" max="3" width="42.28515625" customWidth="1"/>
    <col min="4" max="4" width="14.85546875" customWidth="1"/>
    <col min="5" max="5" width="15.42578125" customWidth="1"/>
    <col min="6" max="6" width="8.28515625" customWidth="1"/>
    <col min="7" max="7" width="18.28515625" customWidth="1"/>
    <col min="8" max="8" width="80.42578125" customWidth="1"/>
  </cols>
  <sheetData>
    <row r="1" spans="1:8" ht="18">
      <c r="A1" s="930" t="s">
        <v>516</v>
      </c>
      <c r="B1" s="865"/>
      <c r="C1" s="865"/>
      <c r="D1" s="865"/>
      <c r="E1" s="865"/>
      <c r="F1" s="865"/>
      <c r="G1" s="865"/>
      <c r="H1" s="865"/>
    </row>
    <row r="2" spans="1:8" ht="12.75">
      <c r="A2" s="695"/>
      <c r="B2" s="695"/>
      <c r="C2" s="695"/>
      <c r="D2" s="695"/>
      <c r="E2" s="695"/>
      <c r="F2" s="695"/>
      <c r="G2" s="695"/>
      <c r="H2" s="695"/>
    </row>
    <row r="3" spans="1:8" ht="12.75">
      <c r="A3" s="929" t="s">
        <v>1</v>
      </c>
      <c r="B3" s="929" t="s">
        <v>2</v>
      </c>
      <c r="C3" s="929" t="s">
        <v>517</v>
      </c>
      <c r="D3" s="929" t="s">
        <v>518</v>
      </c>
      <c r="E3" s="929" t="s">
        <v>519</v>
      </c>
      <c r="F3" s="929" t="s">
        <v>11</v>
      </c>
      <c r="G3" s="929" t="s">
        <v>520</v>
      </c>
      <c r="H3" s="929" t="s">
        <v>190</v>
      </c>
    </row>
    <row r="4" spans="1:8" ht="12.75">
      <c r="A4" s="863"/>
      <c r="B4" s="863"/>
      <c r="C4" s="863"/>
      <c r="D4" s="863"/>
      <c r="E4" s="863"/>
      <c r="F4" s="863"/>
      <c r="G4" s="863"/>
      <c r="H4" s="863"/>
    </row>
    <row r="5" spans="1:8" ht="12.75">
      <c r="A5" s="862"/>
      <c r="B5" s="862"/>
      <c r="C5" s="862"/>
      <c r="D5" s="862"/>
      <c r="E5" s="862"/>
      <c r="F5" s="862"/>
      <c r="G5" s="862"/>
      <c r="H5" s="862"/>
    </row>
    <row r="6" spans="1:8" ht="14.25">
      <c r="A6" s="928">
        <v>1</v>
      </c>
      <c r="B6" s="868"/>
      <c r="C6" s="696">
        <v>2</v>
      </c>
      <c r="D6" s="696">
        <v>3</v>
      </c>
      <c r="E6" s="696">
        <v>4</v>
      </c>
      <c r="F6" s="696">
        <v>5</v>
      </c>
      <c r="G6" s="696">
        <v>6</v>
      </c>
      <c r="H6" s="696">
        <v>7</v>
      </c>
    </row>
    <row r="7" spans="1:8" ht="12.75">
      <c r="A7" s="697"/>
      <c r="B7" s="698"/>
      <c r="C7" s="698"/>
      <c r="D7" s="699">
        <f t="shared" ref="D7:E7" ca="1" si="0">D8+D13+D16</f>
        <v>46597341.399999887</v>
      </c>
      <c r="E7" s="699">
        <f t="shared" ca="1" si="0"/>
        <v>38373429.7999999</v>
      </c>
      <c r="F7" s="700">
        <f t="shared" ref="F7:F16" ca="1" si="1">E7/D7*100</f>
        <v>82.351114134593089</v>
      </c>
      <c r="G7" s="699">
        <f ca="1">G8+G13+G16</f>
        <v>-8223911.5999999885</v>
      </c>
      <c r="H7" s="698"/>
    </row>
    <row r="8" spans="1:8" ht="30">
      <c r="A8" s="701">
        <v>1</v>
      </c>
      <c r="B8" s="698"/>
      <c r="C8" s="702" t="s">
        <v>15</v>
      </c>
      <c r="D8" s="703">
        <f t="shared" ref="D8:E8" ca="1" si="2">SUM(D9:D12)</f>
        <v>26153214.999999989</v>
      </c>
      <c r="E8" s="703">
        <f t="shared" ca="1" si="2"/>
        <v>19039941.399999999</v>
      </c>
      <c r="F8" s="700">
        <f t="shared" ca="1" si="1"/>
        <v>72.801532813461009</v>
      </c>
      <c r="G8" s="704">
        <f t="shared" ref="G8:G12" ca="1" si="3">E8-D8</f>
        <v>-7113273.5999999903</v>
      </c>
      <c r="H8" s="698"/>
    </row>
    <row r="9" spans="1:8" ht="45">
      <c r="A9" s="697"/>
      <c r="B9" s="705">
        <v>100</v>
      </c>
      <c r="C9" s="702" t="s">
        <v>16</v>
      </c>
      <c r="D9" s="706">
        <f ca="1">'СВОД с ЦА (анализ)'!E10</f>
        <v>2780991.5999999898</v>
      </c>
      <c r="E9" s="706">
        <v>2281193.7999999998</v>
      </c>
      <c r="F9" s="700">
        <f t="shared" ca="1" si="1"/>
        <v>82.02807228903562</v>
      </c>
      <c r="G9" s="704">
        <f t="shared" ca="1" si="3"/>
        <v>-499797.79999999003</v>
      </c>
      <c r="H9" s="698"/>
    </row>
    <row r="10" spans="1:8" ht="75">
      <c r="A10" s="697"/>
      <c r="B10" s="705">
        <v>104</v>
      </c>
      <c r="C10" s="702" t="s">
        <v>25</v>
      </c>
      <c r="D10" s="707">
        <f ca="1">'СВОД с ЦА (анализ)'!E19</f>
        <v>725359</v>
      </c>
      <c r="E10" s="708">
        <v>355893.39999999997</v>
      </c>
      <c r="F10" s="700">
        <f t="shared" ca="1" si="1"/>
        <v>49.064449465712833</v>
      </c>
      <c r="G10" s="704">
        <f t="shared" ca="1" si="3"/>
        <v>-369465.60000000003</v>
      </c>
      <c r="H10" s="698"/>
    </row>
    <row r="11" spans="1:8" ht="102">
      <c r="A11" s="697"/>
      <c r="B11" s="705">
        <v>111</v>
      </c>
      <c r="C11" s="702" t="s">
        <v>30</v>
      </c>
      <c r="D11" s="707">
        <f ca="1">'СВОД с ЦА (анализ)'!E23</f>
        <v>906077.19999999902</v>
      </c>
      <c r="E11" s="708">
        <f ca="1">D11-278794.1-924000-64154.4</f>
        <v>-360871.30000000098</v>
      </c>
      <c r="F11" s="700">
        <f t="shared" ca="1" si="1"/>
        <v>-39.827875593823727</v>
      </c>
      <c r="G11" s="704">
        <f t="shared" ca="1" si="3"/>
        <v>-1266948.5</v>
      </c>
      <c r="H11" s="714" t="s">
        <v>591</v>
      </c>
    </row>
    <row r="12" spans="1:8" ht="15">
      <c r="A12" s="697"/>
      <c r="B12" s="705">
        <v>123</v>
      </c>
      <c r="C12" s="702" t="s">
        <v>36</v>
      </c>
      <c r="D12" s="707">
        <f ca="1">'СВОД с ЦА (анализ)'!E30</f>
        <v>21740787.199999999</v>
      </c>
      <c r="E12" s="708">
        <v>16763725.5</v>
      </c>
      <c r="F12" s="700">
        <f t="shared" ca="1" si="1"/>
        <v>77.107260863120914</v>
      </c>
      <c r="G12" s="704">
        <f t="shared" ca="1" si="3"/>
        <v>-4977061.6999999993</v>
      </c>
      <c r="H12" s="710"/>
    </row>
    <row r="13" spans="1:8" ht="15">
      <c r="A13" s="701">
        <v>70</v>
      </c>
      <c r="B13" s="698"/>
      <c r="C13" s="702" t="s">
        <v>51</v>
      </c>
      <c r="D13" s="711">
        <f t="shared" ref="D13:E13" ca="1" si="4">SUM(D14:D15)</f>
        <v>20365689.999999899</v>
      </c>
      <c r="E13" s="711">
        <f t="shared" ca="1" si="4"/>
        <v>19285109.499999899</v>
      </c>
      <c r="F13" s="700">
        <f t="shared" ca="1" si="1"/>
        <v>94.694112991015743</v>
      </c>
      <c r="G13" s="711">
        <f ca="1">SUM(G14:G15)</f>
        <v>-1080580.4999999986</v>
      </c>
      <c r="H13" s="710"/>
    </row>
    <row r="14" spans="1:8" ht="185.25" customHeight="1">
      <c r="A14" s="697"/>
      <c r="B14" s="712">
        <v>100</v>
      </c>
      <c r="C14" s="702" t="s">
        <v>52</v>
      </c>
      <c r="D14" s="706">
        <f ca="1">'СВОД с ЦА (анализ)'!E54</f>
        <v>19211866.999999899</v>
      </c>
      <c r="E14" s="713">
        <f ca="1">D14-1072899.4+287457+20000</f>
        <v>18446424.599999901</v>
      </c>
      <c r="F14" s="700">
        <f t="shared" ca="1" si="1"/>
        <v>96.01578336972662</v>
      </c>
      <c r="G14" s="704">
        <f t="shared" ref="G14:G16" ca="1" si="5">E14-D14</f>
        <v>-765442.39999999851</v>
      </c>
      <c r="H14" s="714" t="s">
        <v>592</v>
      </c>
    </row>
    <row r="15" spans="1:8" ht="314.25" customHeight="1">
      <c r="A15" s="697"/>
      <c r="B15" s="712">
        <v>112</v>
      </c>
      <c r="C15" s="702" t="s">
        <v>53</v>
      </c>
      <c r="D15" s="707">
        <f ca="1">'СВОД с ЦА (анализ)'!E57</f>
        <v>1153823</v>
      </c>
      <c r="E15" s="708">
        <f>882777.9-44093</f>
        <v>838684.9</v>
      </c>
      <c r="F15" s="700">
        <f t="shared" ca="1" si="1"/>
        <v>72.687483262164136</v>
      </c>
      <c r="G15" s="704">
        <f t="shared" ca="1" si="5"/>
        <v>-315138.09999999998</v>
      </c>
      <c r="H15" s="715" t="s">
        <v>593</v>
      </c>
    </row>
    <row r="16" spans="1:8" ht="45">
      <c r="A16" s="716">
        <v>138</v>
      </c>
      <c r="B16" s="705">
        <v>0</v>
      </c>
      <c r="C16" s="702" t="s">
        <v>55</v>
      </c>
      <c r="D16" s="717">
        <f ca="1">'СВОД с ЦА (анализ)'!E59</f>
        <v>78436.399999999907</v>
      </c>
      <c r="E16" s="718">
        <v>48378.9</v>
      </c>
      <c r="F16" s="700">
        <f t="shared" ca="1" si="1"/>
        <v>61.679143866878206</v>
      </c>
      <c r="G16" s="704">
        <f t="shared" ca="1" si="5"/>
        <v>-30057.499999999905</v>
      </c>
      <c r="H16" s="710"/>
    </row>
    <row r="17" spans="1:8" ht="15">
      <c r="A17" s="719"/>
      <c r="B17" s="719"/>
      <c r="C17" s="720"/>
      <c r="D17" s="719"/>
      <c r="E17" s="719"/>
      <c r="F17" s="719"/>
      <c r="G17" s="719"/>
      <c r="H17" s="719"/>
    </row>
    <row r="18" spans="1:8" ht="15">
      <c r="A18" s="719"/>
      <c r="B18" s="719"/>
      <c r="C18" s="720"/>
      <c r="D18" s="719"/>
      <c r="E18" s="719"/>
      <c r="F18" s="719"/>
      <c r="G18" s="719"/>
      <c r="H18" s="719"/>
    </row>
    <row r="19" spans="1:8" ht="15">
      <c r="A19" s="719"/>
      <c r="B19" s="719"/>
      <c r="C19" s="720"/>
      <c r="D19" s="719"/>
      <c r="E19" s="719"/>
      <c r="F19" s="719"/>
      <c r="G19" s="719"/>
      <c r="H19" s="719"/>
    </row>
    <row r="20" spans="1:8" ht="15">
      <c r="A20" s="719"/>
      <c r="B20" s="719"/>
      <c r="C20" s="720"/>
      <c r="D20" s="719"/>
      <c r="E20" s="719"/>
      <c r="F20" s="719"/>
      <c r="G20" s="719"/>
      <c r="H20" s="719"/>
    </row>
    <row r="21" spans="1:8" ht="18">
      <c r="A21" s="719"/>
      <c r="B21" s="719"/>
      <c r="C21" s="720"/>
      <c r="D21" s="719"/>
      <c r="E21" s="719"/>
      <c r="F21" s="719"/>
      <c r="G21" s="719"/>
      <c r="H21" s="721"/>
    </row>
    <row r="22" spans="1:8" ht="18">
      <c r="A22" s="719"/>
      <c r="B22" s="719"/>
      <c r="C22" s="720"/>
      <c r="D22" s="719"/>
      <c r="E22" s="719"/>
      <c r="F22" s="719"/>
      <c r="G22" s="719"/>
      <c r="H22" s="721"/>
    </row>
    <row r="23" spans="1:8" ht="18">
      <c r="A23" s="719"/>
      <c r="B23" s="719"/>
      <c r="C23" s="720"/>
      <c r="D23" s="719"/>
      <c r="E23" s="719"/>
      <c r="F23" s="719"/>
      <c r="G23" s="719"/>
      <c r="H23" s="721"/>
    </row>
    <row r="24" spans="1:8" ht="12.75">
      <c r="A24" s="272"/>
      <c r="B24" s="272"/>
      <c r="C24" s="722"/>
      <c r="D24" s="272"/>
      <c r="E24" s="272"/>
      <c r="F24" s="272"/>
      <c r="G24" s="272"/>
      <c r="H24" s="272"/>
    </row>
    <row r="25" spans="1:8" ht="12.75">
      <c r="A25" s="272"/>
      <c r="B25" s="272"/>
      <c r="C25" s="272"/>
      <c r="D25" s="272"/>
      <c r="E25" s="272"/>
      <c r="F25" s="272"/>
      <c r="G25" s="272"/>
      <c r="H25" s="272"/>
    </row>
    <row r="26" spans="1:8" ht="12.75">
      <c r="A26" s="272"/>
      <c r="B26" s="272"/>
      <c r="C26" s="272"/>
      <c r="D26" s="272"/>
      <c r="E26" s="272"/>
      <c r="F26" s="272"/>
      <c r="G26" s="272"/>
      <c r="H26" s="272"/>
    </row>
    <row r="27" spans="1:8" ht="12.75">
      <c r="A27" s="272"/>
      <c r="B27" s="272"/>
      <c r="C27" s="272"/>
      <c r="D27" s="272"/>
      <c r="E27" s="272"/>
      <c r="F27" s="272"/>
      <c r="G27" s="272"/>
      <c r="H27" s="272"/>
    </row>
    <row r="28" spans="1:8" ht="12.75">
      <c r="A28" s="272"/>
      <c r="B28" s="272"/>
      <c r="C28" s="272"/>
      <c r="D28" s="272"/>
      <c r="E28" s="272"/>
      <c r="F28" s="272"/>
      <c r="G28" s="272"/>
      <c r="H28" s="272"/>
    </row>
    <row r="29" spans="1:8" ht="12.75">
      <c r="A29" s="272"/>
      <c r="B29" s="272"/>
      <c r="C29" s="272"/>
      <c r="D29" s="272"/>
      <c r="E29" s="272"/>
      <c r="F29" s="272"/>
      <c r="G29" s="272"/>
      <c r="H29" s="272"/>
    </row>
    <row r="30" spans="1:8" ht="12.75">
      <c r="A30" s="272"/>
      <c r="B30" s="272"/>
      <c r="C30" s="272"/>
      <c r="D30" s="272"/>
      <c r="E30" s="272"/>
      <c r="F30" s="272"/>
      <c r="G30" s="272"/>
      <c r="H30" s="272"/>
    </row>
    <row r="31" spans="1:8" ht="12.75">
      <c r="A31" s="272"/>
      <c r="B31" s="272"/>
      <c r="C31" s="272"/>
      <c r="D31" s="272"/>
      <c r="E31" s="272"/>
      <c r="F31" s="272"/>
      <c r="G31" s="272"/>
      <c r="H31" s="272"/>
    </row>
  </sheetData>
  <mergeCells count="10">
    <mergeCell ref="A6:B6"/>
    <mergeCell ref="G3:G5"/>
    <mergeCell ref="H3:H5"/>
    <mergeCell ref="A1:H1"/>
    <mergeCell ref="A3:A5"/>
    <mergeCell ref="B3:B5"/>
    <mergeCell ref="C3:C5"/>
    <mergeCell ref="D3:D5"/>
    <mergeCell ref="E3:E5"/>
    <mergeCell ref="F3:F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01.07.26 гос.язык</vt:lpstr>
      <vt:lpstr>01.07.26г.</vt:lpstr>
      <vt:lpstr>СВОД терр</vt:lpstr>
      <vt:lpstr>по ТД (копия)</vt:lpstr>
      <vt:lpstr>передвижка платежи</vt:lpstr>
      <vt:lpstr>Передвижка обязательства</vt:lpstr>
      <vt:lpstr>НЦЭ</vt:lpstr>
      <vt:lpstr>СВОД с ЦА (анализ)</vt:lpstr>
      <vt:lpstr>ЦА</vt:lpstr>
      <vt:lpstr>ИПФ обязплат</vt:lpstr>
      <vt:lpstr>Совещание</vt:lpstr>
      <vt:lpstr>риски</vt:lpstr>
      <vt:lpstr>Капремонт</vt:lpstr>
      <vt:lpstr>ЦА ожидаемое</vt:lpstr>
      <vt:lpstr>Лист10</vt:lpstr>
      <vt:lpstr>Совещание МЗ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</cp:lastModifiedBy>
  <cp:lastPrinted>2024-10-07T11:08:35Z</cp:lastPrinted>
  <dcterms:created xsi:type="dcterms:W3CDTF">2023-07-03T08:47:40Z</dcterms:created>
  <dcterms:modified xsi:type="dcterms:W3CDTF">2026-09-10T04:23:42Z</dcterms:modified>
</cp:coreProperties>
</file>