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718A59D0-E332-4B51-AF4F-77F5C1F24AED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платежи" sheetId="42" r:id="rId1"/>
    <sheet name="Лист1" sheetId="43" r:id="rId2"/>
    <sheet name="Лист2" sheetId="44" r:id="rId3"/>
  </sheets>
  <definedNames>
    <definedName name="_xlnm.Print_Titles" localSheetId="0">платежи!$4:$4</definedName>
    <definedName name="_xlnm.Print_Area" localSheetId="1">Лист1!$A$1:$Q$28</definedName>
    <definedName name="_xlnm.Print_Area" localSheetId="0">платежи!$B$1:$V$149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6" i="44" l="1"/>
  <c r="G55" i="44"/>
  <c r="G54" i="44" s="1"/>
  <c r="G53" i="44"/>
  <c r="G52" i="44" s="1"/>
  <c r="G51" i="44"/>
  <c r="G50" i="44" s="1"/>
  <c r="G49" i="44"/>
  <c r="G47" i="44"/>
  <c r="G46" i="44"/>
  <c r="G45" i="44" s="1"/>
  <c r="G44" i="44"/>
  <c r="G43" i="44"/>
  <c r="G42" i="44"/>
  <c r="G40" i="44"/>
  <c r="G38" i="44"/>
  <c r="G37" i="44"/>
  <c r="G34" i="44"/>
  <c r="G33" i="44" s="1"/>
  <c r="G32" i="44"/>
  <c r="G31" i="44"/>
  <c r="G29" i="44"/>
  <c r="G28" i="44"/>
  <c r="G27" i="44"/>
  <c r="G26" i="44"/>
  <c r="G25" i="44"/>
  <c r="G24" i="44" s="1"/>
  <c r="G22" i="44"/>
  <c r="G20" i="44"/>
  <c r="G19" i="44"/>
  <c r="G18" i="44"/>
  <c r="G17" i="44"/>
  <c r="G13" i="44"/>
  <c r="G12" i="44" s="1"/>
  <c r="G11" i="44"/>
  <c r="G10" i="44"/>
  <c r="G9" i="44"/>
  <c r="G8" i="44"/>
  <c r="G7" i="44"/>
  <c r="O20" i="43"/>
  <c r="M20" i="43"/>
  <c r="L20" i="43"/>
  <c r="K20" i="43"/>
  <c r="I20" i="43"/>
  <c r="H20" i="43"/>
  <c r="G20" i="43"/>
  <c r="F20" i="43"/>
  <c r="E20" i="43"/>
  <c r="D20" i="43"/>
  <c r="C20" i="43"/>
  <c r="B20" i="43"/>
  <c r="O19" i="43"/>
  <c r="N19" i="43"/>
  <c r="M19" i="43"/>
  <c r="J19" i="43"/>
  <c r="B25" i="43" s="1"/>
  <c r="G19" i="43"/>
  <c r="O18" i="43"/>
  <c r="N18" i="43"/>
  <c r="M18" i="43"/>
  <c r="J18" i="43"/>
  <c r="P18" i="43" s="1"/>
  <c r="G18" i="43"/>
  <c r="B24" i="43" s="1"/>
  <c r="O17" i="43"/>
  <c r="N17" i="43"/>
  <c r="N20" i="43" s="1"/>
  <c r="M17" i="43"/>
  <c r="J17" i="43"/>
  <c r="J20" i="43" s="1"/>
  <c r="G17" i="43"/>
  <c r="M9" i="43"/>
  <c r="L9" i="43"/>
  <c r="K9" i="43"/>
  <c r="J9" i="43"/>
  <c r="I9" i="43"/>
  <c r="H9" i="43"/>
  <c r="G9" i="43"/>
  <c r="F9" i="43"/>
  <c r="E9" i="43"/>
  <c r="D9" i="43"/>
  <c r="C9" i="43"/>
  <c r="B9" i="43"/>
  <c r="P8" i="43"/>
  <c r="O8" i="43"/>
  <c r="N8" i="43"/>
  <c r="P7" i="43"/>
  <c r="P9" i="43" s="1"/>
  <c r="O7" i="43"/>
  <c r="N7" i="43"/>
  <c r="N9" i="43" s="1"/>
  <c r="P6" i="43"/>
  <c r="O6" i="43"/>
  <c r="O9" i="43" s="1"/>
  <c r="N6" i="43"/>
  <c r="U148" i="42"/>
  <c r="U147" i="42" s="1"/>
  <c r="G148" i="42"/>
  <c r="V147" i="42"/>
  <c r="T147" i="42"/>
  <c r="S147" i="42"/>
  <c r="R147" i="42"/>
  <c r="Q147" i="42"/>
  <c r="P147" i="42"/>
  <c r="O147" i="42"/>
  <c r="N147" i="42"/>
  <c r="M147" i="42"/>
  <c r="L147" i="42"/>
  <c r="K147" i="42"/>
  <c r="J147" i="42"/>
  <c r="I147" i="42"/>
  <c r="H147" i="42"/>
  <c r="G147" i="42" s="1"/>
  <c r="U146" i="42"/>
  <c r="K146" i="42"/>
  <c r="G146" i="42"/>
  <c r="V145" i="42"/>
  <c r="U145" i="42"/>
  <c r="T145" i="42"/>
  <c r="S145" i="42"/>
  <c r="R145" i="42"/>
  <c r="Q145" i="42"/>
  <c r="P145" i="42"/>
  <c r="O145" i="42"/>
  <c r="N145" i="42"/>
  <c r="M145" i="42"/>
  <c r="L145" i="42"/>
  <c r="K145" i="42"/>
  <c r="J145" i="42"/>
  <c r="I145" i="42"/>
  <c r="H145" i="42"/>
  <c r="G145" i="42"/>
  <c r="V144" i="42"/>
  <c r="U144" i="42"/>
  <c r="T144" i="42"/>
  <c r="S144" i="42"/>
  <c r="R144" i="42"/>
  <c r="Q144" i="42"/>
  <c r="P144" i="42"/>
  <c r="O144" i="42"/>
  <c r="N144" i="42"/>
  <c r="M144" i="42"/>
  <c r="L144" i="42"/>
  <c r="K144" i="42"/>
  <c r="J144" i="42"/>
  <c r="I144" i="42"/>
  <c r="H144" i="42"/>
  <c r="G144" i="42"/>
  <c r="V143" i="42"/>
  <c r="U143" i="42"/>
  <c r="T143" i="42"/>
  <c r="S143" i="42"/>
  <c r="R143" i="42"/>
  <c r="Q143" i="42"/>
  <c r="P143" i="42"/>
  <c r="O143" i="42"/>
  <c r="N143" i="42"/>
  <c r="M143" i="42"/>
  <c r="L143" i="42"/>
  <c r="K143" i="42"/>
  <c r="J143" i="42"/>
  <c r="I143" i="42"/>
  <c r="H143" i="42"/>
  <c r="G143" i="42"/>
  <c r="T142" i="42"/>
  <c r="T140" i="42" s="1"/>
  <c r="O142" i="42"/>
  <c r="M142" i="42"/>
  <c r="L142" i="42"/>
  <c r="U142" i="42" s="1"/>
  <c r="U140" i="42" s="1"/>
  <c r="G142" i="42"/>
  <c r="V141" i="42"/>
  <c r="U141" i="42"/>
  <c r="T141" i="42"/>
  <c r="Q141" i="42"/>
  <c r="O141" i="42"/>
  <c r="N141" i="42"/>
  <c r="N140" i="42" s="1"/>
  <c r="M141" i="42"/>
  <c r="G141" i="42"/>
  <c r="V140" i="42"/>
  <c r="S140" i="42"/>
  <c r="R140" i="42"/>
  <c r="Q140" i="42"/>
  <c r="P140" i="42"/>
  <c r="O140" i="42"/>
  <c r="G140" i="42" s="1"/>
  <c r="M140" i="42"/>
  <c r="L140" i="42"/>
  <c r="K140" i="42"/>
  <c r="J140" i="42"/>
  <c r="I140" i="42"/>
  <c r="H140" i="42"/>
  <c r="N139" i="42"/>
  <c r="N138" i="42" s="1"/>
  <c r="G138" i="42" s="1"/>
  <c r="M139" i="42"/>
  <c r="U139" i="42" s="1"/>
  <c r="G139" i="42"/>
  <c r="V138" i="42"/>
  <c r="U138" i="42"/>
  <c r="T138" i="42"/>
  <c r="S138" i="42"/>
  <c r="S133" i="42" s="1"/>
  <c r="S132" i="42" s="1"/>
  <c r="S131" i="42" s="1"/>
  <c r="R138" i="42"/>
  <c r="Q138" i="42"/>
  <c r="Q133" i="42" s="1"/>
  <c r="Q132" i="42" s="1"/>
  <c r="Q131" i="42" s="1"/>
  <c r="P138" i="42"/>
  <c r="O138" i="42"/>
  <c r="O133" i="42" s="1"/>
  <c r="O132" i="42" s="1"/>
  <c r="O131" i="42" s="1"/>
  <c r="M138" i="42"/>
  <c r="M133" i="42" s="1"/>
  <c r="M132" i="42" s="1"/>
  <c r="M131" i="42" s="1"/>
  <c r="L138" i="42"/>
  <c r="K138" i="42"/>
  <c r="K133" i="42" s="1"/>
  <c r="K132" i="42" s="1"/>
  <c r="K131" i="42" s="1"/>
  <c r="J138" i="42"/>
  <c r="I138" i="42"/>
  <c r="I133" i="42" s="1"/>
  <c r="I132" i="42" s="1"/>
  <c r="I131" i="42" s="1"/>
  <c r="H138" i="42"/>
  <c r="U137" i="42"/>
  <c r="N137" i="42"/>
  <c r="G137" i="42" s="1"/>
  <c r="V136" i="42"/>
  <c r="U136" i="42"/>
  <c r="T136" i="42"/>
  <c r="T133" i="42" s="1"/>
  <c r="T132" i="42" s="1"/>
  <c r="T131" i="42" s="1"/>
  <c r="S136" i="42"/>
  <c r="R136" i="42"/>
  <c r="Q136" i="42"/>
  <c r="P136" i="42"/>
  <c r="P133" i="42" s="1"/>
  <c r="P132" i="42" s="1"/>
  <c r="P131" i="42" s="1"/>
  <c r="P5" i="42" s="1"/>
  <c r="O136" i="42"/>
  <c r="N136" i="42"/>
  <c r="M136" i="42"/>
  <c r="L136" i="42"/>
  <c r="L133" i="42" s="1"/>
  <c r="L132" i="42" s="1"/>
  <c r="L131" i="42" s="1"/>
  <c r="L5" i="42" s="1"/>
  <c r="K136" i="42"/>
  <c r="J136" i="42"/>
  <c r="I136" i="42"/>
  <c r="H136" i="42"/>
  <c r="G136" i="42" s="1"/>
  <c r="N135" i="42"/>
  <c r="L135" i="42"/>
  <c r="G135" i="42" s="1"/>
  <c r="V134" i="42"/>
  <c r="T134" i="42"/>
  <c r="S134" i="42"/>
  <c r="R134" i="42"/>
  <c r="Q134" i="42"/>
  <c r="P134" i="42"/>
  <c r="O134" i="42"/>
  <c r="N134" i="42"/>
  <c r="M134" i="42"/>
  <c r="L134" i="42"/>
  <c r="K134" i="42"/>
  <c r="J134" i="42"/>
  <c r="I134" i="42"/>
  <c r="H134" i="42"/>
  <c r="G134" i="42" s="1"/>
  <c r="V133" i="42"/>
  <c r="R133" i="42"/>
  <c r="N133" i="42"/>
  <c r="J133" i="42"/>
  <c r="V132" i="42"/>
  <c r="R132" i="42"/>
  <c r="N132" i="42"/>
  <c r="J132" i="42"/>
  <c r="V131" i="42"/>
  <c r="R131" i="42"/>
  <c r="N131" i="42"/>
  <c r="J131" i="42"/>
  <c r="U130" i="42"/>
  <c r="O130" i="42"/>
  <c r="N130" i="42"/>
  <c r="G130" i="42" s="1"/>
  <c r="S129" i="42"/>
  <c r="R129" i="42"/>
  <c r="Q129" i="42"/>
  <c r="P129" i="42"/>
  <c r="O129" i="42"/>
  <c r="N129" i="42"/>
  <c r="M129" i="42"/>
  <c r="L129" i="42"/>
  <c r="K129" i="42"/>
  <c r="J129" i="42"/>
  <c r="G129" i="42" s="1"/>
  <c r="V128" i="42"/>
  <c r="T128" i="42"/>
  <c r="S128" i="42"/>
  <c r="R128" i="42"/>
  <c r="Q128" i="42"/>
  <c r="P128" i="42"/>
  <c r="O128" i="42"/>
  <c r="M128" i="42"/>
  <c r="L128" i="42"/>
  <c r="K128" i="42"/>
  <c r="J128" i="42"/>
  <c r="I128" i="42"/>
  <c r="H128" i="42"/>
  <c r="Q127" i="42"/>
  <c r="O127" i="42"/>
  <c r="N127" i="42"/>
  <c r="M127" i="42"/>
  <c r="M121" i="42" s="1"/>
  <c r="L127" i="42"/>
  <c r="K127" i="42"/>
  <c r="U127" i="42" s="1"/>
  <c r="J127" i="42"/>
  <c r="G127" i="42"/>
  <c r="T126" i="42"/>
  <c r="O126" i="42"/>
  <c r="N126" i="42"/>
  <c r="L126" i="42"/>
  <c r="U126" i="42" s="1"/>
  <c r="G126" i="42"/>
  <c r="U125" i="42"/>
  <c r="T125" i="42"/>
  <c r="T121" i="42" s="1"/>
  <c r="O125" i="42"/>
  <c r="N125" i="42"/>
  <c r="G125" i="42" s="1"/>
  <c r="U124" i="42"/>
  <c r="T124" i="42"/>
  <c r="N124" i="42"/>
  <c r="G124" i="42" s="1"/>
  <c r="U123" i="42"/>
  <c r="G123" i="42"/>
  <c r="O122" i="42"/>
  <c r="N122" i="42"/>
  <c r="M122" i="42"/>
  <c r="L122" i="42"/>
  <c r="L121" i="42" s="1"/>
  <c r="K122" i="42"/>
  <c r="J122" i="42"/>
  <c r="J121" i="42" s="1"/>
  <c r="I122" i="42"/>
  <c r="G122" i="42"/>
  <c r="V121" i="42"/>
  <c r="S121" i="42"/>
  <c r="R121" i="42"/>
  <c r="Q121" i="42"/>
  <c r="P121" i="42"/>
  <c r="O121" i="42"/>
  <c r="K121" i="42"/>
  <c r="I121" i="42"/>
  <c r="H121" i="42"/>
  <c r="U120" i="42"/>
  <c r="T120" i="42"/>
  <c r="O120" i="42"/>
  <c r="N120" i="42"/>
  <c r="G120" i="42" s="1"/>
  <c r="U119" i="42"/>
  <c r="T119" i="42"/>
  <c r="G119" i="42"/>
  <c r="T118" i="42"/>
  <c r="N118" i="42"/>
  <c r="K118" i="42"/>
  <c r="V117" i="42"/>
  <c r="V115" i="42" s="1"/>
  <c r="T117" i="42"/>
  <c r="T115" i="42" s="1"/>
  <c r="O117" i="42"/>
  <c r="N117" i="42"/>
  <c r="N115" i="42" s="1"/>
  <c r="M117" i="42"/>
  <c r="L117" i="42"/>
  <c r="L115" i="42" s="1"/>
  <c r="K117" i="42"/>
  <c r="U117" i="42" s="1"/>
  <c r="G117" i="42"/>
  <c r="V116" i="42"/>
  <c r="U116" i="42"/>
  <c r="T116" i="42"/>
  <c r="G116" i="42"/>
  <c r="S115" i="42"/>
  <c r="R115" i="42"/>
  <c r="Q115" i="42"/>
  <c r="P115" i="42"/>
  <c r="O115" i="42"/>
  <c r="M115" i="42"/>
  <c r="G115" i="42" s="1"/>
  <c r="K115" i="42"/>
  <c r="J115" i="42"/>
  <c r="I115" i="42"/>
  <c r="H115" i="42"/>
  <c r="N114" i="42"/>
  <c r="L114" i="42"/>
  <c r="U114" i="42" s="1"/>
  <c r="G114" i="42"/>
  <c r="U113" i="42"/>
  <c r="T113" i="42"/>
  <c r="T110" i="42" s="1"/>
  <c r="O113" i="42"/>
  <c r="N113" i="42"/>
  <c r="G113" i="42" s="1"/>
  <c r="U112" i="42"/>
  <c r="T112" i="42"/>
  <c r="N112" i="42"/>
  <c r="J112" i="42"/>
  <c r="G112" i="42"/>
  <c r="V111" i="42"/>
  <c r="U111" i="42"/>
  <c r="T111" i="42"/>
  <c r="N111" i="42"/>
  <c r="K111" i="42"/>
  <c r="G111" i="42"/>
  <c r="V110" i="42"/>
  <c r="U110" i="42"/>
  <c r="S110" i="42"/>
  <c r="R110" i="42"/>
  <c r="Q110" i="42"/>
  <c r="P110" i="42"/>
  <c r="O110" i="42"/>
  <c r="M110" i="42"/>
  <c r="L110" i="42"/>
  <c r="K110" i="42"/>
  <c r="J110" i="42"/>
  <c r="I110" i="42"/>
  <c r="H110" i="42"/>
  <c r="U109" i="42"/>
  <c r="G109" i="42"/>
  <c r="U108" i="42"/>
  <c r="G108" i="42"/>
  <c r="V107" i="42"/>
  <c r="T107" i="42"/>
  <c r="M107" i="42"/>
  <c r="G107" i="42" s="1"/>
  <c r="V106" i="42"/>
  <c r="V105" i="42" s="1"/>
  <c r="T106" i="42"/>
  <c r="T105" i="42" s="1"/>
  <c r="M106" i="42"/>
  <c r="U106" i="42" s="1"/>
  <c r="G106" i="42"/>
  <c r="S105" i="42"/>
  <c r="R105" i="42"/>
  <c r="Q105" i="42"/>
  <c r="P105" i="42"/>
  <c r="O105" i="42"/>
  <c r="N105" i="42"/>
  <c r="M105" i="42"/>
  <c r="L105" i="42"/>
  <c r="K105" i="42"/>
  <c r="J105" i="42"/>
  <c r="I105" i="42"/>
  <c r="H105" i="42"/>
  <c r="G105" i="42"/>
  <c r="V104" i="42"/>
  <c r="U104" i="42"/>
  <c r="T104" i="42"/>
  <c r="S104" i="42"/>
  <c r="M104" i="42"/>
  <c r="G104" i="42"/>
  <c r="U103" i="42"/>
  <c r="T103" i="42"/>
  <c r="T98" i="42" s="1"/>
  <c r="G103" i="42"/>
  <c r="U102" i="42"/>
  <c r="U98" i="42" s="1"/>
  <c r="T102" i="42"/>
  <c r="O102" i="42"/>
  <c r="G102" i="42" s="1"/>
  <c r="U101" i="42"/>
  <c r="G101" i="42"/>
  <c r="U100" i="42"/>
  <c r="G100" i="42"/>
  <c r="U99" i="42"/>
  <c r="N99" i="42"/>
  <c r="G99" i="42"/>
  <c r="V98" i="42"/>
  <c r="S98" i="42"/>
  <c r="R98" i="42"/>
  <c r="Q98" i="42"/>
  <c r="P98" i="42"/>
  <c r="O98" i="42"/>
  <c r="N98" i="42"/>
  <c r="M98" i="42"/>
  <c r="L98" i="42"/>
  <c r="K98" i="42"/>
  <c r="J98" i="42"/>
  <c r="I98" i="42"/>
  <c r="H98" i="42"/>
  <c r="G98" i="42"/>
  <c r="U97" i="42"/>
  <c r="T97" i="42"/>
  <c r="N97" i="42"/>
  <c r="G97" i="42"/>
  <c r="U96" i="42"/>
  <c r="N96" i="42"/>
  <c r="G96" i="42" s="1"/>
  <c r="T95" i="42"/>
  <c r="K95" i="42"/>
  <c r="G95" i="42" s="1"/>
  <c r="U94" i="42"/>
  <c r="N94" i="42"/>
  <c r="G94" i="42"/>
  <c r="S93" i="42"/>
  <c r="R93" i="42"/>
  <c r="I93" i="42"/>
  <c r="U92" i="42"/>
  <c r="O92" i="42"/>
  <c r="N92" i="42"/>
  <c r="G92" i="42" s="1"/>
  <c r="U91" i="42"/>
  <c r="T91" i="42"/>
  <c r="N91" i="42"/>
  <c r="K91" i="42"/>
  <c r="G91" i="42"/>
  <c r="T90" i="42"/>
  <c r="O90" i="42"/>
  <c r="N90" i="42"/>
  <c r="M90" i="42"/>
  <c r="L90" i="42"/>
  <c r="U90" i="42" s="1"/>
  <c r="V89" i="42"/>
  <c r="T89" i="42"/>
  <c r="S89" i="42"/>
  <c r="R89" i="42"/>
  <c r="Q89" i="42"/>
  <c r="P89" i="42"/>
  <c r="O89" i="42"/>
  <c r="N89" i="42"/>
  <c r="M89" i="42"/>
  <c r="L89" i="42"/>
  <c r="K89" i="42"/>
  <c r="J89" i="42"/>
  <c r="I89" i="42"/>
  <c r="H89" i="42"/>
  <c r="G89" i="42" s="1"/>
  <c r="U88" i="42"/>
  <c r="N88" i="42"/>
  <c r="G88" i="42"/>
  <c r="V87" i="42"/>
  <c r="U87" i="42"/>
  <c r="T87" i="42"/>
  <c r="G87" i="42"/>
  <c r="T86" i="42"/>
  <c r="M86" i="42"/>
  <c r="U86" i="42" s="1"/>
  <c r="G86" i="42"/>
  <c r="V85" i="42"/>
  <c r="U85" i="42"/>
  <c r="T85" i="42"/>
  <c r="G85" i="42"/>
  <c r="T84" i="42"/>
  <c r="Q84" i="42"/>
  <c r="O84" i="42"/>
  <c r="N84" i="42"/>
  <c r="L84" i="42"/>
  <c r="U84" i="42" s="1"/>
  <c r="U83" i="42"/>
  <c r="T83" i="42"/>
  <c r="N83" i="42"/>
  <c r="M83" i="42"/>
  <c r="G83" i="42"/>
  <c r="U82" i="42"/>
  <c r="T82" i="42"/>
  <c r="G82" i="42"/>
  <c r="U81" i="42"/>
  <c r="T81" i="42"/>
  <c r="G81" i="42"/>
  <c r="L80" i="42"/>
  <c r="K80" i="42"/>
  <c r="U80" i="42" s="1"/>
  <c r="G80" i="42"/>
  <c r="U79" i="42"/>
  <c r="N79" i="42"/>
  <c r="G79" i="42" s="1"/>
  <c r="T78" i="42"/>
  <c r="M78" i="42"/>
  <c r="G78" i="42" s="1"/>
  <c r="V77" i="42"/>
  <c r="T77" i="42"/>
  <c r="S77" i="42"/>
  <c r="R77" i="42"/>
  <c r="Q77" i="42"/>
  <c r="P77" i="42"/>
  <c r="O77" i="42"/>
  <c r="N77" i="42"/>
  <c r="L77" i="42"/>
  <c r="K77" i="42"/>
  <c r="J77" i="42"/>
  <c r="I77" i="42"/>
  <c r="H77" i="42"/>
  <c r="U76" i="42"/>
  <c r="T76" i="42"/>
  <c r="G76" i="42"/>
  <c r="U75" i="42"/>
  <c r="G75" i="42"/>
  <c r="U74" i="42"/>
  <c r="T74" i="42"/>
  <c r="O74" i="42"/>
  <c r="N74" i="42"/>
  <c r="G74" i="42" s="1"/>
  <c r="U73" i="42"/>
  <c r="N73" i="42"/>
  <c r="G73" i="42"/>
  <c r="U72" i="42"/>
  <c r="N72" i="42"/>
  <c r="G72" i="42" s="1"/>
  <c r="U71" i="42"/>
  <c r="U69" i="42" s="1"/>
  <c r="T71" i="42"/>
  <c r="N71" i="42"/>
  <c r="G71" i="42" s="1"/>
  <c r="V70" i="42"/>
  <c r="U70" i="42"/>
  <c r="T70" i="42"/>
  <c r="G70" i="42"/>
  <c r="V69" i="42"/>
  <c r="T69" i="42"/>
  <c r="S69" i="42"/>
  <c r="R69" i="42"/>
  <c r="Q69" i="42"/>
  <c r="P69" i="42"/>
  <c r="O69" i="42"/>
  <c r="N69" i="42"/>
  <c r="M69" i="42"/>
  <c r="L69" i="42"/>
  <c r="K69" i="42"/>
  <c r="J69" i="42"/>
  <c r="I69" i="42"/>
  <c r="H69" i="42"/>
  <c r="G69" i="42" s="1"/>
  <c r="U68" i="42"/>
  <c r="T68" i="42"/>
  <c r="O68" i="42"/>
  <c r="N68" i="42"/>
  <c r="G68" i="42"/>
  <c r="T67" i="42"/>
  <c r="N67" i="42"/>
  <c r="J67" i="42"/>
  <c r="U67" i="42" s="1"/>
  <c r="V66" i="42"/>
  <c r="T66" i="42"/>
  <c r="N66" i="42"/>
  <c r="M66" i="42"/>
  <c r="K66" i="42"/>
  <c r="U66" i="42" s="1"/>
  <c r="G66" i="42"/>
  <c r="U65" i="42"/>
  <c r="T65" i="42"/>
  <c r="T63" i="42" s="1"/>
  <c r="T39" i="42" s="1"/>
  <c r="T38" i="42" s="1"/>
  <c r="T37" i="42" s="1"/>
  <c r="T5" i="42" s="1"/>
  <c r="N65" i="42"/>
  <c r="G65" i="42"/>
  <c r="V64" i="42"/>
  <c r="U64" i="42"/>
  <c r="T64" i="42"/>
  <c r="N64" i="42"/>
  <c r="N63" i="42" s="1"/>
  <c r="M64" i="42"/>
  <c r="G64" i="42"/>
  <c r="V63" i="42"/>
  <c r="S63" i="42"/>
  <c r="R63" i="42"/>
  <c r="Q63" i="42"/>
  <c r="P63" i="42"/>
  <c r="O63" i="42"/>
  <c r="M63" i="42"/>
  <c r="L63" i="42"/>
  <c r="K63" i="42"/>
  <c r="J63" i="42"/>
  <c r="I63" i="42"/>
  <c r="H63" i="42"/>
  <c r="U62" i="42"/>
  <c r="G62" i="42"/>
  <c r="V61" i="42"/>
  <c r="U61" i="42"/>
  <c r="T61" i="42"/>
  <c r="G61" i="42"/>
  <c r="V60" i="42"/>
  <c r="T60" i="42"/>
  <c r="I60" i="42"/>
  <c r="G60" i="42" s="1"/>
  <c r="V59" i="42"/>
  <c r="U59" i="42"/>
  <c r="T59" i="42"/>
  <c r="G59" i="42"/>
  <c r="U58" i="42"/>
  <c r="T58" i="42"/>
  <c r="G58" i="42"/>
  <c r="U57" i="42"/>
  <c r="G57" i="42"/>
  <c r="V56" i="42"/>
  <c r="T56" i="42"/>
  <c r="L56" i="42"/>
  <c r="J56" i="42"/>
  <c r="I56" i="42"/>
  <c r="G56" i="42" s="1"/>
  <c r="V55" i="42"/>
  <c r="U55" i="42"/>
  <c r="T55" i="42"/>
  <c r="G55" i="42"/>
  <c r="U54" i="42"/>
  <c r="T54" i="42"/>
  <c r="N54" i="42"/>
  <c r="G54" i="42" s="1"/>
  <c r="V53" i="42"/>
  <c r="T53" i="42"/>
  <c r="S53" i="42"/>
  <c r="R53" i="42"/>
  <c r="Q53" i="42"/>
  <c r="P53" i="42"/>
  <c r="O53" i="42"/>
  <c r="N53" i="42"/>
  <c r="M53" i="42"/>
  <c r="L53" i="42"/>
  <c r="K53" i="42"/>
  <c r="J53" i="42"/>
  <c r="I53" i="42"/>
  <c r="H53" i="42"/>
  <c r="G53" i="42" s="1"/>
  <c r="U52" i="42"/>
  <c r="T52" i="42"/>
  <c r="G52" i="42"/>
  <c r="U51" i="42"/>
  <c r="T51" i="42"/>
  <c r="O51" i="42"/>
  <c r="G51" i="42"/>
  <c r="V50" i="42"/>
  <c r="T50" i="42"/>
  <c r="N50" i="42"/>
  <c r="M50" i="42"/>
  <c r="I50" i="42"/>
  <c r="G50" i="42" s="1"/>
  <c r="V49" i="42"/>
  <c r="T49" i="42"/>
  <c r="S49" i="42"/>
  <c r="R49" i="42"/>
  <c r="Q49" i="42"/>
  <c r="P49" i="42"/>
  <c r="O49" i="42"/>
  <c r="N49" i="42"/>
  <c r="M49" i="42"/>
  <c r="L49" i="42"/>
  <c r="K49" i="42"/>
  <c r="J49" i="42"/>
  <c r="H49" i="42"/>
  <c r="U48" i="42"/>
  <c r="G48" i="42"/>
  <c r="V47" i="42"/>
  <c r="T47" i="42"/>
  <c r="O47" i="42"/>
  <c r="K47" i="42"/>
  <c r="U47" i="42" s="1"/>
  <c r="T46" i="42"/>
  <c r="O46" i="42"/>
  <c r="O45" i="42" s="1"/>
  <c r="O39" i="42" s="1"/>
  <c r="O38" i="42" s="1"/>
  <c r="O37" i="42" s="1"/>
  <c r="N46" i="42"/>
  <c r="K46" i="42"/>
  <c r="G46" i="42" s="1"/>
  <c r="V45" i="42"/>
  <c r="T45" i="42"/>
  <c r="S45" i="42"/>
  <c r="R45" i="42"/>
  <c r="Q45" i="42"/>
  <c r="P45" i="42"/>
  <c r="N45" i="42"/>
  <c r="M45" i="42"/>
  <c r="L45" i="42"/>
  <c r="J45" i="42"/>
  <c r="I45" i="42"/>
  <c r="H45" i="42"/>
  <c r="O44" i="42"/>
  <c r="M44" i="42"/>
  <c r="M40" i="42" s="1"/>
  <c r="L44" i="42"/>
  <c r="G44" i="42"/>
  <c r="U43" i="42"/>
  <c r="N43" i="42"/>
  <c r="G43" i="42" s="1"/>
  <c r="U42" i="42"/>
  <c r="O42" i="42"/>
  <c r="N42" i="42"/>
  <c r="G42" i="42" s="1"/>
  <c r="U41" i="42"/>
  <c r="T41" i="42"/>
  <c r="N41" i="42"/>
  <c r="G41" i="42" s="1"/>
  <c r="V40" i="42"/>
  <c r="T40" i="42"/>
  <c r="S40" i="42"/>
  <c r="R40" i="42"/>
  <c r="Q40" i="42"/>
  <c r="P40" i="42"/>
  <c r="O40" i="42"/>
  <c r="N40" i="42"/>
  <c r="L40" i="42"/>
  <c r="K40" i="42"/>
  <c r="J40" i="42"/>
  <c r="I40" i="42"/>
  <c r="H40" i="42"/>
  <c r="G40" i="42" s="1"/>
  <c r="V39" i="42"/>
  <c r="S39" i="42"/>
  <c r="R39" i="42"/>
  <c r="Q39" i="42"/>
  <c r="P39" i="42"/>
  <c r="L39" i="42"/>
  <c r="J39" i="42"/>
  <c r="H39" i="42"/>
  <c r="V38" i="42"/>
  <c r="S38" i="42"/>
  <c r="R38" i="42"/>
  <c r="Q38" i="42"/>
  <c r="P38" i="42"/>
  <c r="L38" i="42"/>
  <c r="J38" i="42"/>
  <c r="H38" i="42"/>
  <c r="V37" i="42"/>
  <c r="S37" i="42"/>
  <c r="R37" i="42"/>
  <c r="Q37" i="42"/>
  <c r="P37" i="42"/>
  <c r="L37" i="42"/>
  <c r="J37" i="42"/>
  <c r="H37" i="42"/>
  <c r="U36" i="42"/>
  <c r="T36" i="42"/>
  <c r="G36" i="42"/>
  <c r="V35" i="42"/>
  <c r="T35" i="42"/>
  <c r="O35" i="42"/>
  <c r="O33" i="42" s="1"/>
  <c r="N35" i="42"/>
  <c r="M35" i="42"/>
  <c r="G35" i="42" s="1"/>
  <c r="V34" i="42"/>
  <c r="T34" i="42"/>
  <c r="O34" i="42"/>
  <c r="N34" i="42"/>
  <c r="M34" i="42"/>
  <c r="L34" i="42"/>
  <c r="K34" i="42"/>
  <c r="J34" i="42"/>
  <c r="U34" i="42" s="1"/>
  <c r="V33" i="42"/>
  <c r="T33" i="42"/>
  <c r="S33" i="42"/>
  <c r="R33" i="42"/>
  <c r="Q33" i="42"/>
  <c r="P33" i="42"/>
  <c r="N33" i="42"/>
  <c r="L33" i="42"/>
  <c r="K33" i="42"/>
  <c r="J33" i="42"/>
  <c r="I33" i="42"/>
  <c r="H33" i="42"/>
  <c r="U32" i="42"/>
  <c r="G32" i="42"/>
  <c r="U31" i="42"/>
  <c r="T31" i="42"/>
  <c r="N31" i="42"/>
  <c r="J31" i="42"/>
  <c r="G31" i="42"/>
  <c r="U30" i="42"/>
  <c r="N30" i="42"/>
  <c r="G30" i="42" s="1"/>
  <c r="U29" i="42"/>
  <c r="T29" i="42"/>
  <c r="N29" i="42"/>
  <c r="G29" i="42" s="1"/>
  <c r="U28" i="42"/>
  <c r="T28" i="42"/>
  <c r="N28" i="42"/>
  <c r="J28" i="42"/>
  <c r="G28" i="42"/>
  <c r="V27" i="42"/>
  <c r="T27" i="42"/>
  <c r="J27" i="42"/>
  <c r="G27" i="42" s="1"/>
  <c r="V26" i="42"/>
  <c r="T26" i="42"/>
  <c r="O26" i="42"/>
  <c r="N26" i="42"/>
  <c r="K26" i="42"/>
  <c r="U26" i="42" s="1"/>
  <c r="G26" i="42"/>
  <c r="V25" i="42"/>
  <c r="U25" i="42"/>
  <c r="T25" i="42"/>
  <c r="Q25" i="42"/>
  <c r="Q19" i="42" s="1"/>
  <c r="Q18" i="42" s="1"/>
  <c r="Q17" i="42" s="1"/>
  <c r="O25" i="42"/>
  <c r="N25" i="42"/>
  <c r="K25" i="42"/>
  <c r="G25" i="42"/>
  <c r="V24" i="42"/>
  <c r="U24" i="42"/>
  <c r="T24" i="42"/>
  <c r="O24" i="42"/>
  <c r="N24" i="42"/>
  <c r="G24" i="42"/>
  <c r="V23" i="42"/>
  <c r="T23" i="42"/>
  <c r="O23" i="42"/>
  <c r="N23" i="42"/>
  <c r="L23" i="42"/>
  <c r="G23" i="42" s="1"/>
  <c r="V22" i="42"/>
  <c r="T22" i="42"/>
  <c r="O22" i="42"/>
  <c r="K22" i="42"/>
  <c r="K19" i="42" s="1"/>
  <c r="K18" i="42" s="1"/>
  <c r="K17" i="42" s="1"/>
  <c r="J22" i="42"/>
  <c r="U22" i="42" s="1"/>
  <c r="G22" i="42"/>
  <c r="V21" i="42"/>
  <c r="T21" i="42"/>
  <c r="J21" i="42"/>
  <c r="G21" i="42" s="1"/>
  <c r="T20" i="42"/>
  <c r="O20" i="42"/>
  <c r="O19" i="42" s="1"/>
  <c r="O18" i="42" s="1"/>
  <c r="O17" i="42" s="1"/>
  <c r="N20" i="42"/>
  <c r="M20" i="42"/>
  <c r="G20" i="42" s="1"/>
  <c r="V19" i="42"/>
  <c r="T19" i="42"/>
  <c r="S19" i="42"/>
  <c r="R19" i="42"/>
  <c r="P19" i="42"/>
  <c r="N19" i="42"/>
  <c r="L19" i="42"/>
  <c r="J19" i="42"/>
  <c r="I19" i="42"/>
  <c r="H19" i="42"/>
  <c r="V18" i="42"/>
  <c r="T18" i="42"/>
  <c r="S18" i="42"/>
  <c r="R18" i="42"/>
  <c r="P18" i="42"/>
  <c r="N18" i="42"/>
  <c r="L18" i="42"/>
  <c r="J18" i="42"/>
  <c r="I18" i="42"/>
  <c r="H18" i="42"/>
  <c r="V17" i="42"/>
  <c r="T17" i="42"/>
  <c r="S17" i="42"/>
  <c r="R17" i="42"/>
  <c r="P17" i="42"/>
  <c r="N17" i="42"/>
  <c r="L17" i="42"/>
  <c r="J17" i="42"/>
  <c r="I17" i="42"/>
  <c r="H17" i="42"/>
  <c r="N16" i="42"/>
  <c r="M16" i="42"/>
  <c r="G16" i="42" s="1"/>
  <c r="S15" i="42"/>
  <c r="Q15" i="42"/>
  <c r="Q14" i="42" s="1"/>
  <c r="Q13" i="42" s="1"/>
  <c r="Q5" i="42" s="1"/>
  <c r="P15" i="42"/>
  <c r="O15" i="42"/>
  <c r="O14" i="42" s="1"/>
  <c r="O13" i="42" s="1"/>
  <c r="O5" i="42" s="1"/>
  <c r="M15" i="42"/>
  <c r="K15" i="42"/>
  <c r="G15" i="42" s="1"/>
  <c r="V14" i="42"/>
  <c r="T14" i="42"/>
  <c r="S14" i="42"/>
  <c r="R14" i="42"/>
  <c r="P14" i="42"/>
  <c r="N14" i="42"/>
  <c r="L14" i="42"/>
  <c r="J14" i="42"/>
  <c r="I14" i="42"/>
  <c r="H14" i="42"/>
  <c r="V13" i="42"/>
  <c r="T13" i="42"/>
  <c r="S13" i="42"/>
  <c r="R13" i="42"/>
  <c r="P13" i="42"/>
  <c r="N13" i="42"/>
  <c r="L13" i="42"/>
  <c r="J13" i="42"/>
  <c r="I13" i="42"/>
  <c r="H13" i="42"/>
  <c r="S12" i="42"/>
  <c r="P12" i="42"/>
  <c r="M12" i="42"/>
  <c r="L12" i="42"/>
  <c r="G12" i="42" s="1"/>
  <c r="V11" i="42"/>
  <c r="T11" i="42"/>
  <c r="S11" i="42"/>
  <c r="R11" i="42"/>
  <c r="Q11" i="42"/>
  <c r="P11" i="42"/>
  <c r="O11" i="42"/>
  <c r="N11" i="42"/>
  <c r="M11" i="42"/>
  <c r="L11" i="42"/>
  <c r="K11" i="42"/>
  <c r="J11" i="42"/>
  <c r="I11" i="42"/>
  <c r="H11" i="42"/>
  <c r="G11" i="42" s="1"/>
  <c r="V10" i="42"/>
  <c r="T10" i="42"/>
  <c r="S10" i="42"/>
  <c r="R10" i="42"/>
  <c r="Q10" i="42"/>
  <c r="P10" i="42"/>
  <c r="O10" i="42"/>
  <c r="N10" i="42"/>
  <c r="M10" i="42"/>
  <c r="L10" i="42"/>
  <c r="K10" i="42"/>
  <c r="J10" i="42"/>
  <c r="I10" i="42"/>
  <c r="H10" i="42"/>
  <c r="G10" i="42" s="1"/>
  <c r="O9" i="42"/>
  <c r="N9" i="42"/>
  <c r="M9" i="42"/>
  <c r="K9" i="42"/>
  <c r="K8" i="42" s="1"/>
  <c r="K7" i="42" s="1"/>
  <c r="K6" i="42" s="1"/>
  <c r="J9" i="42"/>
  <c r="I9" i="42"/>
  <c r="G9" i="42" s="1"/>
  <c r="V8" i="42"/>
  <c r="T8" i="42"/>
  <c r="S8" i="42"/>
  <c r="R8" i="42"/>
  <c r="Q8" i="42"/>
  <c r="P8" i="42"/>
  <c r="O8" i="42"/>
  <c r="N8" i="42"/>
  <c r="M8" i="42"/>
  <c r="L8" i="42"/>
  <c r="J8" i="42"/>
  <c r="H8" i="42"/>
  <c r="V7" i="42"/>
  <c r="T7" i="42"/>
  <c r="S7" i="42"/>
  <c r="R7" i="42"/>
  <c r="Q7" i="42"/>
  <c r="P7" i="42"/>
  <c r="O7" i="42"/>
  <c r="N7" i="42"/>
  <c r="M7" i="42"/>
  <c r="L7" i="42"/>
  <c r="J7" i="42"/>
  <c r="H7" i="42"/>
  <c r="V6" i="42"/>
  <c r="T6" i="42"/>
  <c r="S6" i="42"/>
  <c r="R6" i="42"/>
  <c r="Q6" i="42"/>
  <c r="P6" i="42"/>
  <c r="O6" i="42"/>
  <c r="N6" i="42"/>
  <c r="M6" i="42"/>
  <c r="L6" i="42"/>
  <c r="J6" i="42"/>
  <c r="H6" i="42"/>
  <c r="V5" i="42"/>
  <c r="S5" i="42"/>
  <c r="R5" i="42"/>
  <c r="J5" i="42"/>
  <c r="U63" i="42" l="1"/>
  <c r="G63" i="42"/>
  <c r="U9" i="42"/>
  <c r="U8" i="42" s="1"/>
  <c r="U7" i="42" s="1"/>
  <c r="U6" i="42" s="1"/>
  <c r="U12" i="42"/>
  <c r="U11" i="42" s="1"/>
  <c r="U10" i="42" s="1"/>
  <c r="U15" i="42"/>
  <c r="U16" i="42"/>
  <c r="U20" i="42"/>
  <c r="U21" i="42"/>
  <c r="U23" i="42"/>
  <c r="U27" i="42"/>
  <c r="U35" i="42"/>
  <c r="U33" i="42" s="1"/>
  <c r="U44" i="42"/>
  <c r="U40" i="42" s="1"/>
  <c r="U46" i="42"/>
  <c r="U45" i="42" s="1"/>
  <c r="U50" i="42"/>
  <c r="U49" i="42" s="1"/>
  <c r="U56" i="42"/>
  <c r="U53" i="42" s="1"/>
  <c r="U60" i="42"/>
  <c r="U78" i="42"/>
  <c r="U77" i="42" s="1"/>
  <c r="U107" i="42"/>
  <c r="U105" i="42" s="1"/>
  <c r="N110" i="42"/>
  <c r="G110" i="42" s="1"/>
  <c r="U118" i="42"/>
  <c r="U115" i="42" s="1"/>
  <c r="G118" i="42"/>
  <c r="N121" i="42"/>
  <c r="G121" i="42" s="1"/>
  <c r="U122" i="42"/>
  <c r="U121" i="42" s="1"/>
  <c r="G128" i="42"/>
  <c r="N128" i="42"/>
  <c r="U129" i="42"/>
  <c r="U128" i="42" s="1"/>
  <c r="H133" i="42"/>
  <c r="U135" i="42"/>
  <c r="U134" i="42" s="1"/>
  <c r="U133" i="42" s="1"/>
  <c r="U132" i="42" s="1"/>
  <c r="U131" i="42" s="1"/>
  <c r="G6" i="44"/>
  <c r="G5" i="44" s="1"/>
  <c r="G16" i="44"/>
  <c r="G15" i="44" s="1"/>
  <c r="G14" i="44" s="1"/>
  <c r="I8" i="42"/>
  <c r="I7" i="42" s="1"/>
  <c r="I6" i="42" s="1"/>
  <c r="K14" i="42"/>
  <c r="K13" i="42" s="1"/>
  <c r="G13" i="42" s="1"/>
  <c r="M14" i="42"/>
  <c r="M13" i="42" s="1"/>
  <c r="M19" i="42"/>
  <c r="M18" i="42" s="1"/>
  <c r="M17" i="42" s="1"/>
  <c r="G17" i="42" s="1"/>
  <c r="M33" i="42"/>
  <c r="G33" i="42" s="1"/>
  <c r="G34" i="42"/>
  <c r="K45" i="42"/>
  <c r="K39" i="42" s="1"/>
  <c r="K38" i="42" s="1"/>
  <c r="K37" i="42" s="1"/>
  <c r="G47" i="42"/>
  <c r="I49" i="42"/>
  <c r="I39" i="42" s="1"/>
  <c r="I38" i="42" s="1"/>
  <c r="I37" i="42" s="1"/>
  <c r="G67" i="42"/>
  <c r="M77" i="42"/>
  <c r="M39" i="42" s="1"/>
  <c r="M38" i="42" s="1"/>
  <c r="M37" i="42" s="1"/>
  <c r="G84" i="42"/>
  <c r="G90" i="42"/>
  <c r="U93" i="42"/>
  <c r="U89" i="42" s="1"/>
  <c r="G93" i="42"/>
  <c r="U95" i="42"/>
  <c r="P17" i="43"/>
  <c r="P19" i="43"/>
  <c r="B23" i="43"/>
  <c r="U39" i="42" l="1"/>
  <c r="U38" i="42" s="1"/>
  <c r="U37" i="42" s="1"/>
  <c r="G37" i="42"/>
  <c r="P20" i="43"/>
  <c r="M5" i="42"/>
  <c r="I5" i="42"/>
  <c r="G4" i="44"/>
  <c r="G133" i="42"/>
  <c r="H132" i="42"/>
  <c r="U19" i="42"/>
  <c r="U18" i="42" s="1"/>
  <c r="U17" i="42" s="1"/>
  <c r="U14" i="42"/>
  <c r="U13" i="42" s="1"/>
  <c r="U5" i="42" s="1"/>
  <c r="N39" i="42"/>
  <c r="N38" i="42" s="1"/>
  <c r="N37" i="42" s="1"/>
  <c r="N5" i="42" s="1"/>
  <c r="G45" i="42"/>
  <c r="G38" i="42"/>
  <c r="G18" i="42"/>
  <c r="G14" i="42"/>
  <c r="K5" i="42"/>
  <c r="G7" i="42"/>
  <c r="G77" i="42"/>
  <c r="G49" i="42"/>
  <c r="G19" i="42"/>
  <c r="G8" i="42"/>
  <c r="G6" i="42"/>
  <c r="G132" i="42" l="1"/>
  <c r="H131" i="42"/>
  <c r="G39" i="42"/>
  <c r="G131" i="42" l="1"/>
  <c r="H5" i="42"/>
  <c r="G5" i="42" s="1"/>
</calcChain>
</file>

<file path=xl/sharedStrings.xml><?xml version="1.0" encoding="utf-8"?>
<sst xmlns="http://schemas.openxmlformats.org/spreadsheetml/2006/main" count="717" uniqueCount="242">
  <si>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</si>
  <si>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</si>
  <si>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</si>
  <si>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</si>
  <si>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</si>
  <si>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</si>
  <si>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</si>
  <si>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</si>
  <si>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</si>
  <si>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</si>
  <si>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</si>
  <si>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</si>
  <si>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Управление пассажирского транспорта и автомобильных дорог области</t>
  </si>
  <si>
    <t>015</t>
  </si>
  <si>
    <t>За счет средств местного бюджета</t>
  </si>
  <si>
    <t>159</t>
  </si>
  <si>
    <t>Оплата прочих услуг и работ</t>
  </si>
  <si>
    <t>025</t>
  </si>
  <si>
    <t>Капитальный и средний ремонт автомобильных дорог областного значения и улиц населенных пунктов</t>
  </si>
  <si>
    <t>Наименование расходов</t>
  </si>
  <si>
    <t>ФГ</t>
  </si>
  <si>
    <t>АБП</t>
  </si>
  <si>
    <t>БП</t>
  </si>
  <si>
    <t>БПП</t>
  </si>
  <si>
    <t>СП</t>
  </si>
  <si>
    <t>Целевые текущие трансферты из местных бюджетов</t>
  </si>
  <si>
    <t>Текущие трансферты другим уровням государствнного управления</t>
  </si>
  <si>
    <t>Кызылжарский район</t>
  </si>
  <si>
    <t>Район имени Габита Мусрепова</t>
  </si>
  <si>
    <t>Уалихановский район</t>
  </si>
  <si>
    <t>Айыртауский район</t>
  </si>
  <si>
    <t>Район Магжана Жумабаева</t>
  </si>
  <si>
    <t>Тайыншинский район</t>
  </si>
  <si>
    <t>005</t>
  </si>
  <si>
    <t>Обеспечение функционирования автомобильных дорог</t>
  </si>
  <si>
    <t>422</t>
  </si>
  <si>
    <t>Капитальный ремонт дорог</t>
  </si>
  <si>
    <t>003</t>
  </si>
  <si>
    <t>Есильский район</t>
  </si>
  <si>
    <t>Акжарский район</t>
  </si>
  <si>
    <t>Мамлютский район</t>
  </si>
  <si>
    <t>028</t>
  </si>
  <si>
    <t>045</t>
  </si>
  <si>
    <t>113</t>
  </si>
  <si>
    <t>495</t>
  </si>
  <si>
    <t>458</t>
  </si>
  <si>
    <t>492</t>
  </si>
  <si>
    <t>район Шал акына</t>
  </si>
  <si>
    <t>Реконструкция дорог по ул. Чехова населенного пункта Булаево</t>
  </si>
  <si>
    <t>114</t>
  </si>
  <si>
    <t>Аккайнский район</t>
  </si>
  <si>
    <t>Жамбылский район</t>
  </si>
  <si>
    <t>Средний ремонт автомобильной дороги областного значения КСТ-59 "Казгородок - Горьковское километр 62-203" км 172,170 - 192,170</t>
  </si>
  <si>
    <t>Капитальный ремонт автомобильной дороги областного значения КСТ-44 "Астраханка - Смирново - Киялы - Тайынша - Алексеевка" км 15,6 - 32,384 (16,784 км)</t>
  </si>
  <si>
    <t>Средний ремонтавтомобильной дороги районного значения KTGY-15 «Майбалык - Сейфолла - Таманское - Веселовка-Писаревка - Караганды - Надежка» км 66,6-74,6</t>
  </si>
  <si>
    <t>Средний ремонт автомобильной дороги районного значения КТММ-214 «Автомобильная дорога общего пользования международного значения М-51 «Челябинск-Новосибирск» - Белое» км 0-4,0</t>
  </si>
  <si>
    <t>Тимирязевский район</t>
  </si>
  <si>
    <t>Строительство автомобильной дороги на территории Имантауского сельского округа от областной дороги от села Имантау до Промкомбината</t>
  </si>
  <si>
    <t>Средний ремонт внутрипоселковых дорог в селе Талшык Талшыкского сельского округа</t>
  </si>
  <si>
    <t>Средний ремонт внутрипоселковых дорог села Явленка Явленского сельского округа</t>
  </si>
  <si>
    <t>город Петропавловск</t>
  </si>
  <si>
    <t>Средний ремонт автомобильной дороги районного значения КТ-АК-20 «Талшык-Майское-Уялы-Аксары» км 0-40,5</t>
  </si>
  <si>
    <t>Средний ремонт улиц  в селе Смирново</t>
  </si>
  <si>
    <t>Средний ремонт улиц в городе Мамлютка</t>
  </si>
  <si>
    <t>Средний ремонт внутрипоселковых дорог в селе Бексеит Новомихайловского сельского округа</t>
  </si>
  <si>
    <t>Средний ремонт внутрипоселковых дорог села Кенес Жанажолского сельского округа</t>
  </si>
  <si>
    <t>Средний ремонт внутрипоселковых дорог в селе Афанасьевка Афанасьевского сельского округа</t>
  </si>
  <si>
    <t>Средний ремонт улиц села Крещенка Юбилейного сельского округа</t>
  </si>
  <si>
    <t>023</t>
  </si>
  <si>
    <t>Содержание дорог города Сергеевка</t>
  </si>
  <si>
    <t xml:space="preserve">Содержание автомобильных дорог районного значения </t>
  </si>
  <si>
    <t>Средний ремонт улиц города Петропавловска</t>
  </si>
  <si>
    <t>Субсидирование пассажирских перевозок по социально значимым городским (сельским), пригородным и внутрирайонным сообщениям в городе Петропавловске</t>
  </si>
  <si>
    <t>037</t>
  </si>
  <si>
    <t>441</t>
  </si>
  <si>
    <t>Целевые трансферты на развитие другим уровням государственного управления</t>
  </si>
  <si>
    <t>022</t>
  </si>
  <si>
    <t>район М. Жумабаева</t>
  </si>
  <si>
    <t>Реконструкция автомобильных дорог города Сергеевка</t>
  </si>
  <si>
    <t>Средний ремонт автомобильной дороги областного значения КСТ-62 «Еленовка-Арыкбалык-Чистополье-Есиль км 17-209» км 151-157,5, км 158,355-179</t>
  </si>
  <si>
    <t>034</t>
  </si>
  <si>
    <t>043</t>
  </si>
  <si>
    <t>Целевые трансферты на развитие нижестоящим бюджетам</t>
  </si>
  <si>
    <t xml:space="preserve">Строительство улицы Малая от улицы Батыр Баяна до улицы Казбека Байбулова </t>
  </si>
  <si>
    <t>Строительство улицы Казбека Байбулова от улицы Гагарина до комплекса пожарного депо в микрорайоне «Береке»</t>
  </si>
  <si>
    <t>Средний ремонт автомобильной дороги районного значения KTAI-4 «Подъезд к селу Елецкое» 0-2,0 км (корректировка)</t>
  </si>
  <si>
    <t>Текущий ремонт дорог в с. Саумалколь</t>
  </si>
  <si>
    <t>Средний ремонт автомобильной дороги районного значения КТ-АК-8 «Подъезд к селу Ащиколь» км 0-11</t>
  </si>
  <si>
    <t>Средний ремонт внутрипоселковых дорог села Астраханка Астраханского сельского округа</t>
  </si>
  <si>
    <t>Средний ремонт внутрипоселковых дорог села Шагалалы сельского округа Шагалалы</t>
  </si>
  <si>
    <t>Средний ремонт автомобильной дороги районного значения KTES-98 «Подъезд к селу Есильское»</t>
  </si>
  <si>
    <t>Средний ремонт автомобильной дороги районного значения км 1,65-4 KTES-76 «Волошина - Иваново - Петровка»</t>
  </si>
  <si>
    <t>Средний ремонт автодороги районного значения KTES-109 «Подъезд к селу Караагаш»</t>
  </si>
  <si>
    <t>Средний ремонт автомобильной дороги районного значения KTES-72 «Подъезд к селу Заградовка» км 0-5,66</t>
  </si>
  <si>
    <t>Средний ремонт внутрипоселковых дорог в селе Булак Булакского сельского округа</t>
  </si>
  <si>
    <t>Средний ремонт внутрипоселковых дорог села Покровка Покровского сельского округа</t>
  </si>
  <si>
    <t>Средний ремонт автомобильной дороги районного значения KTGA-112 «Подъезд к селу Казанка» км 0-12,5</t>
  </si>
  <si>
    <t>Средний ремонт улиц села Пресновка Пресновского сельского округа</t>
  </si>
  <si>
    <t>Средний ремонт улиц села Троицкое Троицкого сельского округа</t>
  </si>
  <si>
    <t>Средний ремонт улиц села Благовещенка Благовещенского сельского округа</t>
  </si>
  <si>
    <t>Средний ремонт автомобильной дороги районного значения KTGY-14 «Советское-Узынколь-Возвышенка» км 27-37,1</t>
  </si>
  <si>
    <t>Средний ремонт автомобильной дороги районного значения KTKS-3  «Автомобильная дорога КТ-4 «А-16 Новоникольское-Андреевка-Новомихайловка» - Боголюбово» км 0-13 (ресайклирование)</t>
  </si>
  <si>
    <t>Средний ремонт автомобильной дороги районного значения KTKS-7 «Знаменское - Метлишино - Бугровое» км 0-15,5</t>
  </si>
  <si>
    <t>Средний ремонт внутрипоселковых дорог в селе Налобино Налобинского сельского округа</t>
  </si>
  <si>
    <t>Средний ремонт улиц села Березовка Рощинского сельского округа</t>
  </si>
  <si>
    <t>Средний ремонт внутрипоселковых дорог в селе Бесколь Бескольского сельского округа</t>
  </si>
  <si>
    <t>Средний ремонт внутрипоселковых дорог села Подгорное Кызылжарского сельского округа</t>
  </si>
  <si>
    <t>Средний ремонт улиц села Пресновка Лесного сельского округа</t>
  </si>
  <si>
    <t>Средний ремонт улиц села Кустовое Вагулинского сельского округа</t>
  </si>
  <si>
    <t>Текущий ремонт улиц села Белое Рощинского сельского округа</t>
  </si>
  <si>
    <t>Средний ремонт внутрипоселковых дорог в селе Новомихайловка и селе Токаревка Новомихайловского сельского округа</t>
  </si>
  <si>
    <t>Средний ремонт автомобильной дороги районного значения КТМС-93 «Тахтаброд - Сокологоровка - Кырымбет» км 1,07-18,015</t>
  </si>
  <si>
    <t>Текущий ремонт участка автомобильной дороги КТМС-92 Рузаевка-Чернозубовка на км 17,1</t>
  </si>
  <si>
    <t>Средний ремонт улиц в селе Кокалажар Кокалажарского сельского округа</t>
  </si>
  <si>
    <t>Средний ремонт улиц села Рузаевка  Рузаевского сельского округа</t>
  </si>
  <si>
    <t>Средний ремонт участка автомобильной дороги районного значения КТТА-280 «Подъезд к селу Горькое» км 0-7,1</t>
  </si>
  <si>
    <t>Средний ремонт участка автомобильной дороги районного значения КТТА-280 «Подъезд к селу Горькое» км 14,6-22</t>
  </si>
  <si>
    <t>Средний ремонт улиц в городе Тайынша</t>
  </si>
  <si>
    <t>Средний ремонт автомобильной дороги районного значения КТТМ-334 «Тимирязево - Целинное» км 4,3-23,8</t>
  </si>
  <si>
    <t>Средний ремонт автомобильной дороги районного значения КТТМ-335 «Тимирязево – Докучаево» км 0-17</t>
  </si>
  <si>
    <t>Средний ремонт внутрипоселковых дорог села Дмитриевка Дмитриевского сельского округа</t>
  </si>
  <si>
    <t>Средний ремонт улиц села Тимирязево Тимирязевского сельского округа</t>
  </si>
  <si>
    <t>Средний ремонт автомобильной дороги районного значения КТUL-84 «Чехово – Молодая Гвардия» км 0-26</t>
  </si>
  <si>
    <t>Средний ремонт автомобильной дороги районного значения КTUL-341 «Кулыколь – Каратал – Береке» км 0-5,3 (5,3 км)</t>
  </si>
  <si>
    <t>Средний ремонт автомобильной дороги районного значения КТUL-100 «Коктерек-Тоспа-Жаскайрат-Кайрат» км 30,0-78,8</t>
  </si>
  <si>
    <t>Средний ремонт внутрипоселковых дорог в селе Акбулак Акбулакского сельского округа</t>
  </si>
  <si>
    <t>Средний ремонт внутрипоселковых дорог в селе Актуесай Актуесайского сельского округа</t>
  </si>
  <si>
    <t>Средний ремонт автомобильной дороги областного значения КТ-39 «А/д А-16 «Жезказган-Петропавловск» - Повозочное-Баян-Архангелка-а/д КТ-33 «Пресновка-Архангелка-Троицкое» км 0-15,65</t>
  </si>
  <si>
    <t>Средний ремонт автомобильной дороги областного значения KT-83 «Кишкенеколь-Тельжан-Мортык-Тлеусай-Каратерек"км 46,5-76,5</t>
  </si>
  <si>
    <t>Средний ремонт автомобильной дороги областного значения КТ-83 "Кишкенеколь - Тельжан - Мортык - Тлеусай - Каратерек" км 76,5-119</t>
  </si>
  <si>
    <t>Средний ремонт автомобильной дороги областного значения КТ-50 "Петропавловск (граница города) - Ташкентка - Барневка - Долматова" км 0-5,5, км 19-20, км 28-33, км 33-50 в Кызылжарском районе</t>
  </si>
  <si>
    <t>Средний ремонт автомобильной дороги областного значения КТ-68 «Лавровка-Келлеровка-Тайынша-Чкалово» км 11-41</t>
  </si>
  <si>
    <t>Средний ремонт автомобильной дороги областного значения КТ-68 «Лавровка-Келлеровка-Тайынша-Чкалово» км 41-60</t>
  </si>
  <si>
    <t>Капитальный ремонт автомобильной дороги областного значения КТ-19 "Покровка - Ильинка - Мектеп" км 0-7 с устройством автомобильного моста на 4 км</t>
  </si>
  <si>
    <t xml:space="preserve">Средний ремонт участка км 4-19 автомобильной дороги областного значения КТ-65 «Арыкбалык - Саумалколь» с устройством водопропускной трубы на 24 км </t>
  </si>
  <si>
    <t>Средний ремонт автомобильной дороги областного значения КТ-29 "Покровка-Корнеевка-Горное"(установка САИС для 2-х полос движения на км 3,420)</t>
  </si>
  <si>
    <t>Средний ремонт автомобильной дороги областного значения КТ-45 «Смирново- Трудовое-Токуши-«а/д М-51 Челябинск-Новосибирск» (установка САИС для 2-х полос движения на км 0,245)</t>
  </si>
  <si>
    <t>Средний ремонт автомобильной дороги областного значения КСТ-62 «Еленовка- Арыкбалык-Чистополье-Есиль км 17-209» (установка САИС для 2-х полос движения на км 27,800)</t>
  </si>
  <si>
    <t>Субсидии юридическим лицам, не являющимися государственными предприятиями</t>
  </si>
  <si>
    <t>Субсидии физическим лицам</t>
  </si>
  <si>
    <t>План финансирования УПТиАД на 2026 год</t>
  </si>
  <si>
    <t>Принятые обяз-ва</t>
  </si>
  <si>
    <t>Освоение</t>
  </si>
  <si>
    <t>Финансовый план</t>
  </si>
  <si>
    <t>в том числе по месяцам:</t>
  </si>
  <si>
    <t>тыс.тенге</t>
  </si>
  <si>
    <t>Средний ремонт автомобильной дороги районного значения KTES-101 «Подъезд к селу Ясновка» (0-1,0 км)</t>
  </si>
  <si>
    <t>Средний ремонт автомобильной дороги районного значения КТGA-35 «Мирное-Айымжан-а/д Пресновка-Кайранколь» км 5,4-13,4</t>
  </si>
  <si>
    <t>002</t>
  </si>
  <si>
    <t>Строительство дорог</t>
  </si>
  <si>
    <t>Реконструкция автомобильной дороги общего пользования областного значения КТ-85 Подъезд к «Вороньему острову» участок км 0 - 2,12, с устройством моста на 2 км</t>
  </si>
  <si>
    <t>Развитие транспортной инфраструктуры</t>
  </si>
  <si>
    <t>ТОО "ҚҰРЫЛЫС-СЕРВИС-СК"</t>
  </si>
  <si>
    <t>ТОО "Кокшетау Жолдары"</t>
  </si>
  <si>
    <t>ТОО "Қызылжар Жолдары KZ"</t>
  </si>
  <si>
    <t>ТОО "Гранит-Север"</t>
  </si>
  <si>
    <t>ТОО "ЭлитСтройКомплект"</t>
  </si>
  <si>
    <t>ТОО "Новинтех"</t>
  </si>
  <si>
    <t>ТОО "SilkWayGrande"</t>
  </si>
  <si>
    <t>ТОО "Авик Плюс 2022"</t>
  </si>
  <si>
    <t>ТОО "Mavitale Stroy"</t>
  </si>
  <si>
    <t>ТОО "Arm Construction Group"</t>
  </si>
  <si>
    <t>ТОО "КоммунСтройСервис"</t>
  </si>
  <si>
    <t>ТОО "Гегарт"</t>
  </si>
  <si>
    <t>ТОО "Ани 2012"</t>
  </si>
  <si>
    <t>ТОО "Искер-Т"</t>
  </si>
  <si>
    <t>ТОО "NBS construction"</t>
  </si>
  <si>
    <t>ТОО "Грандо"</t>
  </si>
  <si>
    <t>ТОО "M GROUP SK"</t>
  </si>
  <si>
    <t>ТОО "Алашкерт"</t>
  </si>
  <si>
    <t>ТОО "Титан-Север"</t>
  </si>
  <si>
    <t>ТОО "Дорожник Ашық Аспан"</t>
  </si>
  <si>
    <t>ТОО "Компания Арнайы-Құрылыс"</t>
  </si>
  <si>
    <t>ТОО "Тур-Ев-Ар"</t>
  </si>
  <si>
    <t>ТОО "ОҢТҮСТІК ҒИМАРАТ "ҚҰРЫЛЫС КОМПАНИЯСЫ"</t>
  </si>
  <si>
    <t>ТОО "АртоСам"</t>
  </si>
  <si>
    <t>ТОО "Гарант строй Астана"</t>
  </si>
  <si>
    <t>ТОО "Сервис НС"</t>
  </si>
  <si>
    <t>ТОО "Ритм"</t>
  </si>
  <si>
    <t>ТОО "Елорда Жол"</t>
  </si>
  <si>
    <t>Разработка ПСД на капитальный ремонт и проведение экспертизы</t>
  </si>
  <si>
    <t>ТОО "МГА-Дорстрой"</t>
  </si>
  <si>
    <t>Субсидирование пассажирских перевозок по социально значимым межрайонным (междугородним) сообщениям</t>
  </si>
  <si>
    <t>115</t>
  </si>
  <si>
    <t>Выполнение обязательств местных исполнительных органов по решениям судов  за счет средств резерва  местного исполнительного органа</t>
  </si>
  <si>
    <t>165</t>
  </si>
  <si>
    <t>Исполнение исполнительных документов, судебных актов</t>
  </si>
  <si>
    <t>Средний ремонт автодороги районного значения KTES-93 «Подъезд к селу Бирлик» км 0-4,73</t>
  </si>
  <si>
    <t>Разработка проектно-сметной документации на капитальный ремонт автомобильной дороги районного значения KTKS-193 «Подъезд к селу Тепличное» км 0-0,7</t>
  </si>
  <si>
    <t>Средний ремонт автомобильной дороги районного значения КТММ-8 «А/д районного значения КТММ-6 «А/д республиканского значения А-21 «Мамлютка - Костанай» - Воскресеновка - Боголюбово - Надежка» - Новомихайловка» км 0-20</t>
  </si>
  <si>
    <t>Текущий ремонт участка автомобильной дороги районного значения KTGY-34 «Подъездная к селу Рявкино» км 0-7,7</t>
  </si>
  <si>
    <t>Текущий ремонт участка автомобильной дороги районного значения KTGY-27 «Жастар - Сарытомар»</t>
  </si>
  <si>
    <t>Средний ремонт улиц в селе Каракога Каракогинского сельского округа</t>
  </si>
  <si>
    <t>Средний ремонт улиц села Надежка, села Караганды сельского округа Ногайбай би</t>
  </si>
  <si>
    <t>КТ "Зенченко и К"</t>
  </si>
  <si>
    <t xml:space="preserve"> ТОО "Компания "МегаСтройИнвест", ТОО "Etalon Kaz Stroy"</t>
  </si>
  <si>
    <t>ТОО "Элен-1"</t>
  </si>
  <si>
    <t>ТОО "ДорМостПроект"</t>
  </si>
  <si>
    <t>ТОО "DDS business", ИП "Эталон Север" Фабер Н.В."</t>
  </si>
  <si>
    <t>ТОО "Магистраль СК"</t>
  </si>
  <si>
    <t>ТОО "Компания "МегаСтройИнвест"</t>
  </si>
  <si>
    <t>ТОО "Сергеевка 2050"</t>
  </si>
  <si>
    <t>103</t>
  </si>
  <si>
    <t>Трансферты другим уровням государственного управления на проведение мероприятий за счет резерва местного исполнительного органа на неотложные затраты</t>
  </si>
  <si>
    <t>Строительство автодорожного путепровода через железнодорожные пути ОАО "РЖД" по улице Универсальной в городе Петропавловск</t>
  </si>
  <si>
    <t>ТОО "Қият Құрылыс Компаниясы"</t>
  </si>
  <si>
    <t xml:space="preserve"> ТОО "Дорожник Ашық Аспан", ТОО "Ани 2012"</t>
  </si>
  <si>
    <t>ТОО "Samruq Qurylus"</t>
  </si>
  <si>
    <t>Разработка технической документации на средний ремонт и проведение экспертизы</t>
  </si>
  <si>
    <t xml:space="preserve">  ТОО "Елорда Жол", ТОО "Тур-Ев-Ар"</t>
  </si>
  <si>
    <t>ТОО "ПромСтройНедра"</t>
  </si>
  <si>
    <t xml:space="preserve">Средний ремонт автомобильной дороги районного значения KTAI-109 «Граница Шалкарского филиала РГУ «ГНПП Кокшетау» - детский оздоровительный центр «Заря» - детский оздоровительный центр «Чайка» км 0-4 </t>
  </si>
  <si>
    <t>Средний ремонт внутрипоселковых дорог в селе Айыртау Володарского сельского округа</t>
  </si>
  <si>
    <t xml:space="preserve">Капитальный ремонт автомобильной дороги районного значения KTKS-193 «Подъезд к селу Тепличное» км 0-0,7 </t>
  </si>
  <si>
    <t>Средний ремонт улиц села Чистополье Чистопольского сельского округа</t>
  </si>
  <si>
    <t>Средний ремонт улиц села Андреевка Андреевского сельского округа</t>
  </si>
  <si>
    <t>Средний ремонт автомобильной дороги районного значения КТММ-226 «Автомобильная дорога областного значения КТ-22 «Становое-Новомихайловка- Минкесер-автодорога «Сенжарка-Николаевка» - автомобильная дорога областного значения КТ-4 «Новоникольское-Андреевка-Бостандык-Новомихайловка» (Бексеит-Бостандык) км 0-6,2</t>
  </si>
  <si>
    <t>Средний ремонт улиц города Булаево и села Медвежка</t>
  </si>
  <si>
    <t>Текущий ремонт подъездных путей к с. Бирлик Приишимского сельского округа</t>
  </si>
  <si>
    <t>План на 01.07</t>
  </si>
  <si>
    <t>будут уменьшать излишне принятые</t>
  </si>
  <si>
    <t xml:space="preserve"> ТОО "Жасыл-Есіл", ТОО "СУҢҚАР-СҚО", ИП "Швецова А.С."</t>
  </si>
  <si>
    <t>ТОО "АкваСпецСтрой"</t>
  </si>
  <si>
    <t>ТОО "QazTecProject"</t>
  </si>
  <si>
    <t xml:space="preserve"> ТОО "Сергеевка 2050", ИП "Sergeevkastroy" Шпистер Т.В., ИП "Шпистер Г.В."</t>
  </si>
  <si>
    <t xml:space="preserve"> ТОО "Ани 2012", ТОО "КоммунСтройСервис", ТОО "Новинтех", ТОО "Элен-1", ТОО "Магистраль СК"</t>
  </si>
  <si>
    <t>Строительство и реконструкция</t>
  </si>
  <si>
    <t>Капитальный ремонт</t>
  </si>
  <si>
    <t>Средний ремонт</t>
  </si>
  <si>
    <t>г. Петропавловск</t>
  </si>
  <si>
    <t>ИТОГО</t>
  </si>
  <si>
    <t>Наименование</t>
  </si>
  <si>
    <t>С НДС</t>
  </si>
  <si>
    <t>Автомобильные дороги</t>
  </si>
  <si>
    <t>Республиканского значения</t>
  </si>
  <si>
    <t>Областного значения</t>
  </si>
  <si>
    <t>ВСЕГО</t>
  </si>
  <si>
    <t>План на год</t>
  </si>
  <si>
    <t>Без НДС</t>
  </si>
  <si>
    <t>Районного значения и 
улично-дорожной сети</t>
  </si>
  <si>
    <t>План на 
июль 2026 г.</t>
  </si>
  <si>
    <t>Освоено за 
6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</si>
</sst>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00"/>
    <numFmt numFmtId="166" formatCode="_-* #,##0.0\ _₸_-;\-* #,##0.0\ _₸_-;_-* &quot;-&quot;?\ _₸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1"/>
      <color rgb="FF002060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sz val="12"/>
      <name val="Arial"/>
      <family val="2"/>
      <charset val="204"/>
    </font>
    <font>
      <i/>
      <sz val="1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</font>
    <font>
      <i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46">
    <xf numFmtId="0" fontId="0" fillId="0" borderId="0"/>
    <xf numFmtId="0" fontId="18" fillId="0" borderId="0"/>
    <xf numFmtId="0" fontId="19" fillId="0" borderId="0"/>
    <xf numFmtId="0" fontId="18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21" fillId="0" borderId="0"/>
    <xf numFmtId="0" fontId="9" fillId="0" borderId="0"/>
    <xf numFmtId="0" fontId="8" fillId="0" borderId="0"/>
    <xf numFmtId="0" fontId="8" fillId="0" borderId="0"/>
    <xf numFmtId="0" fontId="7" fillId="0" borderId="0"/>
    <xf numFmtId="43" fontId="21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3">
    <xf numFmtId="0" fontId="0" fillId="0" borderId="0" xfId="0"/>
    <xf numFmtId="0" fontId="15" fillId="0" borderId="0" xfId="0" applyFont="1" applyFill="1"/>
    <xf numFmtId="0" fontId="20" fillId="0" borderId="0" xfId="0" applyFont="1" applyFill="1"/>
    <xf numFmtId="0" fontId="0" fillId="0" borderId="0" xfId="0" applyFill="1"/>
    <xf numFmtId="0" fontId="17" fillId="0" borderId="1" xfId="0" applyFont="1" applyFill="1" applyBorder="1"/>
    <xf numFmtId="164" fontId="14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16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Fill="1"/>
    <xf numFmtId="0" fontId="25" fillId="0" borderId="1" xfId="0" applyFont="1" applyFill="1" applyBorder="1" applyAlignment="1">
      <alignment horizontal="center" vertical="center"/>
    </xf>
    <xf numFmtId="0" fontId="25" fillId="0" borderId="0" xfId="0" applyFont="1" applyFill="1"/>
    <xf numFmtId="0" fontId="26" fillId="0" borderId="0" xfId="0" applyFont="1" applyFill="1"/>
    <xf numFmtId="0" fontId="24" fillId="0" borderId="0" xfId="0" applyFont="1" applyFill="1" applyBorder="1"/>
    <xf numFmtId="0" fontId="14" fillId="0" borderId="0" xfId="0" applyFont="1" applyFill="1"/>
    <xf numFmtId="0" fontId="14" fillId="0" borderId="0" xfId="0" applyFont="1" applyFill="1" applyAlignment="1">
      <alignment horizontal="left" vertical="center"/>
    </xf>
    <xf numFmtId="164" fontId="14" fillId="0" borderId="0" xfId="0" applyNumberFormat="1" applyFont="1" applyFill="1" applyAlignment="1">
      <alignment horizontal="center" vertical="center"/>
    </xf>
    <xf numFmtId="166" fontId="24" fillId="0" borderId="0" xfId="0" applyNumberFormat="1" applyFont="1" applyFill="1" applyBorder="1"/>
    <xf numFmtId="0" fontId="24" fillId="0" borderId="2" xfId="0" applyFont="1" applyFill="1" applyBorder="1"/>
    <xf numFmtId="0" fontId="14" fillId="0" borderId="1" xfId="0" applyFont="1" applyFill="1" applyBorder="1"/>
    <xf numFmtId="0" fontId="0" fillId="0" borderId="0" xfId="0" applyFill="1" applyBorder="1"/>
    <xf numFmtId="0" fontId="15" fillId="0" borderId="0" xfId="0" applyFont="1" applyFill="1" applyBorder="1"/>
    <xf numFmtId="166" fontId="15" fillId="0" borderId="0" xfId="0" applyNumberFormat="1" applyFont="1" applyFill="1" applyBorder="1"/>
    <xf numFmtId="0" fontId="25" fillId="0" borderId="0" xfId="0" applyFont="1" applyFill="1" applyBorder="1"/>
    <xf numFmtId="166" fontId="25" fillId="0" borderId="0" xfId="0" applyNumberFormat="1" applyFont="1" applyFill="1" applyBorder="1"/>
    <xf numFmtId="0" fontId="26" fillId="0" borderId="0" xfId="0" applyFont="1" applyFill="1" applyBorder="1"/>
    <xf numFmtId="166" fontId="26" fillId="0" borderId="0" xfId="0" applyNumberFormat="1" applyFont="1" applyFill="1" applyBorder="1"/>
    <xf numFmtId="4" fontId="26" fillId="0" borderId="0" xfId="0" applyNumberFormat="1" applyFont="1" applyFill="1" applyBorder="1"/>
    <xf numFmtId="164" fontId="26" fillId="0" borderId="0" xfId="0" applyNumberFormat="1" applyFont="1" applyFill="1" applyBorder="1"/>
    <xf numFmtId="164" fontId="20" fillId="0" borderId="0" xfId="0" applyNumberFormat="1" applyFont="1" applyFill="1" applyBorder="1"/>
    <xf numFmtId="0" fontId="20" fillId="0" borderId="0" xfId="0" applyFont="1" applyFill="1" applyBorder="1"/>
    <xf numFmtId="0" fontId="17" fillId="0" borderId="0" xfId="0" applyFont="1" applyFill="1" applyBorder="1"/>
    <xf numFmtId="166" fontId="17" fillId="0" borderId="0" xfId="0" applyNumberFormat="1" applyFont="1" applyFill="1" applyBorder="1"/>
    <xf numFmtId="164" fontId="27" fillId="0" borderId="0" xfId="13" applyNumberFormat="1" applyFont="1" applyFill="1" applyBorder="1" applyAlignment="1">
      <alignment horizontal="center" vertical="center"/>
    </xf>
    <xf numFmtId="164" fontId="26" fillId="0" borderId="0" xfId="0" applyNumberFormat="1" applyFont="1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24" fillId="0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16" fillId="0" borderId="1" xfId="0" applyFont="1" applyFill="1" applyBorder="1"/>
    <xf numFmtId="164" fontId="28" fillId="0" borderId="0" xfId="132" applyNumberFormat="1" applyFont="1" applyFill="1" applyBorder="1" applyAlignment="1">
      <alignment vertical="center"/>
    </xf>
    <xf numFmtId="166" fontId="28" fillId="0" borderId="0" xfId="132" applyNumberFormat="1" applyFont="1" applyFill="1" applyBorder="1" applyAlignment="1">
      <alignment vertical="center"/>
    </xf>
    <xf numFmtId="166" fontId="28" fillId="0" borderId="0" xfId="121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3" fontId="14" fillId="0" borderId="0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/>
    </xf>
    <xf numFmtId="165" fontId="16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" fontId="16" fillId="2" borderId="1" xfId="0" applyNumberFormat="1" applyFont="1" applyFill="1" applyBorder="1" applyAlignment="1">
      <alignment horizontal="left" vertical="center" wrapText="1"/>
    </xf>
    <xf numFmtId="164" fontId="16" fillId="2" borderId="1" xfId="0" applyNumberFormat="1" applyFont="1" applyFill="1" applyBorder="1" applyAlignment="1">
      <alignment horizontal="center" vertical="center" wrapText="1"/>
    </xf>
    <xf numFmtId="165" fontId="16" fillId="3" borderId="1" xfId="0" applyNumberFormat="1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center"/>
    </xf>
    <xf numFmtId="0" fontId="16" fillId="3" borderId="1" xfId="3" applyFont="1" applyFill="1" applyBorder="1" applyAlignment="1">
      <alignment horizontal="left" vertical="center" wrapText="1"/>
    </xf>
    <xf numFmtId="164" fontId="16" fillId="3" borderId="1" xfId="0" applyNumberFormat="1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0" fontId="16" fillId="2" borderId="1" xfId="3" applyFont="1" applyFill="1" applyBorder="1" applyAlignment="1">
      <alignment horizontal="left" vertical="center" wrapText="1"/>
    </xf>
    <xf numFmtId="165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 applyProtection="1">
      <alignment horizontal="left" vertical="center" wrapText="1"/>
      <protection locked="0"/>
    </xf>
    <xf numFmtId="164" fontId="16" fillId="3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12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1" fontId="16" fillId="3" borderId="1" xfId="0" applyNumberFormat="1" applyFont="1" applyFill="1" applyBorder="1" applyAlignment="1">
      <alignment horizontal="left" vertical="center" wrapText="1"/>
    </xf>
    <xf numFmtId="164" fontId="16" fillId="2" borderId="1" xfId="13" applyNumberFormat="1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left" vertical="center" wrapText="1"/>
    </xf>
    <xf numFmtId="0" fontId="16" fillId="0" borderId="1" xfId="3" applyFont="1" applyFill="1" applyBorder="1" applyAlignment="1">
      <alignment horizontal="lef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6" fillId="0" borderId="1" xfId="13" applyNumberFormat="1" applyFont="1" applyFill="1" applyBorder="1" applyAlignment="1">
      <alignment horizontal="center" vertical="center"/>
    </xf>
    <xf numFmtId="0" fontId="14" fillId="0" borderId="1" xfId="132" applyFont="1" applyFill="1" applyBorder="1" applyAlignment="1">
      <alignment vertical="center" wrapText="1"/>
    </xf>
    <xf numFmtId="164" fontId="14" fillId="0" borderId="1" xfId="13" applyNumberFormat="1" applyFont="1" applyFill="1" applyBorder="1" applyAlignment="1">
      <alignment horizontal="center" vertical="center"/>
    </xf>
    <xf numFmtId="164" fontId="14" fillId="0" borderId="1" xfId="12" applyNumberFormat="1" applyFont="1" applyFill="1" applyBorder="1" applyAlignment="1">
      <alignment horizontal="center" vertical="center"/>
    </xf>
    <xf numFmtId="164" fontId="14" fillId="0" borderId="1" xfId="75" applyNumberFormat="1" applyFont="1" applyFill="1" applyBorder="1" applyAlignment="1">
      <alignment horizontal="center" vertical="center"/>
    </xf>
    <xf numFmtId="0" fontId="14" fillId="0" borderId="1" xfId="121" applyFont="1" applyFill="1" applyBorder="1" applyAlignment="1">
      <alignment vertical="center" wrapText="1"/>
    </xf>
    <xf numFmtId="0" fontId="16" fillId="0" borderId="2" xfId="12" applyFont="1" applyFill="1" applyBorder="1" applyAlignment="1">
      <alignment vertical="center" wrapText="1"/>
    </xf>
    <xf numFmtId="164" fontId="16" fillId="0" borderId="1" xfId="0" applyNumberFormat="1" applyFont="1" applyFill="1" applyBorder="1" applyAlignment="1">
      <alignment horizontal="center" vertical="center"/>
    </xf>
    <xf numFmtId="0" fontId="14" fillId="0" borderId="2" xfId="12" applyFont="1" applyFill="1" applyBorder="1" applyAlignment="1">
      <alignment vertical="center" wrapText="1"/>
    </xf>
    <xf numFmtId="0" fontId="16" fillId="0" borderId="1" xfId="3" applyFont="1" applyFill="1" applyBorder="1" applyAlignment="1">
      <alignment horizontal="left" vertical="center"/>
    </xf>
    <xf numFmtId="164" fontId="14" fillId="0" borderId="1" xfId="145" applyNumberFormat="1" applyFont="1" applyFill="1" applyBorder="1" applyAlignment="1">
      <alignment horizontal="left" vertical="center" wrapText="1"/>
    </xf>
    <xf numFmtId="0" fontId="16" fillId="0" borderId="1" xfId="132" applyFont="1" applyFill="1" applyBorder="1" applyAlignment="1">
      <alignment vertical="center" wrapText="1"/>
    </xf>
    <xf numFmtId="0" fontId="16" fillId="3" borderId="1" xfId="18" applyFont="1" applyFill="1" applyBorder="1" applyAlignment="1">
      <alignment horizontal="left" vertical="center"/>
    </xf>
    <xf numFmtId="0" fontId="16" fillId="3" borderId="1" xfId="12" applyFont="1" applyFill="1" applyBorder="1" applyAlignment="1">
      <alignment vertical="center" wrapText="1"/>
    </xf>
    <xf numFmtId="164" fontId="16" fillId="3" borderId="1" xfId="13" applyNumberFormat="1" applyFont="1" applyFill="1" applyBorder="1" applyAlignment="1">
      <alignment horizontal="center" vertical="center"/>
    </xf>
    <xf numFmtId="0" fontId="14" fillId="0" borderId="1" xfId="3" applyFont="1" applyFill="1" applyBorder="1" applyAlignment="1">
      <alignment horizontal="left" vertical="center" wrapText="1"/>
    </xf>
    <xf numFmtId="0" fontId="14" fillId="0" borderId="1" xfId="12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/>
    </xf>
    <xf numFmtId="0" fontId="14" fillId="0" borderId="1" xfId="132" applyFont="1" applyFill="1" applyBorder="1" applyAlignment="1">
      <alignment horizontal="left" vertical="center" wrapText="1"/>
    </xf>
    <xf numFmtId="3" fontId="29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4" fillId="2" borderId="1" xfId="12" applyFont="1" applyFill="1" applyBorder="1" applyAlignment="1">
      <alignment horizontal="left" vertical="center" wrapText="1"/>
    </xf>
    <xf numFmtId="0" fontId="14" fillId="2" borderId="1" xfId="132" applyFont="1" applyFill="1" applyBorder="1" applyAlignment="1">
      <alignment vertical="center" wrapText="1"/>
    </xf>
    <xf numFmtId="0" fontId="14" fillId="2" borderId="1" xfId="121" applyFont="1" applyFill="1" applyBorder="1" applyAlignment="1">
      <alignment vertical="center" wrapText="1"/>
    </xf>
    <xf numFmtId="3" fontId="14" fillId="2" borderId="1" xfId="0" applyNumberFormat="1" applyFont="1" applyFill="1" applyBorder="1" applyAlignment="1">
      <alignment horizontal="left" vertical="center" wrapText="1"/>
    </xf>
    <xf numFmtId="0" fontId="14" fillId="2" borderId="2" xfId="12" applyFont="1" applyFill="1" applyBorder="1" applyAlignment="1">
      <alignment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30" fillId="0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164" fontId="30" fillId="0" borderId="0" xfId="0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164" fontId="14" fillId="0" borderId="1" xfId="0" applyNumberFormat="1" applyFont="1" applyFill="1" applyBorder="1" applyAlignment="1">
      <alignment horizontal="center" vertical="center" wrapText="1"/>
    </xf>
    <xf numFmtId="164" fontId="14" fillId="4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 wrapText="1"/>
    </xf>
    <xf numFmtId="164" fontId="14" fillId="4" borderId="1" xfId="0" applyNumberFormat="1" applyFont="1" applyFill="1" applyBorder="1" applyAlignment="1">
      <alignment horizontal="center" vertical="center"/>
    </xf>
    <xf numFmtId="164" fontId="24" fillId="0" borderId="0" xfId="0" applyNumberFormat="1" applyFont="1" applyFill="1" applyBorder="1"/>
    <xf numFmtId="164" fontId="16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Alignment="1">
      <alignment vertical="center"/>
    </xf>
    <xf numFmtId="164" fontId="17" fillId="0" borderId="0" xfId="0" applyNumberFormat="1" applyFont="1" applyFill="1" applyBorder="1"/>
    <xf numFmtId="164" fontId="16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64" fontId="14" fillId="4" borderId="1" xfId="13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164" fontId="14" fillId="4" borderId="1" xfId="75" applyNumberFormat="1" applyFont="1" applyFill="1" applyBorder="1" applyAlignment="1">
      <alignment horizontal="center" vertical="center"/>
    </xf>
    <xf numFmtId="164" fontId="23" fillId="0" borderId="0" xfId="13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33" fillId="0" borderId="1" xfId="0" applyNumberFormat="1" applyFont="1" applyBorder="1" applyAlignment="1">
      <alignment horizontal="center" vertical="center"/>
    </xf>
    <xf numFmtId="0" fontId="33" fillId="0" borderId="0" xfId="0" applyFont="1"/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3" fillId="0" borderId="0" xfId="0" applyFont="1" applyAlignment="1">
      <alignment horizontal="left" vertical="center"/>
    </xf>
    <xf numFmtId="164" fontId="0" fillId="0" borderId="0" xfId="0" applyNumberFormat="1"/>
    <xf numFmtId="0" fontId="14" fillId="0" borderId="1" xfId="0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64" fontId="14" fillId="5" borderId="1" xfId="0" applyNumberFormat="1" applyFont="1" applyFill="1" applyBorder="1" applyAlignment="1">
      <alignment horizontal="center" vertical="center"/>
    </xf>
    <xf numFmtId="164" fontId="14" fillId="5" borderId="1" xfId="13" applyNumberFormat="1" applyFont="1" applyFill="1" applyBorder="1" applyAlignment="1">
      <alignment horizontal="center" vertical="center"/>
    </xf>
    <xf numFmtId="164" fontId="16" fillId="5" borderId="1" xfId="0" applyNumberFormat="1" applyFont="1" applyFill="1" applyBorder="1" applyAlignment="1">
      <alignment horizontal="center" vertical="center"/>
    </xf>
    <xf numFmtId="164" fontId="16" fillId="5" borderId="1" xfId="13" applyNumberFormat="1" applyFont="1" applyFill="1" applyBorder="1" applyAlignment="1">
      <alignment horizontal="center" vertical="center"/>
    </xf>
    <xf numFmtId="164" fontId="14" fillId="5" borderId="1" xfId="0" applyNumberFormat="1" applyFont="1" applyFill="1" applyBorder="1" applyAlignment="1">
      <alignment horizontal="center" vertical="center" wrapText="1"/>
    </xf>
    <xf numFmtId="164" fontId="14" fillId="5" borderId="1" xfId="75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left" vertical="center"/>
    </xf>
    <xf numFmtId="0" fontId="14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/>
    </xf>
    <xf numFmtId="164" fontId="16" fillId="4" borderId="1" xfId="0" applyNumberFormat="1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 wrapText="1"/>
    </xf>
    <xf numFmtId="164" fontId="16" fillId="2" borderId="4" xfId="0" applyNumberFormat="1" applyFont="1" applyFill="1" applyBorder="1" applyAlignment="1">
      <alignment horizontal="center" vertical="center" wrapText="1"/>
    </xf>
    <xf numFmtId="164" fontId="16" fillId="4" borderId="3" xfId="0" applyNumberFormat="1" applyFont="1" applyFill="1" applyBorder="1" applyAlignment="1">
      <alignment horizontal="center" vertical="center" wrapText="1"/>
    </xf>
    <xf numFmtId="164" fontId="16" fillId="4" borderId="4" xfId="0" applyNumberFormat="1" applyFont="1" applyFill="1" applyBorder="1" applyAlignment="1">
      <alignment horizontal="center" vertical="center" wrapText="1"/>
    </xf>
    <xf numFmtId="164" fontId="16" fillId="3" borderId="3" xfId="0" applyNumberFormat="1" applyFont="1" applyFill="1" applyBorder="1" applyAlignment="1">
      <alignment horizontal="center" vertical="center" wrapText="1"/>
    </xf>
    <xf numFmtId="164" fontId="16" fillId="3" borderId="4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</cellXfs>
  <cellStyles count="146">
    <cellStyle name="Excel Built-in Normal" xfId="76" xr:uid="{00000000-0005-0000-0000-000000000000}"/>
    <cellStyle name="Обычный" xfId="0" builtinId="0"/>
    <cellStyle name="Обычный 13" xfId="7" xr:uid="{00000000-0005-0000-0000-000002000000}"/>
    <cellStyle name="Обычный 13 2" xfId="10" xr:uid="{00000000-0005-0000-0000-000003000000}"/>
    <cellStyle name="Обычный 13 2 2" xfId="25" xr:uid="{00000000-0005-0000-0000-000004000000}"/>
    <cellStyle name="Обычный 13 2 2 2" xfId="60" xr:uid="{00000000-0005-0000-0000-000005000000}"/>
    <cellStyle name="Обычный 13 2 2 2 2" xfId="130" xr:uid="{00000000-0005-0000-0000-000006000000}"/>
    <cellStyle name="Обычный 13 2 2 3" xfId="96" xr:uid="{00000000-0005-0000-0000-000007000000}"/>
    <cellStyle name="Обычный 13 2 3" xfId="35" xr:uid="{00000000-0005-0000-0000-000008000000}"/>
    <cellStyle name="Обычный 13 2 3 2" xfId="70" xr:uid="{00000000-0005-0000-0000-000009000000}"/>
    <cellStyle name="Обычный 13 2 3 2 2" xfId="140" xr:uid="{00000000-0005-0000-0000-00000A000000}"/>
    <cellStyle name="Обычный 13 2 3 3" xfId="106" xr:uid="{00000000-0005-0000-0000-00000B000000}"/>
    <cellStyle name="Обычный 13 2 4" xfId="45" xr:uid="{00000000-0005-0000-0000-00000C000000}"/>
    <cellStyle name="Обычный 13 2 4 2" xfId="116" xr:uid="{00000000-0005-0000-0000-00000D000000}"/>
    <cellStyle name="Обычный 13 2 5" xfId="82" xr:uid="{00000000-0005-0000-0000-00000E000000}"/>
    <cellStyle name="Обычный 13 3" xfId="23" xr:uid="{00000000-0005-0000-0000-00000F000000}"/>
    <cellStyle name="Обычный 13 3 2" xfId="58" xr:uid="{00000000-0005-0000-0000-000010000000}"/>
    <cellStyle name="Обычный 13 3 2 2" xfId="128" xr:uid="{00000000-0005-0000-0000-000011000000}"/>
    <cellStyle name="Обычный 13 3 3" xfId="94" xr:uid="{00000000-0005-0000-0000-000012000000}"/>
    <cellStyle name="Обычный 13 4" xfId="33" xr:uid="{00000000-0005-0000-0000-000013000000}"/>
    <cellStyle name="Обычный 13 4 2" xfId="68" xr:uid="{00000000-0005-0000-0000-000014000000}"/>
    <cellStyle name="Обычный 13 4 2 2" xfId="138" xr:uid="{00000000-0005-0000-0000-000015000000}"/>
    <cellStyle name="Обычный 13 4 3" xfId="104" xr:uid="{00000000-0005-0000-0000-000016000000}"/>
    <cellStyle name="Обычный 13 5" xfId="43" xr:uid="{00000000-0005-0000-0000-000017000000}"/>
    <cellStyle name="Обычный 13 5 2" xfId="114" xr:uid="{00000000-0005-0000-0000-000018000000}"/>
    <cellStyle name="Обычный 13 6" xfId="80" xr:uid="{00000000-0005-0000-0000-000019000000}"/>
    <cellStyle name="Обычный 15" xfId="2" xr:uid="{00000000-0005-0000-0000-00001A000000}"/>
    <cellStyle name="Обычный 2" xfId="4" xr:uid="{00000000-0005-0000-0000-00001B000000}"/>
    <cellStyle name="Обычный 2 2" xfId="1" xr:uid="{00000000-0005-0000-0000-00001C000000}"/>
    <cellStyle name="Обычный 2 3" xfId="5" xr:uid="{00000000-0005-0000-0000-00001D000000}"/>
    <cellStyle name="Обычный 2 3 2" xfId="21" xr:uid="{00000000-0005-0000-0000-00001E000000}"/>
    <cellStyle name="Обычный 2 3 2 2" xfId="56" xr:uid="{00000000-0005-0000-0000-00001F000000}"/>
    <cellStyle name="Обычный 2 3 2 2 2" xfId="126" xr:uid="{00000000-0005-0000-0000-000020000000}"/>
    <cellStyle name="Обычный 2 3 2 3" xfId="92" xr:uid="{00000000-0005-0000-0000-000021000000}"/>
    <cellStyle name="Обычный 2 3 3" xfId="31" xr:uid="{00000000-0005-0000-0000-000022000000}"/>
    <cellStyle name="Обычный 2 3 3 2" xfId="66" xr:uid="{00000000-0005-0000-0000-000023000000}"/>
    <cellStyle name="Обычный 2 3 3 2 2" xfId="136" xr:uid="{00000000-0005-0000-0000-000024000000}"/>
    <cellStyle name="Обычный 2 3 3 3" xfId="102" xr:uid="{00000000-0005-0000-0000-000025000000}"/>
    <cellStyle name="Обычный 2 3 4" xfId="41" xr:uid="{00000000-0005-0000-0000-000026000000}"/>
    <cellStyle name="Обычный 2 3 4 2" xfId="112" xr:uid="{00000000-0005-0000-0000-000027000000}"/>
    <cellStyle name="Обычный 2 3 5" xfId="78" xr:uid="{00000000-0005-0000-0000-000028000000}"/>
    <cellStyle name="Обычный 2 4" xfId="8" xr:uid="{00000000-0005-0000-0000-000029000000}"/>
    <cellStyle name="Обычный 2 4 5 4 2 2" xfId="9" xr:uid="{00000000-0005-0000-0000-00002A000000}"/>
    <cellStyle name="Обычный 2 4 5 4 2 2 10" xfId="19" xr:uid="{00000000-0005-0000-0000-00002B000000}"/>
    <cellStyle name="Обычный 2 4 5 4 2 2 10 2" xfId="54" xr:uid="{00000000-0005-0000-0000-00002C000000}"/>
    <cellStyle name="Обычный 2 4 5 4 2 2 10 2 2" xfId="124" xr:uid="{00000000-0005-0000-0000-00002D000000}"/>
    <cellStyle name="Обычный 2 4 5 4 2 2 10 3" xfId="90" xr:uid="{00000000-0005-0000-0000-00002E000000}"/>
    <cellStyle name="Обычный 2 4 5 4 2 2 15" xfId="145" xr:uid="{00000000-0005-0000-0000-00002F000000}"/>
    <cellStyle name="Обычный 2 4 5 4 2 2 2" xfId="11" xr:uid="{00000000-0005-0000-0000-000030000000}"/>
    <cellStyle name="Обычный 2 4 5 4 2 2 2 2" xfId="14" xr:uid="{00000000-0005-0000-0000-000031000000}"/>
    <cellStyle name="Обычный 2 4 5 4 2 2 2 2 2" xfId="28" xr:uid="{00000000-0005-0000-0000-000032000000}"/>
    <cellStyle name="Обычный 2 4 5 4 2 2 2 2 2 2" xfId="63" xr:uid="{00000000-0005-0000-0000-000033000000}"/>
    <cellStyle name="Обычный 2 4 5 4 2 2 2 2 2 2 2" xfId="133" xr:uid="{00000000-0005-0000-0000-000034000000}"/>
    <cellStyle name="Обычный 2 4 5 4 2 2 2 2 2 3" xfId="99" xr:uid="{00000000-0005-0000-0000-000035000000}"/>
    <cellStyle name="Обычный 2 4 5 4 2 2 2 2 3" xfId="38" xr:uid="{00000000-0005-0000-0000-000036000000}"/>
    <cellStyle name="Обычный 2 4 5 4 2 2 2 2 3 2" xfId="73" xr:uid="{00000000-0005-0000-0000-000037000000}"/>
    <cellStyle name="Обычный 2 4 5 4 2 2 2 2 3 2 2" xfId="143" xr:uid="{00000000-0005-0000-0000-000038000000}"/>
    <cellStyle name="Обычный 2 4 5 4 2 2 2 2 3 3" xfId="109" xr:uid="{00000000-0005-0000-0000-000039000000}"/>
    <cellStyle name="Обычный 2 4 5 4 2 2 2 2 4" xfId="49" xr:uid="{00000000-0005-0000-0000-00003A000000}"/>
    <cellStyle name="Обычный 2 4 5 4 2 2 2 2 4 2" xfId="119" xr:uid="{00000000-0005-0000-0000-00003B000000}"/>
    <cellStyle name="Обычный 2 4 5 4 2 2 2 2 5" xfId="85" xr:uid="{00000000-0005-0000-0000-00003C000000}"/>
    <cellStyle name="Обычный 2 4 5 4 2 2 2 3" xfId="26" xr:uid="{00000000-0005-0000-0000-00003D000000}"/>
    <cellStyle name="Обычный 2 4 5 4 2 2 2 3 2" xfId="61" xr:uid="{00000000-0005-0000-0000-00003E000000}"/>
    <cellStyle name="Обычный 2 4 5 4 2 2 2 3 2 2" xfId="131" xr:uid="{00000000-0005-0000-0000-00003F000000}"/>
    <cellStyle name="Обычный 2 4 5 4 2 2 2 3 3" xfId="97" xr:uid="{00000000-0005-0000-0000-000040000000}"/>
    <cellStyle name="Обычный 2 4 5 4 2 2 2 4" xfId="36" xr:uid="{00000000-0005-0000-0000-000041000000}"/>
    <cellStyle name="Обычный 2 4 5 4 2 2 2 4 2" xfId="71" xr:uid="{00000000-0005-0000-0000-000042000000}"/>
    <cellStyle name="Обычный 2 4 5 4 2 2 2 4 2 2" xfId="141" xr:uid="{00000000-0005-0000-0000-000043000000}"/>
    <cellStyle name="Обычный 2 4 5 4 2 2 2 4 3" xfId="107" xr:uid="{00000000-0005-0000-0000-000044000000}"/>
    <cellStyle name="Обычный 2 4 5 4 2 2 2 5" xfId="46" xr:uid="{00000000-0005-0000-0000-000045000000}"/>
    <cellStyle name="Обычный 2 4 5 4 2 2 2 5 2" xfId="117" xr:uid="{00000000-0005-0000-0000-000046000000}"/>
    <cellStyle name="Обычный 2 4 5 4 2 2 2 6" xfId="83" xr:uid="{00000000-0005-0000-0000-000047000000}"/>
    <cellStyle name="Обычный 2 4 5 4 2 2 3" xfId="24" xr:uid="{00000000-0005-0000-0000-000048000000}"/>
    <cellStyle name="Обычный 2 4 5 4 2 2 3 2" xfId="59" xr:uid="{00000000-0005-0000-0000-000049000000}"/>
    <cellStyle name="Обычный 2 4 5 4 2 2 3 2 2" xfId="129" xr:uid="{00000000-0005-0000-0000-00004A000000}"/>
    <cellStyle name="Обычный 2 4 5 4 2 2 3 3" xfId="95" xr:uid="{00000000-0005-0000-0000-00004B000000}"/>
    <cellStyle name="Обычный 2 4 5 4 2 2 4" xfId="34" xr:uid="{00000000-0005-0000-0000-00004C000000}"/>
    <cellStyle name="Обычный 2 4 5 4 2 2 4 2" xfId="69" xr:uid="{00000000-0005-0000-0000-00004D000000}"/>
    <cellStyle name="Обычный 2 4 5 4 2 2 4 2 2" xfId="139" xr:uid="{00000000-0005-0000-0000-00004E000000}"/>
    <cellStyle name="Обычный 2 4 5 4 2 2 4 3" xfId="105" xr:uid="{00000000-0005-0000-0000-00004F000000}"/>
    <cellStyle name="Обычный 2 4 5 4 2 2 5" xfId="44" xr:uid="{00000000-0005-0000-0000-000050000000}"/>
    <cellStyle name="Обычный 2 4 5 4 2 2 5 2" xfId="115" xr:uid="{00000000-0005-0000-0000-000051000000}"/>
    <cellStyle name="Обычный 2 4 5 4 2 2 6" xfId="12" xr:uid="{00000000-0005-0000-0000-000052000000}"/>
    <cellStyle name="Обычный 2 4 5 4 2 2 6 2" xfId="27" xr:uid="{00000000-0005-0000-0000-000053000000}"/>
    <cellStyle name="Обычный 2 4 5 4 2 2 6 2 2" xfId="62" xr:uid="{00000000-0005-0000-0000-000054000000}"/>
    <cellStyle name="Обычный 2 4 5 4 2 2 6 2 2 2" xfId="132" xr:uid="{00000000-0005-0000-0000-000055000000}"/>
    <cellStyle name="Обычный 2 4 5 4 2 2 6 2 3" xfId="98" xr:uid="{00000000-0005-0000-0000-000056000000}"/>
    <cellStyle name="Обычный 2 4 5 4 2 2 6 3" xfId="37" xr:uid="{00000000-0005-0000-0000-000057000000}"/>
    <cellStyle name="Обычный 2 4 5 4 2 2 6 3 2" xfId="72" xr:uid="{00000000-0005-0000-0000-000058000000}"/>
    <cellStyle name="Обычный 2 4 5 4 2 2 6 3 2 2" xfId="142" xr:uid="{00000000-0005-0000-0000-000059000000}"/>
    <cellStyle name="Обычный 2 4 5 4 2 2 6 3 3" xfId="108" xr:uid="{00000000-0005-0000-0000-00005A000000}"/>
    <cellStyle name="Обычный 2 4 5 4 2 2 6 4" xfId="47" xr:uid="{00000000-0005-0000-0000-00005B000000}"/>
    <cellStyle name="Обычный 2 4 5 4 2 2 6 4 2" xfId="118" xr:uid="{00000000-0005-0000-0000-00005C000000}"/>
    <cellStyle name="Обычный 2 4 5 4 2 2 6 5" xfId="84" xr:uid="{00000000-0005-0000-0000-00005D000000}"/>
    <cellStyle name="Обычный 2 4 5 4 2 2 6 8" xfId="16" xr:uid="{00000000-0005-0000-0000-00005E000000}"/>
    <cellStyle name="Обычный 2 4 5 4 2 2 6 8 2" xfId="51" xr:uid="{00000000-0005-0000-0000-00005F000000}"/>
    <cellStyle name="Обычный 2 4 5 4 2 2 6 8 2 2" xfId="121" xr:uid="{00000000-0005-0000-0000-000060000000}"/>
    <cellStyle name="Обычный 2 4 5 4 2 2 6 8 3" xfId="87" xr:uid="{00000000-0005-0000-0000-000061000000}"/>
    <cellStyle name="Обычный 2 4 5 4 2 2 7" xfId="81" xr:uid="{00000000-0005-0000-0000-000062000000}"/>
    <cellStyle name="Обычный 2 4 8 4 2 2 2 2" xfId="17" xr:uid="{00000000-0005-0000-0000-000063000000}"/>
    <cellStyle name="Обычный 2 4 8 4 2 2 2 2 2" xfId="52" xr:uid="{00000000-0005-0000-0000-000064000000}"/>
    <cellStyle name="Обычный 2 4 8 4 2 2 2 2 2 2" xfId="122" xr:uid="{00000000-0005-0000-0000-000065000000}"/>
    <cellStyle name="Обычный 2 4 8 4 2 2 2 2 3" xfId="88" xr:uid="{00000000-0005-0000-0000-000066000000}"/>
    <cellStyle name="Обычный 2 5" xfId="20" xr:uid="{00000000-0005-0000-0000-000067000000}"/>
    <cellStyle name="Обычный 2 5 2" xfId="55" xr:uid="{00000000-0005-0000-0000-000068000000}"/>
    <cellStyle name="Обычный 2 5 2 2" xfId="125" xr:uid="{00000000-0005-0000-0000-000069000000}"/>
    <cellStyle name="Обычный 2 5 3" xfId="91" xr:uid="{00000000-0005-0000-0000-00006A000000}"/>
    <cellStyle name="Обычный 2 6" xfId="30" xr:uid="{00000000-0005-0000-0000-00006B000000}"/>
    <cellStyle name="Обычный 2 6 2" xfId="65" xr:uid="{00000000-0005-0000-0000-00006C000000}"/>
    <cellStyle name="Обычный 2 6 2 2" xfId="135" xr:uid="{00000000-0005-0000-0000-00006D000000}"/>
    <cellStyle name="Обычный 2 6 3" xfId="101" xr:uid="{00000000-0005-0000-0000-00006E000000}"/>
    <cellStyle name="Обычный 2 7" xfId="40" xr:uid="{00000000-0005-0000-0000-00006F000000}"/>
    <cellStyle name="Обычный 2 7 2" xfId="111" xr:uid="{00000000-0005-0000-0000-000070000000}"/>
    <cellStyle name="Обычный 2 8" xfId="77" xr:uid="{00000000-0005-0000-0000-000071000000}"/>
    <cellStyle name="Обычный 2 8 2 2 5 3" xfId="15" xr:uid="{00000000-0005-0000-0000-000072000000}"/>
    <cellStyle name="Обычный 2 8 2 2 5 3 2" xfId="29" xr:uid="{00000000-0005-0000-0000-000073000000}"/>
    <cellStyle name="Обычный 2 8 2 2 5 3 2 2" xfId="64" xr:uid="{00000000-0005-0000-0000-000074000000}"/>
    <cellStyle name="Обычный 2 8 2 2 5 3 2 2 2" xfId="134" xr:uid="{00000000-0005-0000-0000-000075000000}"/>
    <cellStyle name="Обычный 2 8 2 2 5 3 2 3" xfId="100" xr:uid="{00000000-0005-0000-0000-000076000000}"/>
    <cellStyle name="Обычный 2 8 2 2 5 3 3" xfId="39" xr:uid="{00000000-0005-0000-0000-000077000000}"/>
    <cellStyle name="Обычный 2 8 2 2 5 3 3 2" xfId="74" xr:uid="{00000000-0005-0000-0000-000078000000}"/>
    <cellStyle name="Обычный 2 8 2 2 5 3 3 2 2" xfId="144" xr:uid="{00000000-0005-0000-0000-000079000000}"/>
    <cellStyle name="Обычный 2 8 2 2 5 3 3 3" xfId="110" xr:uid="{00000000-0005-0000-0000-00007A000000}"/>
    <cellStyle name="Обычный 2 8 2 2 5 3 4" xfId="50" xr:uid="{00000000-0005-0000-0000-00007B000000}"/>
    <cellStyle name="Обычный 2 8 2 2 5 3 4 2" xfId="120" xr:uid="{00000000-0005-0000-0000-00007C000000}"/>
    <cellStyle name="Обычный 2 8 2 2 5 3 5" xfId="86" xr:uid="{00000000-0005-0000-0000-00007D000000}"/>
    <cellStyle name="Обычный 2 8 2 2 8" xfId="18" xr:uid="{00000000-0005-0000-0000-00007E000000}"/>
    <cellStyle name="Обычный 2 8 2 2 8 2" xfId="53" xr:uid="{00000000-0005-0000-0000-00007F000000}"/>
    <cellStyle name="Обычный 2 8 2 2 8 2 2" xfId="123" xr:uid="{00000000-0005-0000-0000-000080000000}"/>
    <cellStyle name="Обычный 2 8 2 2 8 3" xfId="89" xr:uid="{00000000-0005-0000-0000-000081000000}"/>
    <cellStyle name="Обычный 3" xfId="6" xr:uid="{00000000-0005-0000-0000-000082000000}"/>
    <cellStyle name="Обычный 3 2" xfId="22" xr:uid="{00000000-0005-0000-0000-000083000000}"/>
    <cellStyle name="Обычный 3 2 2" xfId="57" xr:uid="{00000000-0005-0000-0000-000084000000}"/>
    <cellStyle name="Обычный 3 2 2 2" xfId="127" xr:uid="{00000000-0005-0000-0000-000085000000}"/>
    <cellStyle name="Обычный 3 2 3" xfId="93" xr:uid="{00000000-0005-0000-0000-000086000000}"/>
    <cellStyle name="Обычный 3 3" xfId="32" xr:uid="{00000000-0005-0000-0000-000087000000}"/>
    <cellStyle name="Обычный 3 3 2" xfId="67" xr:uid="{00000000-0005-0000-0000-000088000000}"/>
    <cellStyle name="Обычный 3 3 2 2" xfId="137" xr:uid="{00000000-0005-0000-0000-000089000000}"/>
    <cellStyle name="Обычный 3 3 3" xfId="103" xr:uid="{00000000-0005-0000-0000-00008A000000}"/>
    <cellStyle name="Обычный 3 4" xfId="42" xr:uid="{00000000-0005-0000-0000-00008B000000}"/>
    <cellStyle name="Обычный 3 4 2" xfId="113" xr:uid="{00000000-0005-0000-0000-00008C000000}"/>
    <cellStyle name="Обычный 3 5" xfId="79" xr:uid="{00000000-0005-0000-0000-00008D000000}"/>
    <cellStyle name="Обычный 4" xfId="75" xr:uid="{00000000-0005-0000-0000-00008E000000}"/>
    <cellStyle name="Обычный 6" xfId="3" xr:uid="{00000000-0005-0000-0000-00008F000000}"/>
    <cellStyle name="Финансовый" xfId="13" builtinId="3"/>
    <cellStyle name="Финансовый 2" xfId="48" xr:uid="{00000000-0005-0000-0000-00009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49"/>
  <sheetViews>
    <sheetView tabSelected="1" view="pageBreakPreview" topLeftCell="B1" zoomScaleNormal="85" zoomScaleSheetLayoutView="100" workbookViewId="0">
      <pane xSplit="21" ySplit="4" topLeftCell="W71" activePane="bottomRight" state="frozen"/>
      <selection activeCell="B1" sqref="B1"/>
      <selection pane="topRight" activeCell="W1" sqref="W1"/>
      <selection pane="bottomLeft" activeCell="B5" sqref="B5"/>
      <selection pane="bottomRight" activeCell="F1" sqref="F1:S1"/>
    </sheetView>
  </sheetViews>
  <sheetFormatPr defaultColWidth="9.140625" defaultRowHeight="15" x14ac:dyDescent="0.25"/>
  <cols>
    <col min="1" max="1" width="4" style="1" hidden="1" customWidth="1"/>
    <col min="2" max="5" width="5.85546875" style="14" customWidth="1"/>
    <col min="6" max="6" width="47.7109375" style="15" customWidth="1"/>
    <col min="7" max="7" width="16.42578125" style="16" customWidth="1"/>
    <col min="8" max="19" width="14" style="16" customWidth="1"/>
    <col min="20" max="22" width="16.140625" style="16" customWidth="1"/>
    <col min="23" max="23" width="14.140625" style="36" customWidth="1"/>
    <col min="24" max="24" width="15.140625" style="21" customWidth="1"/>
    <col min="25" max="26" width="9.140625" style="21" hidden="1" customWidth="1"/>
    <col min="27" max="28" width="16" style="21" customWidth="1"/>
    <col min="29" max="29" width="13.5703125" style="21" customWidth="1"/>
    <col min="30" max="16384" width="9.140625" style="1"/>
  </cols>
  <sheetData>
    <row r="1" spans="1:29" s="102" customFormat="1" ht="24.75" customHeight="1" x14ac:dyDescent="0.25">
      <c r="A1" s="100"/>
      <c r="B1" s="100"/>
      <c r="C1" s="100"/>
      <c r="D1" s="100"/>
      <c r="E1" s="100"/>
      <c r="F1" s="167" t="s">
        <v>140</v>
      </c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5"/>
      <c r="U1" s="5"/>
      <c r="V1" s="5"/>
      <c r="W1" s="37"/>
      <c r="X1" s="101"/>
      <c r="Y1" s="101"/>
      <c r="Z1" s="101"/>
      <c r="AA1" s="101"/>
      <c r="AB1" s="101"/>
      <c r="AC1" s="101"/>
    </row>
    <row r="2" spans="1:29" s="3" customFormat="1" x14ac:dyDescent="0.25">
      <c r="A2" s="44"/>
      <c r="B2" s="44"/>
      <c r="C2" s="44"/>
      <c r="D2" s="44"/>
      <c r="E2" s="44"/>
      <c r="F2" s="44"/>
      <c r="G2" s="44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99" t="s">
        <v>145</v>
      </c>
      <c r="W2" s="37"/>
      <c r="X2" s="20"/>
      <c r="Y2" s="20"/>
      <c r="Z2" s="20"/>
      <c r="AA2" s="20"/>
      <c r="AB2" s="20"/>
      <c r="AC2" s="20"/>
    </row>
    <row r="3" spans="1:29" s="3" customFormat="1" ht="21.75" customHeight="1" x14ac:dyDescent="0.25">
      <c r="A3" s="170" t="s">
        <v>20</v>
      </c>
      <c r="B3" s="170" t="s">
        <v>21</v>
      </c>
      <c r="C3" s="170" t="s">
        <v>22</v>
      </c>
      <c r="D3" s="170" t="s">
        <v>23</v>
      </c>
      <c r="E3" s="170" t="s">
        <v>24</v>
      </c>
      <c r="F3" s="170" t="s">
        <v>19</v>
      </c>
      <c r="G3" s="168" t="s">
        <v>143</v>
      </c>
      <c r="H3" s="169" t="s">
        <v>144</v>
      </c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1" t="s">
        <v>141</v>
      </c>
      <c r="U3" s="163" t="s">
        <v>219</v>
      </c>
      <c r="V3" s="165" t="s">
        <v>142</v>
      </c>
      <c r="W3" s="37"/>
      <c r="X3" s="20"/>
      <c r="Y3" s="20"/>
      <c r="Z3" s="20"/>
      <c r="AA3" s="20"/>
      <c r="AB3" s="20"/>
      <c r="AC3" s="20"/>
    </row>
    <row r="4" spans="1:29" ht="26.25" customHeight="1" x14ac:dyDescent="0.25">
      <c r="A4" s="170"/>
      <c r="B4" s="170"/>
      <c r="C4" s="170"/>
      <c r="D4" s="170"/>
      <c r="E4" s="170"/>
      <c r="F4" s="170"/>
      <c r="G4" s="168"/>
      <c r="H4" s="50" t="s">
        <v>0</v>
      </c>
      <c r="I4" s="50" t="s">
        <v>1</v>
      </c>
      <c r="J4" s="50" t="s">
        <v>2</v>
      </c>
      <c r="K4" s="50" t="s">
        <v>3</v>
      </c>
      <c r="L4" s="50" t="s">
        <v>4</v>
      </c>
      <c r="M4" s="121" t="s">
        <v>5</v>
      </c>
      <c r="N4" s="50" t="s">
        <v>6</v>
      </c>
      <c r="O4" s="50" t="s">
        <v>7</v>
      </c>
      <c r="P4" s="50" t="s">
        <v>8</v>
      </c>
      <c r="Q4" s="50" t="s">
        <v>9</v>
      </c>
      <c r="R4" s="50" t="s">
        <v>10</v>
      </c>
      <c r="S4" s="50" t="s">
        <v>11</v>
      </c>
      <c r="T4" s="162"/>
      <c r="U4" s="164"/>
      <c r="V4" s="166"/>
    </row>
    <row r="5" spans="1:29" ht="28.5" x14ac:dyDescent="0.25">
      <c r="A5" s="7"/>
      <c r="B5" s="51">
        <v>268</v>
      </c>
      <c r="C5" s="51"/>
      <c r="D5" s="52"/>
      <c r="E5" s="52"/>
      <c r="F5" s="53" t="s">
        <v>12</v>
      </c>
      <c r="G5" s="54">
        <f>SUM(H5:S5)</f>
        <v>30706376.499999996</v>
      </c>
      <c r="H5" s="54">
        <f t="shared" ref="H5:V5" si="0">H6+H10+H13+H17+H37+H131+H143+H147</f>
        <v>944000</v>
      </c>
      <c r="I5" s="54">
        <f t="shared" si="0"/>
        <v>3914658.0999999996</v>
      </c>
      <c r="J5" s="54">
        <f t="shared" si="0"/>
        <v>2374569.4000000004</v>
      </c>
      <c r="K5" s="54">
        <f t="shared" si="0"/>
        <v>3198032.1999999997</v>
      </c>
      <c r="L5" s="54">
        <f t="shared" si="0"/>
        <v>2707238.8</v>
      </c>
      <c r="M5" s="54">
        <f t="shared" si="0"/>
        <v>3035506.6999999997</v>
      </c>
      <c r="N5" s="54">
        <f t="shared" si="0"/>
        <v>2037565.7</v>
      </c>
      <c r="O5" s="54">
        <f t="shared" si="0"/>
        <v>9545402.3999999985</v>
      </c>
      <c r="P5" s="54">
        <f t="shared" si="0"/>
        <v>1166104.7</v>
      </c>
      <c r="Q5" s="54">
        <f t="shared" si="0"/>
        <v>741305.7</v>
      </c>
      <c r="R5" s="54">
        <f t="shared" si="0"/>
        <v>497000</v>
      </c>
      <c r="S5" s="54">
        <f t="shared" si="0"/>
        <v>544992.80000000005</v>
      </c>
      <c r="T5" s="54">
        <f t="shared" si="0"/>
        <v>24990253.700019997</v>
      </c>
      <c r="U5" s="54">
        <f t="shared" si="0"/>
        <v>16174005.200000001</v>
      </c>
      <c r="V5" s="54">
        <f t="shared" si="0"/>
        <v>15996205.943869999</v>
      </c>
      <c r="X5" s="108">
        <v>30706376.5</v>
      </c>
    </row>
    <row r="6" spans="1:29" s="9" customFormat="1" ht="29.25" customHeight="1" x14ac:dyDescent="0.2">
      <c r="A6" s="8"/>
      <c r="B6" s="55"/>
      <c r="C6" s="56" t="s">
        <v>148</v>
      </c>
      <c r="D6" s="56"/>
      <c r="E6" s="56"/>
      <c r="F6" s="57" t="s">
        <v>151</v>
      </c>
      <c r="G6" s="58">
        <f t="shared" ref="G6:G9" si="1">SUM(H6:S6)</f>
        <v>2070000</v>
      </c>
      <c r="H6" s="58">
        <f>H7</f>
        <v>594000</v>
      </c>
      <c r="I6" s="58">
        <f t="shared" ref="I6:S8" si="2">I7</f>
        <v>227000</v>
      </c>
      <c r="J6" s="58">
        <f t="shared" si="2"/>
        <v>300000</v>
      </c>
      <c r="K6" s="58">
        <f t="shared" si="2"/>
        <v>155435.5</v>
      </c>
      <c r="L6" s="58">
        <f t="shared" si="2"/>
        <v>27000</v>
      </c>
      <c r="M6" s="58">
        <f t="shared" si="2"/>
        <v>29041.299999999988</v>
      </c>
      <c r="N6" s="58">
        <f t="shared" si="2"/>
        <v>113221</v>
      </c>
      <c r="O6" s="58">
        <f t="shared" si="2"/>
        <v>524302.19999999995</v>
      </c>
      <c r="P6" s="58">
        <f t="shared" si="2"/>
        <v>100000</v>
      </c>
      <c r="Q6" s="58">
        <f t="shared" si="2"/>
        <v>0</v>
      </c>
      <c r="R6" s="58">
        <f t="shared" si="2"/>
        <v>0</v>
      </c>
      <c r="S6" s="58">
        <f t="shared" si="2"/>
        <v>0</v>
      </c>
      <c r="T6" s="58">
        <f t="shared" ref="T6:T8" si="3">T7</f>
        <v>2070000</v>
      </c>
      <c r="U6" s="58">
        <f t="shared" ref="U6:U8" si="4">U7</f>
        <v>1332476.8</v>
      </c>
      <c r="V6" s="58">
        <f t="shared" ref="V6:V8" si="5">V7</f>
        <v>1332476.8</v>
      </c>
      <c r="W6" s="38"/>
      <c r="X6" s="13"/>
      <c r="Y6" s="13"/>
      <c r="Z6" s="13"/>
      <c r="AA6" s="13"/>
      <c r="AB6" s="13"/>
      <c r="AC6" s="13"/>
    </row>
    <row r="7" spans="1:29" s="9" customFormat="1" ht="20.25" customHeight="1" x14ac:dyDescent="0.2">
      <c r="A7" s="8"/>
      <c r="B7" s="59"/>
      <c r="C7" s="59"/>
      <c r="D7" s="60" t="s">
        <v>13</v>
      </c>
      <c r="E7" s="60"/>
      <c r="F7" s="61" t="s">
        <v>14</v>
      </c>
      <c r="G7" s="54">
        <f t="shared" si="1"/>
        <v>2070000</v>
      </c>
      <c r="H7" s="54">
        <f>H8</f>
        <v>594000</v>
      </c>
      <c r="I7" s="54">
        <f t="shared" si="2"/>
        <v>227000</v>
      </c>
      <c r="J7" s="54">
        <f t="shared" si="2"/>
        <v>300000</v>
      </c>
      <c r="K7" s="54">
        <f t="shared" si="2"/>
        <v>155435.5</v>
      </c>
      <c r="L7" s="54">
        <f t="shared" si="2"/>
        <v>27000</v>
      </c>
      <c r="M7" s="54">
        <f t="shared" si="2"/>
        <v>29041.299999999988</v>
      </c>
      <c r="N7" s="54">
        <f t="shared" si="2"/>
        <v>113221</v>
      </c>
      <c r="O7" s="54">
        <f t="shared" si="2"/>
        <v>524302.19999999995</v>
      </c>
      <c r="P7" s="54">
        <f t="shared" si="2"/>
        <v>100000</v>
      </c>
      <c r="Q7" s="54">
        <f t="shared" si="2"/>
        <v>0</v>
      </c>
      <c r="R7" s="54">
        <f t="shared" si="2"/>
        <v>0</v>
      </c>
      <c r="S7" s="54">
        <f t="shared" si="2"/>
        <v>0</v>
      </c>
      <c r="T7" s="54">
        <f t="shared" si="3"/>
        <v>2070000</v>
      </c>
      <c r="U7" s="54">
        <f t="shared" si="4"/>
        <v>1332476.8</v>
      </c>
      <c r="V7" s="54">
        <f t="shared" si="5"/>
        <v>1332476.8</v>
      </c>
      <c r="W7" s="38"/>
      <c r="X7" s="13"/>
      <c r="Y7" s="13"/>
      <c r="Z7" s="13"/>
      <c r="AA7" s="13"/>
      <c r="AB7" s="13"/>
      <c r="AC7" s="13"/>
    </row>
    <row r="8" spans="1:29" s="11" customFormat="1" x14ac:dyDescent="0.25">
      <c r="A8" s="10"/>
      <c r="B8" s="62"/>
      <c r="C8" s="62"/>
      <c r="D8" s="49"/>
      <c r="E8" s="49">
        <v>432</v>
      </c>
      <c r="F8" s="63" t="s">
        <v>149</v>
      </c>
      <c r="G8" s="48">
        <f t="shared" si="1"/>
        <v>2070000</v>
      </c>
      <c r="H8" s="48">
        <f>H9</f>
        <v>594000</v>
      </c>
      <c r="I8" s="48">
        <f t="shared" si="2"/>
        <v>227000</v>
      </c>
      <c r="J8" s="48">
        <f t="shared" si="2"/>
        <v>300000</v>
      </c>
      <c r="K8" s="48">
        <f t="shared" si="2"/>
        <v>155435.5</v>
      </c>
      <c r="L8" s="48">
        <f t="shared" si="2"/>
        <v>27000</v>
      </c>
      <c r="M8" s="48">
        <f t="shared" si="2"/>
        <v>29041.299999999988</v>
      </c>
      <c r="N8" s="48">
        <f t="shared" si="2"/>
        <v>113221</v>
      </c>
      <c r="O8" s="48">
        <f t="shared" si="2"/>
        <v>524302.19999999995</v>
      </c>
      <c r="P8" s="48">
        <f t="shared" si="2"/>
        <v>100000</v>
      </c>
      <c r="Q8" s="48">
        <f t="shared" si="2"/>
        <v>0</v>
      </c>
      <c r="R8" s="48">
        <f t="shared" si="2"/>
        <v>0</v>
      </c>
      <c r="S8" s="48">
        <f t="shared" si="2"/>
        <v>0</v>
      </c>
      <c r="T8" s="48">
        <f t="shared" si="3"/>
        <v>2070000</v>
      </c>
      <c r="U8" s="48">
        <f t="shared" si="4"/>
        <v>1332476.8</v>
      </c>
      <c r="V8" s="48">
        <f t="shared" si="5"/>
        <v>1332476.8</v>
      </c>
      <c r="W8" s="39"/>
      <c r="X8" s="23"/>
      <c r="Y8" s="23"/>
      <c r="Z8" s="23"/>
      <c r="AA8" s="23"/>
      <c r="AB8" s="23"/>
      <c r="AC8" s="23"/>
    </row>
    <row r="9" spans="1:29" s="11" customFormat="1" ht="78" customHeight="1" x14ac:dyDescent="0.25">
      <c r="A9" s="10"/>
      <c r="B9" s="62"/>
      <c r="C9" s="62"/>
      <c r="D9" s="49"/>
      <c r="E9" s="49"/>
      <c r="F9" s="63" t="s">
        <v>150</v>
      </c>
      <c r="G9" s="48">
        <f t="shared" si="1"/>
        <v>2070000</v>
      </c>
      <c r="H9" s="48">
        <v>594000</v>
      </c>
      <c r="I9" s="115">
        <f>227000</f>
        <v>227000</v>
      </c>
      <c r="J9" s="118">
        <f>100000+200000</f>
        <v>300000</v>
      </c>
      <c r="K9" s="124">
        <f>70000+85435.5</f>
        <v>155435.5</v>
      </c>
      <c r="L9" s="128">
        <v>27000</v>
      </c>
      <c r="M9" s="133">
        <f>179000-149958.7</f>
        <v>29041.299999999988</v>
      </c>
      <c r="N9" s="133">
        <f>214564.5+149958.7-251302.2</f>
        <v>113221</v>
      </c>
      <c r="O9" s="128">
        <f>273000+251302.2</f>
        <v>524302.19999999995</v>
      </c>
      <c r="P9" s="118">
        <v>100000</v>
      </c>
      <c r="Q9" s="48"/>
      <c r="R9" s="48"/>
      <c r="S9" s="48"/>
      <c r="T9" s="114">
        <v>2070000</v>
      </c>
      <c r="U9" s="114">
        <f>SUM(H9:M9)</f>
        <v>1332476.8</v>
      </c>
      <c r="V9" s="114">
        <v>1332476.8</v>
      </c>
      <c r="W9" s="109" t="s">
        <v>152</v>
      </c>
      <c r="X9" s="23"/>
      <c r="Y9" s="23"/>
      <c r="Z9" s="23"/>
      <c r="AA9" s="23"/>
      <c r="AB9" s="23"/>
      <c r="AC9" s="23"/>
    </row>
    <row r="10" spans="1:29" s="9" customFormat="1" ht="28.5" x14ac:dyDescent="0.2">
      <c r="A10" s="8"/>
      <c r="B10" s="55"/>
      <c r="C10" s="56" t="s">
        <v>37</v>
      </c>
      <c r="D10" s="56"/>
      <c r="E10" s="56"/>
      <c r="F10" s="57" t="s">
        <v>34</v>
      </c>
      <c r="G10" s="58">
        <f t="shared" ref="G10:G63" si="6">SUM(H10:S10)</f>
        <v>2057000</v>
      </c>
      <c r="H10" s="58">
        <f>H11</f>
        <v>70000</v>
      </c>
      <c r="I10" s="58">
        <f t="shared" ref="I10:S11" si="7">I11</f>
        <v>200000</v>
      </c>
      <c r="J10" s="58">
        <f t="shared" si="7"/>
        <v>478089.5</v>
      </c>
      <c r="K10" s="58">
        <f t="shared" si="7"/>
        <v>130000</v>
      </c>
      <c r="L10" s="58">
        <f t="shared" si="7"/>
        <v>225000</v>
      </c>
      <c r="M10" s="58">
        <f t="shared" si="7"/>
        <v>181565.7</v>
      </c>
      <c r="N10" s="58">
        <f t="shared" si="7"/>
        <v>131910.5</v>
      </c>
      <c r="O10" s="58">
        <f t="shared" si="7"/>
        <v>195000</v>
      </c>
      <c r="P10" s="58">
        <f t="shared" si="7"/>
        <v>122000</v>
      </c>
      <c r="Q10" s="58">
        <f t="shared" si="7"/>
        <v>95000</v>
      </c>
      <c r="R10" s="58">
        <f t="shared" si="7"/>
        <v>150000</v>
      </c>
      <c r="S10" s="58">
        <f t="shared" si="7"/>
        <v>78434.3</v>
      </c>
      <c r="T10" s="58">
        <f t="shared" ref="T10:V11" si="8">T11</f>
        <v>1813568.1440600001</v>
      </c>
      <c r="U10" s="58">
        <f t="shared" si="8"/>
        <v>1284655.2</v>
      </c>
      <c r="V10" s="58">
        <f t="shared" si="8"/>
        <v>1284655.2</v>
      </c>
      <c r="W10" s="38"/>
      <c r="X10" s="13"/>
      <c r="Y10" s="13"/>
      <c r="Z10" s="13"/>
      <c r="AA10" s="13"/>
      <c r="AB10" s="13"/>
      <c r="AC10" s="13"/>
    </row>
    <row r="11" spans="1:29" s="9" customFormat="1" ht="21" customHeight="1" x14ac:dyDescent="0.2">
      <c r="A11" s="8"/>
      <c r="B11" s="59"/>
      <c r="C11" s="59"/>
      <c r="D11" s="60" t="s">
        <v>13</v>
      </c>
      <c r="E11" s="60"/>
      <c r="F11" s="61" t="s">
        <v>14</v>
      </c>
      <c r="G11" s="54">
        <f t="shared" si="6"/>
        <v>2057000</v>
      </c>
      <c r="H11" s="54">
        <f>H12</f>
        <v>70000</v>
      </c>
      <c r="I11" s="54">
        <f t="shared" si="7"/>
        <v>200000</v>
      </c>
      <c r="J11" s="54">
        <f t="shared" si="7"/>
        <v>478089.5</v>
      </c>
      <c r="K11" s="54">
        <f t="shared" si="7"/>
        <v>130000</v>
      </c>
      <c r="L11" s="54">
        <f t="shared" si="7"/>
        <v>225000</v>
      </c>
      <c r="M11" s="54">
        <f t="shared" si="7"/>
        <v>181565.7</v>
      </c>
      <c r="N11" s="54">
        <f t="shared" si="7"/>
        <v>131910.5</v>
      </c>
      <c r="O11" s="54">
        <f t="shared" si="7"/>
        <v>195000</v>
      </c>
      <c r="P11" s="54">
        <f t="shared" si="7"/>
        <v>122000</v>
      </c>
      <c r="Q11" s="54">
        <f t="shared" si="7"/>
        <v>95000</v>
      </c>
      <c r="R11" s="54">
        <f t="shared" si="7"/>
        <v>150000</v>
      </c>
      <c r="S11" s="54">
        <f t="shared" si="7"/>
        <v>78434.3</v>
      </c>
      <c r="T11" s="54">
        <f t="shared" si="8"/>
        <v>1813568.1440600001</v>
      </c>
      <c r="U11" s="54">
        <f t="shared" si="8"/>
        <v>1284655.2</v>
      </c>
      <c r="V11" s="54">
        <f t="shared" si="8"/>
        <v>1284655.2</v>
      </c>
      <c r="W11" s="38"/>
      <c r="X11" s="13"/>
      <c r="Y11" s="13"/>
      <c r="Z11" s="13"/>
      <c r="AA11" s="13"/>
      <c r="AB11" s="13"/>
      <c r="AC11" s="13"/>
    </row>
    <row r="12" spans="1:29" s="11" customFormat="1" x14ac:dyDescent="0.25">
      <c r="A12" s="10"/>
      <c r="B12" s="62"/>
      <c r="C12" s="62"/>
      <c r="D12" s="47"/>
      <c r="E12" s="47">
        <v>159</v>
      </c>
      <c r="F12" s="63" t="s">
        <v>16</v>
      </c>
      <c r="G12" s="46">
        <f t="shared" si="6"/>
        <v>2057000</v>
      </c>
      <c r="H12" s="46">
        <v>70000</v>
      </c>
      <c r="I12" s="115">
        <v>200000</v>
      </c>
      <c r="J12" s="118">
        <v>478089.5</v>
      </c>
      <c r="K12" s="124">
        <v>130000</v>
      </c>
      <c r="L12" s="128">
        <f>95000+130000</f>
        <v>225000</v>
      </c>
      <c r="M12" s="133">
        <f>95000+86565.7</f>
        <v>181565.7</v>
      </c>
      <c r="N12" s="114">
        <v>131910.5</v>
      </c>
      <c r="O12" s="133">
        <v>195000</v>
      </c>
      <c r="P12" s="133">
        <f>252000-130000</f>
        <v>122000</v>
      </c>
      <c r="Q12" s="133">
        <v>95000</v>
      </c>
      <c r="R12" s="133">
        <v>150000</v>
      </c>
      <c r="S12" s="133">
        <f>165000-86565.7</f>
        <v>78434.3</v>
      </c>
      <c r="T12" s="114">
        <v>1813568.1440600001</v>
      </c>
      <c r="U12" s="114">
        <f>SUM(H12:M12)</f>
        <v>1284655.2</v>
      </c>
      <c r="V12" s="114">
        <v>1284655.2</v>
      </c>
      <c r="W12" s="39"/>
      <c r="X12" s="23"/>
      <c r="Y12" s="23"/>
      <c r="Z12" s="23"/>
      <c r="AA12" s="23"/>
      <c r="AB12" s="23"/>
      <c r="AC12" s="23"/>
    </row>
    <row r="13" spans="1:29" s="11" customFormat="1" ht="42.75" x14ac:dyDescent="0.25">
      <c r="A13" s="8"/>
      <c r="B13" s="55"/>
      <c r="C13" s="56" t="s">
        <v>33</v>
      </c>
      <c r="D13" s="56"/>
      <c r="E13" s="56"/>
      <c r="F13" s="57" t="s">
        <v>182</v>
      </c>
      <c r="G13" s="58">
        <f>SUM(H13:S13)</f>
        <v>1900000</v>
      </c>
      <c r="H13" s="58">
        <f>H14</f>
        <v>280000</v>
      </c>
      <c r="I13" s="58">
        <f t="shared" ref="I13:S13" si="9">I14</f>
        <v>160000</v>
      </c>
      <c r="J13" s="58">
        <f t="shared" si="9"/>
        <v>188684.7</v>
      </c>
      <c r="K13" s="58">
        <f t="shared" si="9"/>
        <v>174615.3</v>
      </c>
      <c r="L13" s="58">
        <f t="shared" si="9"/>
        <v>160000</v>
      </c>
      <c r="M13" s="58">
        <f t="shared" si="9"/>
        <v>269693.3</v>
      </c>
      <c r="N13" s="58">
        <f t="shared" si="9"/>
        <v>157005</v>
      </c>
      <c r="O13" s="58">
        <f t="shared" si="9"/>
        <v>155301.70000000001</v>
      </c>
      <c r="P13" s="58">
        <f t="shared" si="9"/>
        <v>110000</v>
      </c>
      <c r="Q13" s="58">
        <f t="shared" si="9"/>
        <v>108000</v>
      </c>
      <c r="R13" s="58">
        <f t="shared" si="9"/>
        <v>90000</v>
      </c>
      <c r="S13" s="58">
        <f t="shared" si="9"/>
        <v>46700</v>
      </c>
      <c r="T13" s="58">
        <f>T14</f>
        <v>1232993.2679999999</v>
      </c>
      <c r="U13" s="58">
        <f>U14</f>
        <v>1232993.3</v>
      </c>
      <c r="V13" s="58">
        <f>V14</f>
        <v>1232993.2679999999</v>
      </c>
      <c r="W13" s="39"/>
      <c r="X13" s="23"/>
      <c r="Y13" s="23"/>
      <c r="Z13" s="23"/>
      <c r="AA13" s="23"/>
      <c r="AB13" s="23"/>
      <c r="AC13" s="23"/>
    </row>
    <row r="14" spans="1:29" s="11" customFormat="1" ht="20.25" customHeight="1" x14ac:dyDescent="0.25">
      <c r="A14" s="8"/>
      <c r="B14" s="59"/>
      <c r="C14" s="59"/>
      <c r="D14" s="60" t="s">
        <v>13</v>
      </c>
      <c r="E14" s="60"/>
      <c r="F14" s="61" t="s">
        <v>14</v>
      </c>
      <c r="G14" s="54">
        <f t="shared" si="6"/>
        <v>1900000</v>
      </c>
      <c r="H14" s="54">
        <f>SUM(H15:H16)</f>
        <v>280000</v>
      </c>
      <c r="I14" s="54">
        <f t="shared" ref="I14:S14" si="10">SUM(I15:I16)</f>
        <v>160000</v>
      </c>
      <c r="J14" s="54">
        <f t="shared" si="10"/>
        <v>188684.7</v>
      </c>
      <c r="K14" s="54">
        <f t="shared" si="10"/>
        <v>174615.3</v>
      </c>
      <c r="L14" s="54">
        <f t="shared" si="10"/>
        <v>160000</v>
      </c>
      <c r="M14" s="54">
        <f t="shared" si="10"/>
        <v>269693.3</v>
      </c>
      <c r="N14" s="54">
        <f t="shared" si="10"/>
        <v>157005</v>
      </c>
      <c r="O14" s="54">
        <f t="shared" si="10"/>
        <v>155301.70000000001</v>
      </c>
      <c r="P14" s="54">
        <f t="shared" si="10"/>
        <v>110000</v>
      </c>
      <c r="Q14" s="54">
        <f t="shared" si="10"/>
        <v>108000</v>
      </c>
      <c r="R14" s="54">
        <f t="shared" si="10"/>
        <v>90000</v>
      </c>
      <c r="S14" s="54">
        <f t="shared" si="10"/>
        <v>46700</v>
      </c>
      <c r="T14" s="54">
        <f>SUM(T15:T16)</f>
        <v>1232993.2679999999</v>
      </c>
      <c r="U14" s="54">
        <f>SUM(U15:U16)</f>
        <v>1232993.3</v>
      </c>
      <c r="V14" s="54">
        <f>SUM(V15:V16)</f>
        <v>1232993.2679999999</v>
      </c>
      <c r="W14" s="39"/>
      <c r="X14" s="23"/>
      <c r="Y14" s="23"/>
      <c r="Z14" s="23"/>
      <c r="AA14" s="23"/>
      <c r="AB14" s="23"/>
      <c r="AC14" s="23"/>
    </row>
    <row r="15" spans="1:29" s="9" customFormat="1" ht="30" x14ac:dyDescent="0.2">
      <c r="A15" s="10"/>
      <c r="B15" s="62"/>
      <c r="C15" s="62"/>
      <c r="D15" s="47"/>
      <c r="E15" s="47">
        <v>312</v>
      </c>
      <c r="F15" s="63" t="s">
        <v>138</v>
      </c>
      <c r="G15" s="46">
        <f t="shared" si="6"/>
        <v>1351745.3</v>
      </c>
      <c r="H15" s="46">
        <v>235245.3</v>
      </c>
      <c r="I15" s="46">
        <v>115000</v>
      </c>
      <c r="J15" s="118">
        <v>165184.70000000001</v>
      </c>
      <c r="K15" s="118">
        <f>115000+14615.3</f>
        <v>129615.3</v>
      </c>
      <c r="L15" s="118">
        <v>105000</v>
      </c>
      <c r="M15" s="133">
        <f>115000+106698.3</f>
        <v>221698.3</v>
      </c>
      <c r="N15" s="133">
        <v>110000</v>
      </c>
      <c r="O15" s="133">
        <f>110000-4698.3</f>
        <v>105301.7</v>
      </c>
      <c r="P15" s="133">
        <f>110000-50000</f>
        <v>60000</v>
      </c>
      <c r="Q15" s="133">
        <f>110000-52000</f>
        <v>58000</v>
      </c>
      <c r="R15" s="118">
        <v>45000</v>
      </c>
      <c r="S15" s="118">
        <f>45000-43300</f>
        <v>1700</v>
      </c>
      <c r="T15" s="114">
        <v>971743.56799999997</v>
      </c>
      <c r="U15" s="114">
        <f t="shared" ref="U15:U16" si="11">SUM(H15:M15)</f>
        <v>971743.60000000009</v>
      </c>
      <c r="V15" s="114">
        <v>971743.56799999997</v>
      </c>
      <c r="W15" s="38"/>
      <c r="X15" s="13"/>
      <c r="Y15" s="13"/>
      <c r="Z15" s="13"/>
      <c r="AA15" s="13"/>
      <c r="AB15" s="13"/>
      <c r="AC15" s="13"/>
    </row>
    <row r="16" spans="1:29" s="9" customFormat="1" ht="31.5" customHeight="1" x14ac:dyDescent="0.2">
      <c r="A16" s="10"/>
      <c r="B16" s="62"/>
      <c r="C16" s="62"/>
      <c r="D16" s="47"/>
      <c r="E16" s="47">
        <v>313</v>
      </c>
      <c r="F16" s="63" t="s">
        <v>139</v>
      </c>
      <c r="G16" s="46">
        <f t="shared" si="6"/>
        <v>548254.69999999995</v>
      </c>
      <c r="H16" s="46">
        <v>44754.7</v>
      </c>
      <c r="I16" s="46">
        <v>45000</v>
      </c>
      <c r="J16" s="46">
        <v>23500</v>
      </c>
      <c r="K16" s="46">
        <v>45000</v>
      </c>
      <c r="L16" s="46">
        <v>55000</v>
      </c>
      <c r="M16" s="133">
        <f>45000+2995</f>
        <v>47995</v>
      </c>
      <c r="N16" s="133">
        <f>50000-2995</f>
        <v>47005</v>
      </c>
      <c r="O16" s="133">
        <v>50000</v>
      </c>
      <c r="P16" s="133">
        <v>50000</v>
      </c>
      <c r="Q16" s="133">
        <v>50000</v>
      </c>
      <c r="R16" s="46">
        <v>45000</v>
      </c>
      <c r="S16" s="46">
        <v>45000</v>
      </c>
      <c r="T16" s="114">
        <v>261249.7</v>
      </c>
      <c r="U16" s="114">
        <f t="shared" si="11"/>
        <v>261249.7</v>
      </c>
      <c r="V16" s="114">
        <v>261249.7</v>
      </c>
      <c r="W16" s="38"/>
      <c r="X16" s="13"/>
      <c r="Y16" s="13"/>
      <c r="Z16" s="13"/>
      <c r="AA16" s="13"/>
      <c r="AB16" s="13"/>
      <c r="AC16" s="13"/>
    </row>
    <row r="17" spans="1:29" s="12" customFormat="1" ht="54" customHeight="1" x14ac:dyDescent="0.25">
      <c r="A17" s="8"/>
      <c r="B17" s="55"/>
      <c r="C17" s="64" t="s">
        <v>17</v>
      </c>
      <c r="D17" s="56"/>
      <c r="E17" s="56"/>
      <c r="F17" s="65" t="s">
        <v>18</v>
      </c>
      <c r="G17" s="58">
        <f t="shared" si="6"/>
        <v>10294543</v>
      </c>
      <c r="H17" s="66">
        <f>H18</f>
        <v>0</v>
      </c>
      <c r="I17" s="66">
        <f t="shared" ref="I17:S17" si="12">I18</f>
        <v>2091680.2999999998</v>
      </c>
      <c r="J17" s="66">
        <f t="shared" si="12"/>
        <v>483786.4</v>
      </c>
      <c r="K17" s="66">
        <f t="shared" si="12"/>
        <v>499871.60000000003</v>
      </c>
      <c r="L17" s="66">
        <f t="shared" si="12"/>
        <v>1300385.2999999998</v>
      </c>
      <c r="M17" s="66">
        <f t="shared" si="12"/>
        <v>758486.2</v>
      </c>
      <c r="N17" s="66">
        <f t="shared" si="12"/>
        <v>353000</v>
      </c>
      <c r="O17" s="66">
        <f t="shared" si="12"/>
        <v>4347790.2</v>
      </c>
      <c r="P17" s="66">
        <f t="shared" si="12"/>
        <v>294543</v>
      </c>
      <c r="Q17" s="66">
        <f t="shared" si="12"/>
        <v>165000</v>
      </c>
      <c r="R17" s="66">
        <f t="shared" si="12"/>
        <v>0</v>
      </c>
      <c r="S17" s="66">
        <f t="shared" si="12"/>
        <v>0</v>
      </c>
      <c r="T17" s="66">
        <f>T18</f>
        <v>9137872.3692799993</v>
      </c>
      <c r="U17" s="66">
        <f>U18</f>
        <v>5134209.8000000007</v>
      </c>
      <c r="V17" s="66">
        <f>V18</f>
        <v>5134209.6874199994</v>
      </c>
      <c r="W17" s="34"/>
      <c r="X17" s="25"/>
      <c r="Y17" s="25"/>
      <c r="Z17" s="25"/>
      <c r="AA17" s="25"/>
      <c r="AB17" s="25"/>
      <c r="AC17" s="25"/>
    </row>
    <row r="18" spans="1:29" s="12" customFormat="1" ht="19.5" customHeight="1" x14ac:dyDescent="0.25">
      <c r="A18" s="8"/>
      <c r="B18" s="59"/>
      <c r="C18" s="67"/>
      <c r="D18" s="60" t="s">
        <v>13</v>
      </c>
      <c r="E18" s="60"/>
      <c r="F18" s="61" t="s">
        <v>14</v>
      </c>
      <c r="G18" s="54">
        <f t="shared" si="6"/>
        <v>10294543</v>
      </c>
      <c r="H18" s="68">
        <f t="shared" ref="H18:S18" si="13">H19+H33</f>
        <v>0</v>
      </c>
      <c r="I18" s="68">
        <f t="shared" si="13"/>
        <v>2091680.2999999998</v>
      </c>
      <c r="J18" s="68">
        <f t="shared" si="13"/>
        <v>483786.4</v>
      </c>
      <c r="K18" s="68">
        <f t="shared" si="13"/>
        <v>499871.60000000003</v>
      </c>
      <c r="L18" s="68">
        <f t="shared" si="13"/>
        <v>1300385.2999999998</v>
      </c>
      <c r="M18" s="68">
        <f t="shared" si="13"/>
        <v>758486.2</v>
      </c>
      <c r="N18" s="68">
        <f t="shared" si="13"/>
        <v>353000</v>
      </c>
      <c r="O18" s="68">
        <f t="shared" si="13"/>
        <v>4347790.2</v>
      </c>
      <c r="P18" s="68">
        <f t="shared" si="13"/>
        <v>294543</v>
      </c>
      <c r="Q18" s="68">
        <f t="shared" si="13"/>
        <v>165000</v>
      </c>
      <c r="R18" s="68">
        <f t="shared" si="13"/>
        <v>0</v>
      </c>
      <c r="S18" s="68">
        <f t="shared" si="13"/>
        <v>0</v>
      </c>
      <c r="T18" s="68">
        <f t="shared" ref="T18:U18" si="14">T19+T33</f>
        <v>9137872.3692799993</v>
      </c>
      <c r="U18" s="68">
        <f t="shared" si="14"/>
        <v>5134209.8000000007</v>
      </c>
      <c r="V18" s="68">
        <f t="shared" ref="V18" si="15">V19+V33</f>
        <v>5134209.6874199994</v>
      </c>
      <c r="W18" s="34"/>
      <c r="X18" s="25"/>
      <c r="Y18" s="25"/>
      <c r="Z18" s="25"/>
      <c r="AA18" s="27"/>
      <c r="AB18" s="25"/>
      <c r="AC18" s="25"/>
    </row>
    <row r="19" spans="1:29" s="12" customFormat="1" x14ac:dyDescent="0.25">
      <c r="A19" s="8"/>
      <c r="B19" s="59"/>
      <c r="C19" s="67"/>
      <c r="D19" s="69"/>
      <c r="E19" s="70" t="s">
        <v>15</v>
      </c>
      <c r="F19" s="71" t="s">
        <v>16</v>
      </c>
      <c r="G19" s="46">
        <f t="shared" si="6"/>
        <v>6785726</v>
      </c>
      <c r="H19" s="50">
        <f>SUM(H20:H32)</f>
        <v>0</v>
      </c>
      <c r="I19" s="50">
        <f t="shared" ref="I19:V19" si="16">SUM(I20:I32)</f>
        <v>1196969.7</v>
      </c>
      <c r="J19" s="50">
        <f t="shared" si="16"/>
        <v>337358.5</v>
      </c>
      <c r="K19" s="50">
        <f t="shared" si="16"/>
        <v>492317.80000000005</v>
      </c>
      <c r="L19" s="50">
        <f t="shared" si="16"/>
        <v>1197105.8999999999</v>
      </c>
      <c r="M19" s="50">
        <f t="shared" si="16"/>
        <v>577780</v>
      </c>
      <c r="N19" s="50">
        <f t="shared" si="16"/>
        <v>203000</v>
      </c>
      <c r="O19" s="50">
        <f t="shared" si="16"/>
        <v>2427323</v>
      </c>
      <c r="P19" s="50">
        <f t="shared" si="16"/>
        <v>188871.1</v>
      </c>
      <c r="Q19" s="50">
        <f t="shared" si="16"/>
        <v>165000</v>
      </c>
      <c r="R19" s="50">
        <f t="shared" si="16"/>
        <v>0</v>
      </c>
      <c r="S19" s="50">
        <f t="shared" si="16"/>
        <v>0</v>
      </c>
      <c r="T19" s="50">
        <f t="shared" si="16"/>
        <v>6032198.38925</v>
      </c>
      <c r="U19" s="50">
        <f t="shared" si="16"/>
        <v>3801531.9000000004</v>
      </c>
      <c r="V19" s="50">
        <f t="shared" si="16"/>
        <v>3801531.7902299995</v>
      </c>
      <c r="W19" s="34"/>
      <c r="X19" s="25"/>
      <c r="Y19" s="25"/>
      <c r="Z19" s="25"/>
      <c r="AA19" s="25"/>
      <c r="AB19" s="25"/>
      <c r="AC19" s="25"/>
    </row>
    <row r="20" spans="1:29" s="12" customFormat="1" ht="71.25" customHeight="1" x14ac:dyDescent="0.25">
      <c r="A20" s="8"/>
      <c r="B20" s="59"/>
      <c r="C20" s="67"/>
      <c r="D20" s="69"/>
      <c r="E20" s="70"/>
      <c r="F20" s="103" t="s">
        <v>52</v>
      </c>
      <c r="G20" s="46">
        <f t="shared" si="6"/>
        <v>1047488</v>
      </c>
      <c r="H20" s="50"/>
      <c r="I20" s="50"/>
      <c r="J20" s="50"/>
      <c r="K20" s="50"/>
      <c r="L20" s="50">
        <v>55636</v>
      </c>
      <c r="M20" s="50">
        <f>500000-126768-295452</f>
        <v>77780</v>
      </c>
      <c r="N20" s="121">
        <f>147488+126768+295452-456708</f>
        <v>113000</v>
      </c>
      <c r="O20" s="121">
        <f>200000+79364+456708</f>
        <v>736072</v>
      </c>
      <c r="P20" s="50"/>
      <c r="Q20" s="50">
        <v>65000</v>
      </c>
      <c r="R20" s="50"/>
      <c r="S20" s="50"/>
      <c r="T20" s="121">
        <f>500000</f>
        <v>500000</v>
      </c>
      <c r="U20" s="114">
        <f t="shared" ref="U20:U32" si="17">SUM(H20:M20)</f>
        <v>133416</v>
      </c>
      <c r="V20" s="121">
        <v>0</v>
      </c>
      <c r="W20" s="110" t="s">
        <v>153</v>
      </c>
      <c r="X20" s="28"/>
      <c r="Y20" s="25"/>
      <c r="Z20" s="25"/>
      <c r="AA20" s="41"/>
      <c r="AB20" s="25"/>
      <c r="AC20" s="28"/>
    </row>
    <row r="21" spans="1:29" s="12" customFormat="1" ht="77.25" customHeight="1" x14ac:dyDescent="0.25">
      <c r="A21" s="8"/>
      <c r="B21" s="59"/>
      <c r="C21" s="67"/>
      <c r="D21" s="69"/>
      <c r="E21" s="70"/>
      <c r="F21" s="103" t="s">
        <v>79</v>
      </c>
      <c r="G21" s="46">
        <f t="shared" si="6"/>
        <v>1057595</v>
      </c>
      <c r="H21" s="50"/>
      <c r="I21" s="50">
        <v>294406.5</v>
      </c>
      <c r="J21" s="50">
        <f>636017.6-600000+27394.9</f>
        <v>63412.499999999978</v>
      </c>
      <c r="K21" s="50"/>
      <c r="L21" s="50">
        <v>667806.9</v>
      </c>
      <c r="M21" s="50"/>
      <c r="N21" s="50"/>
      <c r="O21" s="50">
        <v>31969.099999999977</v>
      </c>
      <c r="P21" s="50"/>
      <c r="Q21" s="50"/>
      <c r="R21" s="50"/>
      <c r="S21" s="50"/>
      <c r="T21" s="121">
        <f>294406.54464+30913.58831</f>
        <v>325320.13295</v>
      </c>
      <c r="U21" s="114">
        <f t="shared" si="17"/>
        <v>1025625.9</v>
      </c>
      <c r="V21" s="121">
        <f>294406.54464+27394.87726</f>
        <v>321801.42189999996</v>
      </c>
      <c r="W21" s="109" t="s">
        <v>154</v>
      </c>
      <c r="X21" s="28"/>
      <c r="Y21" s="25"/>
      <c r="Z21" s="25"/>
      <c r="AA21" s="41"/>
      <c r="AB21" s="25"/>
      <c r="AC21" s="28"/>
    </row>
    <row r="22" spans="1:29" s="12" customFormat="1" ht="87" customHeight="1" x14ac:dyDescent="0.25">
      <c r="A22" s="8"/>
      <c r="B22" s="59"/>
      <c r="C22" s="67"/>
      <c r="D22" s="69"/>
      <c r="E22" s="70"/>
      <c r="F22" s="103" t="s">
        <v>127</v>
      </c>
      <c r="G22" s="46">
        <f t="shared" si="6"/>
        <v>730901</v>
      </c>
      <c r="H22" s="50"/>
      <c r="I22" s="50">
        <v>216491.6</v>
      </c>
      <c r="J22" s="50">
        <f>210997.6-168459</f>
        <v>42538.600000000006</v>
      </c>
      <c r="K22" s="50">
        <f>101333.1-26059-72690.1</f>
        <v>2584</v>
      </c>
      <c r="L22" s="50">
        <v>180810.59999999998</v>
      </c>
      <c r="M22" s="50"/>
      <c r="N22" s="50"/>
      <c r="O22" s="50">
        <f>856+26059</f>
        <v>26915</v>
      </c>
      <c r="P22" s="50">
        <v>188871.1</v>
      </c>
      <c r="Q22" s="50">
        <v>72690.100000000006</v>
      </c>
      <c r="R22" s="50"/>
      <c r="S22" s="50"/>
      <c r="T22" s="121">
        <f>721638.8289+35366.15379</f>
        <v>757004.98268999998</v>
      </c>
      <c r="U22" s="114">
        <f t="shared" si="17"/>
        <v>442424.8</v>
      </c>
      <c r="V22" s="121">
        <f>504785.40423</f>
        <v>504785.40422999999</v>
      </c>
      <c r="W22" s="109" t="s">
        <v>155</v>
      </c>
      <c r="X22" s="25"/>
      <c r="Y22" s="25"/>
      <c r="Z22" s="25"/>
      <c r="AA22" s="41"/>
      <c r="AB22" s="25"/>
      <c r="AC22" s="28"/>
    </row>
    <row r="23" spans="1:29" s="12" customFormat="1" ht="75" x14ac:dyDescent="0.25">
      <c r="A23" s="8"/>
      <c r="B23" s="59"/>
      <c r="C23" s="67"/>
      <c r="D23" s="69"/>
      <c r="E23" s="70"/>
      <c r="F23" s="103" t="s">
        <v>130</v>
      </c>
      <c r="G23" s="46">
        <f>SUM(H23:S23)</f>
        <v>963798</v>
      </c>
      <c r="H23" s="50"/>
      <c r="I23" s="50">
        <v>277076.5</v>
      </c>
      <c r="J23" s="50">
        <v>91188.200000000012</v>
      </c>
      <c r="K23" s="50">
        <v>12063</v>
      </c>
      <c r="L23" s="50">
        <f>8811.7+111897</f>
        <v>120708.7</v>
      </c>
      <c r="M23" s="50">
        <v>300000</v>
      </c>
      <c r="N23" s="121">
        <f>200000-111897-88103</f>
        <v>0</v>
      </c>
      <c r="O23" s="121">
        <f>74658.6+88103</f>
        <v>162761.60000000001</v>
      </c>
      <c r="P23" s="50"/>
      <c r="Q23" s="50"/>
      <c r="R23" s="50"/>
      <c r="S23" s="50"/>
      <c r="T23" s="121">
        <f>923587.9342+18886.52179</f>
        <v>942474.45599000005</v>
      </c>
      <c r="U23" s="114">
        <f t="shared" si="17"/>
        <v>801036.4</v>
      </c>
      <c r="V23" s="121">
        <f>908091.0935+18886.52179</f>
        <v>926977.61528999999</v>
      </c>
      <c r="W23" s="109" t="s">
        <v>157</v>
      </c>
      <c r="X23" s="25"/>
      <c r="Y23" s="25"/>
      <c r="Z23" s="25"/>
      <c r="AA23" s="41"/>
      <c r="AB23" s="25"/>
      <c r="AC23" s="28"/>
    </row>
    <row r="24" spans="1:29" s="12" customFormat="1" ht="78" customHeight="1" x14ac:dyDescent="0.25">
      <c r="A24" s="8"/>
      <c r="B24" s="59"/>
      <c r="C24" s="67"/>
      <c r="D24" s="69"/>
      <c r="E24" s="70"/>
      <c r="F24" s="103" t="s">
        <v>134</v>
      </c>
      <c r="G24" s="46">
        <f>SUM(H24:S24)</f>
        <v>784529</v>
      </c>
      <c r="H24" s="50"/>
      <c r="I24" s="50"/>
      <c r="J24" s="50"/>
      <c r="K24" s="50"/>
      <c r="L24" s="50">
        <v>100000</v>
      </c>
      <c r="M24" s="50">
        <v>200000</v>
      </c>
      <c r="N24" s="121">
        <f>200000-100000-70000</f>
        <v>30000</v>
      </c>
      <c r="O24" s="121">
        <f>384529+70000</f>
        <v>454529</v>
      </c>
      <c r="P24" s="50"/>
      <c r="Q24" s="50"/>
      <c r="R24" s="50"/>
      <c r="S24" s="50"/>
      <c r="T24" s="121">
        <f>763337.63808+17464.60284</f>
        <v>780802.24091999989</v>
      </c>
      <c r="U24" s="114">
        <f t="shared" si="17"/>
        <v>300000</v>
      </c>
      <c r="V24" s="121">
        <f>544214.408+9000</f>
        <v>553214.40800000005</v>
      </c>
      <c r="W24" s="109" t="s">
        <v>181</v>
      </c>
      <c r="X24" s="25"/>
      <c r="Y24" s="25"/>
      <c r="Z24" s="25"/>
      <c r="AA24" s="41"/>
      <c r="AB24" s="25"/>
      <c r="AC24" s="25"/>
    </row>
    <row r="25" spans="1:29" s="12" customFormat="1" ht="59.25" customHeight="1" x14ac:dyDescent="0.25">
      <c r="A25" s="8"/>
      <c r="B25" s="59"/>
      <c r="C25" s="67"/>
      <c r="D25" s="69"/>
      <c r="E25" s="70"/>
      <c r="F25" s="103" t="s">
        <v>131</v>
      </c>
      <c r="G25" s="46">
        <f>SUM(H25:S25)</f>
        <v>500000</v>
      </c>
      <c r="H25" s="50"/>
      <c r="I25" s="50"/>
      <c r="J25" s="50"/>
      <c r="K25" s="50">
        <f>120000+72690.1</f>
        <v>192690.1</v>
      </c>
      <c r="L25" s="50"/>
      <c r="M25" s="50"/>
      <c r="N25" s="121">
        <f>130000-130000</f>
        <v>0</v>
      </c>
      <c r="O25" s="121">
        <f>50000+100000+130000</f>
        <v>280000</v>
      </c>
      <c r="P25" s="50"/>
      <c r="Q25" s="50">
        <f>100000-72690.1</f>
        <v>27309.899999999994</v>
      </c>
      <c r="R25" s="50"/>
      <c r="S25" s="50"/>
      <c r="T25" s="121">
        <f>642300.3178+17960.02</f>
        <v>660260.33779999998</v>
      </c>
      <c r="U25" s="114">
        <f t="shared" si="17"/>
        <v>192690.1</v>
      </c>
      <c r="V25" s="121">
        <f>405425.46195</f>
        <v>405425.46195000003</v>
      </c>
      <c r="W25" s="109" t="s">
        <v>156</v>
      </c>
      <c r="X25" s="25"/>
      <c r="Y25" s="25"/>
      <c r="Z25" s="25"/>
      <c r="AA25" s="41"/>
      <c r="AB25" s="25"/>
      <c r="AC25" s="28"/>
    </row>
    <row r="26" spans="1:29" s="12" customFormat="1" ht="57" customHeight="1" x14ac:dyDescent="0.25">
      <c r="A26" s="8"/>
      <c r="B26" s="59"/>
      <c r="C26" s="67"/>
      <c r="D26" s="69"/>
      <c r="E26" s="70"/>
      <c r="F26" s="103" t="s">
        <v>132</v>
      </c>
      <c r="G26" s="46">
        <f>SUM(H26:S26)</f>
        <v>615060</v>
      </c>
      <c r="H26" s="50"/>
      <c r="I26" s="50"/>
      <c r="J26" s="50"/>
      <c r="K26" s="50">
        <f>82588.6+65000+79364+31969.1+26059</f>
        <v>284980.7</v>
      </c>
      <c r="L26" s="50"/>
      <c r="M26" s="50"/>
      <c r="N26" s="121">
        <f>42515+285000-327515</f>
        <v>0</v>
      </c>
      <c r="O26" s="121">
        <f>139956.4-79364-31969.1-26059+327515</f>
        <v>330079.3</v>
      </c>
      <c r="P26" s="50"/>
      <c r="Q26" s="50"/>
      <c r="R26" s="50"/>
      <c r="S26" s="50"/>
      <c r="T26" s="121">
        <f>284980.71807+299646.23665+30779.2330599999</f>
        <v>615406.18777999992</v>
      </c>
      <c r="U26" s="114">
        <f t="shared" si="17"/>
        <v>284980.7</v>
      </c>
      <c r="V26" s="121">
        <f>284980.71807+85388.08642</f>
        <v>370368.80449000001</v>
      </c>
      <c r="W26" s="109" t="s">
        <v>154</v>
      </c>
      <c r="X26" s="25"/>
      <c r="Y26" s="25"/>
      <c r="Z26" s="25"/>
      <c r="AA26" s="41"/>
      <c r="AB26" s="25"/>
      <c r="AC26" s="25"/>
    </row>
    <row r="27" spans="1:29" s="12" customFormat="1" ht="77.25" customHeight="1" x14ac:dyDescent="0.25">
      <c r="A27" s="8"/>
      <c r="B27" s="59"/>
      <c r="C27" s="67"/>
      <c r="D27" s="69"/>
      <c r="E27" s="70"/>
      <c r="F27" s="103" t="s">
        <v>128</v>
      </c>
      <c r="G27" s="46">
        <f t="shared" si="6"/>
        <v>271358</v>
      </c>
      <c r="H27" s="50"/>
      <c r="I27" s="50">
        <v>184415.7</v>
      </c>
      <c r="J27" s="50">
        <f>14798.6+72143.7</f>
        <v>86942.3</v>
      </c>
      <c r="K27" s="50"/>
      <c r="L27" s="50"/>
      <c r="M27" s="50"/>
      <c r="N27" s="50"/>
      <c r="O27" s="50"/>
      <c r="P27" s="50"/>
      <c r="Q27" s="50"/>
      <c r="R27" s="50"/>
      <c r="S27" s="50"/>
      <c r="T27" s="121">
        <f>469133.87241+16846.63032</f>
        <v>485980.50273000001</v>
      </c>
      <c r="U27" s="114">
        <f t="shared" si="17"/>
        <v>271358</v>
      </c>
      <c r="V27" s="121">
        <f>445677.17879+16846.63032</f>
        <v>462523.80910999997</v>
      </c>
      <c r="W27" s="109" t="s">
        <v>157</v>
      </c>
      <c r="X27" s="25"/>
      <c r="Y27" s="25"/>
      <c r="Z27" s="25"/>
      <c r="AA27" s="41"/>
      <c r="AB27" s="25"/>
      <c r="AC27" s="28"/>
    </row>
    <row r="28" spans="1:29" s="12" customFormat="1" ht="75" customHeight="1" x14ac:dyDescent="0.25">
      <c r="A28" s="8"/>
      <c r="B28" s="59"/>
      <c r="C28" s="67"/>
      <c r="D28" s="69"/>
      <c r="E28" s="70"/>
      <c r="F28" s="103" t="s">
        <v>129</v>
      </c>
      <c r="G28" s="46">
        <f t="shared" si="6"/>
        <v>500000</v>
      </c>
      <c r="H28" s="50"/>
      <c r="I28" s="50">
        <v>224579.4</v>
      </c>
      <c r="J28" s="50">
        <f>125420.6-72143.7-31855.4</f>
        <v>21421.500000000007</v>
      </c>
      <c r="K28" s="50"/>
      <c r="L28" s="50">
        <v>72143.7</v>
      </c>
      <c r="M28" s="50"/>
      <c r="N28" s="121">
        <f>181855.4-181855.4</f>
        <v>0</v>
      </c>
      <c r="O28" s="121">
        <v>181855.4</v>
      </c>
      <c r="P28" s="50"/>
      <c r="Q28" s="50"/>
      <c r="R28" s="50"/>
      <c r="S28" s="50"/>
      <c r="T28" s="121">
        <f>748598.14883+18483.76015</f>
        <v>767081.90897999995</v>
      </c>
      <c r="U28" s="114">
        <f t="shared" si="17"/>
        <v>318144.59999999998</v>
      </c>
      <c r="V28" s="121">
        <v>224579.44464999999</v>
      </c>
      <c r="W28" s="109" t="s">
        <v>157</v>
      </c>
      <c r="X28" s="25"/>
      <c r="Y28" s="25"/>
      <c r="Z28" s="25"/>
      <c r="AA28" s="41"/>
      <c r="AB28" s="25"/>
      <c r="AC28" s="28"/>
    </row>
    <row r="29" spans="1:29" s="12" customFormat="1" ht="74.25" customHeight="1" x14ac:dyDescent="0.25">
      <c r="A29" s="8"/>
      <c r="B29" s="59"/>
      <c r="C29" s="67"/>
      <c r="D29" s="69"/>
      <c r="E29" s="70"/>
      <c r="F29" s="72" t="s">
        <v>135</v>
      </c>
      <c r="G29" s="46">
        <f t="shared" si="6"/>
        <v>103517</v>
      </c>
      <c r="H29" s="50"/>
      <c r="I29" s="50"/>
      <c r="J29" s="50"/>
      <c r="K29" s="50"/>
      <c r="L29" s="50"/>
      <c r="M29" s="50"/>
      <c r="N29" s="121">
        <f>103517-73517</f>
        <v>30000</v>
      </c>
      <c r="O29" s="121">
        <v>73517</v>
      </c>
      <c r="P29" s="50"/>
      <c r="Q29" s="50"/>
      <c r="R29" s="50"/>
      <c r="S29" s="50"/>
      <c r="T29" s="121">
        <f>4516.2072</f>
        <v>4516.2071999999998</v>
      </c>
      <c r="U29" s="114">
        <f t="shared" si="17"/>
        <v>0</v>
      </c>
      <c r="V29" s="121">
        <v>0</v>
      </c>
      <c r="W29" s="109" t="s">
        <v>158</v>
      </c>
      <c r="X29" s="25"/>
      <c r="Y29" s="25"/>
      <c r="Z29" s="25"/>
      <c r="AA29" s="41"/>
      <c r="AB29" s="25"/>
      <c r="AC29" s="25"/>
    </row>
    <row r="30" spans="1:29" s="12" customFormat="1" ht="75" customHeight="1" x14ac:dyDescent="0.25">
      <c r="A30" s="8"/>
      <c r="B30" s="59"/>
      <c r="C30" s="67"/>
      <c r="D30" s="69"/>
      <c r="E30" s="70"/>
      <c r="F30" s="72" t="s">
        <v>136</v>
      </c>
      <c r="G30" s="46">
        <f t="shared" si="6"/>
        <v>105694</v>
      </c>
      <c r="H30" s="50"/>
      <c r="I30" s="50"/>
      <c r="J30" s="50"/>
      <c r="K30" s="50"/>
      <c r="L30" s="50"/>
      <c r="M30" s="50"/>
      <c r="N30" s="121">
        <f>105694-75694</f>
        <v>30000</v>
      </c>
      <c r="O30" s="121">
        <v>75694</v>
      </c>
      <c r="P30" s="50"/>
      <c r="Q30" s="50"/>
      <c r="R30" s="50"/>
      <c r="S30" s="50"/>
      <c r="T30" s="121">
        <v>6693.5447999999997</v>
      </c>
      <c r="U30" s="114">
        <f t="shared" si="17"/>
        <v>0</v>
      </c>
      <c r="V30" s="121">
        <v>0</v>
      </c>
      <c r="W30" s="109" t="s">
        <v>158</v>
      </c>
      <c r="X30" s="25"/>
      <c r="Y30" s="25"/>
      <c r="Z30" s="25"/>
      <c r="AA30" s="41"/>
      <c r="AB30" s="25"/>
      <c r="AC30" s="25"/>
    </row>
    <row r="31" spans="1:29" s="12" customFormat="1" ht="78.75" customHeight="1" x14ac:dyDescent="0.25">
      <c r="A31" s="8"/>
      <c r="B31" s="59"/>
      <c r="C31" s="67"/>
      <c r="D31" s="69"/>
      <c r="E31" s="70"/>
      <c r="F31" s="72" t="s">
        <v>137</v>
      </c>
      <c r="G31" s="46">
        <f t="shared" si="6"/>
        <v>105786</v>
      </c>
      <c r="H31" s="50"/>
      <c r="I31" s="50"/>
      <c r="J31" s="50">
        <f>31855.4</f>
        <v>31855.4</v>
      </c>
      <c r="K31" s="50"/>
      <c r="L31" s="50"/>
      <c r="M31" s="50"/>
      <c r="N31" s="121">
        <f>73930.6-73930.6</f>
        <v>0</v>
      </c>
      <c r="O31" s="121">
        <v>73930.600000000006</v>
      </c>
      <c r="P31" s="50"/>
      <c r="Q31" s="50"/>
      <c r="R31" s="50"/>
      <c r="S31" s="50"/>
      <c r="T31" s="121">
        <f>179357.32581+6786.1566</f>
        <v>186143.48241</v>
      </c>
      <c r="U31" s="114">
        <f t="shared" si="17"/>
        <v>31855.4</v>
      </c>
      <c r="V31" s="121">
        <v>31855.420610000001</v>
      </c>
      <c r="W31" s="109" t="s">
        <v>159</v>
      </c>
      <c r="X31" s="25"/>
      <c r="Y31" s="25"/>
      <c r="Z31" s="25"/>
      <c r="AA31" s="41"/>
      <c r="AB31" s="25"/>
      <c r="AC31" s="26"/>
    </row>
    <row r="32" spans="1:29" s="12" customFormat="1" ht="45.75" customHeight="1" x14ac:dyDescent="0.25">
      <c r="A32" s="8"/>
      <c r="B32" s="59"/>
      <c r="C32" s="67"/>
      <c r="D32" s="69"/>
      <c r="E32" s="70"/>
      <c r="F32" s="72" t="s">
        <v>208</v>
      </c>
      <c r="G32" s="128">
        <f t="shared" si="6"/>
        <v>0</v>
      </c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121">
        <v>514.40499999999997</v>
      </c>
      <c r="U32" s="114">
        <f t="shared" si="17"/>
        <v>0</v>
      </c>
      <c r="V32" s="121">
        <v>0</v>
      </c>
      <c r="W32" s="109"/>
      <c r="X32" s="25"/>
      <c r="Y32" s="25"/>
      <c r="Z32" s="25"/>
      <c r="AA32" s="41"/>
      <c r="AB32" s="25"/>
      <c r="AC32" s="26"/>
    </row>
    <row r="33" spans="1:29" s="12" customFormat="1" x14ac:dyDescent="0.25">
      <c r="A33" s="8"/>
      <c r="B33" s="59"/>
      <c r="C33" s="67"/>
      <c r="D33" s="69"/>
      <c r="E33" s="70" t="s">
        <v>35</v>
      </c>
      <c r="F33" s="71" t="s">
        <v>36</v>
      </c>
      <c r="G33" s="46">
        <f t="shared" si="6"/>
        <v>3508816.9999999995</v>
      </c>
      <c r="H33" s="50">
        <f>SUM(H34:H36)</f>
        <v>0</v>
      </c>
      <c r="I33" s="50">
        <f t="shared" ref="I33:V33" si="18">SUM(I34:I36)</f>
        <v>894710.6</v>
      </c>
      <c r="J33" s="50">
        <f t="shared" si="18"/>
        <v>146427.9</v>
      </c>
      <c r="K33" s="50">
        <f t="shared" si="18"/>
        <v>7553.8000000000029</v>
      </c>
      <c r="L33" s="50">
        <f t="shared" si="18"/>
        <v>103279.4</v>
      </c>
      <c r="M33" s="50">
        <f t="shared" si="18"/>
        <v>180706.19999999998</v>
      </c>
      <c r="N33" s="50">
        <f t="shared" si="18"/>
        <v>150000</v>
      </c>
      <c r="O33" s="50">
        <f t="shared" si="18"/>
        <v>1920467.2</v>
      </c>
      <c r="P33" s="50">
        <f t="shared" si="18"/>
        <v>105671.9</v>
      </c>
      <c r="Q33" s="50">
        <f t="shared" si="18"/>
        <v>0</v>
      </c>
      <c r="R33" s="50">
        <f t="shared" si="18"/>
        <v>0</v>
      </c>
      <c r="S33" s="50">
        <f t="shared" si="18"/>
        <v>0</v>
      </c>
      <c r="T33" s="50">
        <f t="shared" si="18"/>
        <v>3105673.9800300002</v>
      </c>
      <c r="U33" s="50">
        <f t="shared" si="18"/>
        <v>1332677.9000000001</v>
      </c>
      <c r="V33" s="50">
        <f t="shared" si="18"/>
        <v>1332677.8971900002</v>
      </c>
      <c r="W33" s="35"/>
      <c r="X33" s="25"/>
      <c r="Y33" s="25"/>
      <c r="Z33" s="25"/>
      <c r="AA33" s="25"/>
      <c r="AB33" s="25"/>
      <c r="AC33" s="25"/>
    </row>
    <row r="34" spans="1:29" s="12" customFormat="1" ht="69.75" customHeight="1" x14ac:dyDescent="0.25">
      <c r="A34" s="8"/>
      <c r="B34" s="59"/>
      <c r="C34" s="67"/>
      <c r="D34" s="69"/>
      <c r="E34" s="70"/>
      <c r="F34" s="103" t="s">
        <v>133</v>
      </c>
      <c r="G34" s="46">
        <f>SUM(H34:S34)</f>
        <v>2293817</v>
      </c>
      <c r="H34" s="50"/>
      <c r="I34" s="50">
        <v>739353.4</v>
      </c>
      <c r="J34" s="50">
        <f>218116-71688.1</f>
        <v>146427.9</v>
      </c>
      <c r="K34" s="50">
        <f>71688.1-64134.3</f>
        <v>7553.8000000000029</v>
      </c>
      <c r="L34" s="50">
        <f>152279.4-49000</f>
        <v>103279.4</v>
      </c>
      <c r="M34" s="50">
        <f>191530.6-100000</f>
        <v>91530.6</v>
      </c>
      <c r="N34" s="121">
        <f>500000+100000-450000</f>
        <v>150000</v>
      </c>
      <c r="O34" s="121">
        <f>500000+450000</f>
        <v>950000</v>
      </c>
      <c r="P34" s="50">
        <v>105671.9</v>
      </c>
      <c r="Q34" s="50"/>
      <c r="R34" s="50"/>
      <c r="S34" s="50"/>
      <c r="T34" s="121">
        <f>2464511.20369+77680.94077+23717.48577</f>
        <v>2565909.6302300002</v>
      </c>
      <c r="U34" s="114">
        <f t="shared" ref="U34:U36" si="19">SUM(H34:M34)</f>
        <v>1088145.1000000001</v>
      </c>
      <c r="V34" s="121">
        <f>1160928.5474+14485</f>
        <v>1175413.5474</v>
      </c>
      <c r="W34" s="109" t="s">
        <v>156</v>
      </c>
      <c r="X34" s="25"/>
      <c r="Y34" s="25"/>
      <c r="Z34" s="25"/>
      <c r="AA34" s="41"/>
      <c r="AB34" s="28"/>
      <c r="AC34" s="25"/>
    </row>
    <row r="35" spans="1:29" s="12" customFormat="1" ht="75.75" customHeight="1" x14ac:dyDescent="0.25">
      <c r="A35" s="8"/>
      <c r="B35" s="59"/>
      <c r="C35" s="67"/>
      <c r="D35" s="69"/>
      <c r="E35" s="70"/>
      <c r="F35" s="103" t="s">
        <v>53</v>
      </c>
      <c r="G35" s="46">
        <f t="shared" si="6"/>
        <v>1215000</v>
      </c>
      <c r="H35" s="50"/>
      <c r="I35" s="50">
        <v>155357.19999999998</v>
      </c>
      <c r="J35" s="50"/>
      <c r="K35" s="50"/>
      <c r="L35" s="50"/>
      <c r="M35" s="50">
        <f>344642.8-119202-136265.2</f>
        <v>89175.599999999977</v>
      </c>
      <c r="N35" s="121">
        <f>215000+119202+136265.2-470467.2</f>
        <v>0</v>
      </c>
      <c r="O35" s="121">
        <f>500000+470467.2</f>
        <v>970467.2</v>
      </c>
      <c r="P35" s="50"/>
      <c r="Q35" s="50"/>
      <c r="R35" s="50"/>
      <c r="S35" s="50"/>
      <c r="T35" s="121">
        <f>517857.14286+15000.00001+5000</f>
        <v>537857.14286999998</v>
      </c>
      <c r="U35" s="114">
        <f t="shared" si="19"/>
        <v>244532.79999999996</v>
      </c>
      <c r="V35" s="121">
        <f>155357.14286</f>
        <v>155357.14285999999</v>
      </c>
      <c r="W35" s="109" t="s">
        <v>154</v>
      </c>
      <c r="X35" s="25"/>
      <c r="Y35" s="25"/>
      <c r="Z35" s="25"/>
      <c r="AA35" s="41"/>
      <c r="AB35" s="28"/>
      <c r="AC35" s="25"/>
    </row>
    <row r="36" spans="1:29" s="12" customFormat="1" ht="39" customHeight="1" x14ac:dyDescent="0.25">
      <c r="A36" s="8"/>
      <c r="B36" s="59"/>
      <c r="C36" s="67"/>
      <c r="D36" s="69"/>
      <c r="E36" s="70"/>
      <c r="F36" s="72" t="s">
        <v>180</v>
      </c>
      <c r="G36" s="113">
        <f t="shared" si="6"/>
        <v>0</v>
      </c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121">
        <f>1907.20693</f>
        <v>1907.2069300000001</v>
      </c>
      <c r="U36" s="114">
        <f t="shared" si="19"/>
        <v>0</v>
      </c>
      <c r="V36" s="121">
        <v>1907.2069300000001</v>
      </c>
      <c r="W36" s="109"/>
      <c r="X36" s="25"/>
      <c r="Y36" s="25"/>
      <c r="Z36" s="25"/>
      <c r="AA36" s="41"/>
      <c r="AB36" s="28"/>
      <c r="AC36" s="25"/>
    </row>
    <row r="37" spans="1:29" s="2" customFormat="1" ht="28.5" x14ac:dyDescent="0.25">
      <c r="A37" s="7"/>
      <c r="B37" s="55"/>
      <c r="C37" s="55">
        <v>113</v>
      </c>
      <c r="D37" s="73"/>
      <c r="E37" s="74"/>
      <c r="F37" s="75" t="s">
        <v>25</v>
      </c>
      <c r="G37" s="58">
        <f t="shared" si="6"/>
        <v>12694750.899999999</v>
      </c>
      <c r="H37" s="66">
        <f>H38</f>
        <v>0</v>
      </c>
      <c r="I37" s="66">
        <f t="shared" ref="I37:S38" si="20">I38</f>
        <v>1090283.5</v>
      </c>
      <c r="J37" s="66">
        <f t="shared" si="20"/>
        <v>924008.8</v>
      </c>
      <c r="K37" s="66">
        <f t="shared" si="20"/>
        <v>1445659.5</v>
      </c>
      <c r="L37" s="66">
        <f t="shared" si="20"/>
        <v>957281.5</v>
      </c>
      <c r="M37" s="66">
        <f t="shared" si="20"/>
        <v>1681405.4</v>
      </c>
      <c r="N37" s="66">
        <f t="shared" si="20"/>
        <v>1254796.8999999999</v>
      </c>
      <c r="O37" s="66">
        <f t="shared" si="20"/>
        <v>3855895.1</v>
      </c>
      <c r="P37" s="66">
        <f t="shared" si="20"/>
        <v>439561.7</v>
      </c>
      <c r="Q37" s="66">
        <f t="shared" si="20"/>
        <v>369000</v>
      </c>
      <c r="R37" s="66">
        <f t="shared" si="20"/>
        <v>257000</v>
      </c>
      <c r="S37" s="66">
        <f t="shared" si="20"/>
        <v>419858.5</v>
      </c>
      <c r="T37" s="66">
        <f t="shared" ref="T37:V38" si="21">T38</f>
        <v>9085480.6546</v>
      </c>
      <c r="U37" s="66">
        <f t="shared" si="21"/>
        <v>6098638.7000000002</v>
      </c>
      <c r="V37" s="66">
        <f t="shared" si="21"/>
        <v>5962839.6241699997</v>
      </c>
      <c r="W37" s="35"/>
      <c r="X37" s="29"/>
      <c r="Y37" s="29"/>
      <c r="Z37" s="29"/>
      <c r="AA37" s="29"/>
      <c r="AB37" s="30"/>
      <c r="AC37" s="30"/>
    </row>
    <row r="38" spans="1:29" s="6" customFormat="1" ht="20.25" customHeight="1" x14ac:dyDescent="0.2">
      <c r="A38" s="7"/>
      <c r="B38" s="59"/>
      <c r="C38" s="59"/>
      <c r="D38" s="60" t="s">
        <v>13</v>
      </c>
      <c r="E38" s="60"/>
      <c r="F38" s="61" t="s">
        <v>14</v>
      </c>
      <c r="G38" s="54">
        <f t="shared" si="6"/>
        <v>12694750.899999999</v>
      </c>
      <c r="H38" s="76">
        <f>H39</f>
        <v>0</v>
      </c>
      <c r="I38" s="76">
        <f t="shared" si="20"/>
        <v>1090283.5</v>
      </c>
      <c r="J38" s="76">
        <f t="shared" si="20"/>
        <v>924008.8</v>
      </c>
      <c r="K38" s="76">
        <f t="shared" si="20"/>
        <v>1445659.5</v>
      </c>
      <c r="L38" s="76">
        <f t="shared" si="20"/>
        <v>957281.5</v>
      </c>
      <c r="M38" s="76">
        <f t="shared" si="20"/>
        <v>1681405.4</v>
      </c>
      <c r="N38" s="76">
        <f t="shared" si="20"/>
        <v>1254796.8999999999</v>
      </c>
      <c r="O38" s="76">
        <f t="shared" si="20"/>
        <v>3855895.1</v>
      </c>
      <c r="P38" s="76">
        <f t="shared" si="20"/>
        <v>439561.7</v>
      </c>
      <c r="Q38" s="76">
        <f t="shared" si="20"/>
        <v>369000</v>
      </c>
      <c r="R38" s="76">
        <f t="shared" si="20"/>
        <v>257000</v>
      </c>
      <c r="S38" s="76">
        <f t="shared" si="20"/>
        <v>419858.5</v>
      </c>
      <c r="T38" s="76">
        <f t="shared" si="21"/>
        <v>9085480.6546</v>
      </c>
      <c r="U38" s="76">
        <f t="shared" si="21"/>
        <v>6098638.7000000002</v>
      </c>
      <c r="V38" s="76">
        <f t="shared" si="21"/>
        <v>5962839.6241699997</v>
      </c>
      <c r="W38" s="35"/>
      <c r="X38" s="31"/>
      <c r="Y38" s="31"/>
      <c r="Z38" s="31"/>
      <c r="AA38" s="31"/>
      <c r="AB38" s="31"/>
      <c r="AC38" s="31"/>
    </row>
    <row r="39" spans="1:29" s="6" customFormat="1" ht="30" x14ac:dyDescent="0.2">
      <c r="A39" s="7"/>
      <c r="B39" s="59"/>
      <c r="C39" s="59"/>
      <c r="D39" s="7"/>
      <c r="E39" s="70">
        <v>339</v>
      </c>
      <c r="F39" s="77" t="s">
        <v>26</v>
      </c>
      <c r="G39" s="46">
        <f t="shared" si="6"/>
        <v>12694750.899999999</v>
      </c>
      <c r="H39" s="46">
        <f t="shared" ref="H39:V39" si="22">H40+H45+H49+H53+H63+H69+H77+H89+H98+H105+H110+H115+H121+H128</f>
        <v>0</v>
      </c>
      <c r="I39" s="46">
        <f t="shared" si="22"/>
        <v>1090283.5</v>
      </c>
      <c r="J39" s="46">
        <f t="shared" si="22"/>
        <v>924008.8</v>
      </c>
      <c r="K39" s="46">
        <f t="shared" si="22"/>
        <v>1445659.5</v>
      </c>
      <c r="L39" s="46">
        <f t="shared" si="22"/>
        <v>957281.5</v>
      </c>
      <c r="M39" s="46">
        <f t="shared" si="22"/>
        <v>1681405.4</v>
      </c>
      <c r="N39" s="46">
        <f t="shared" si="22"/>
        <v>1254796.8999999999</v>
      </c>
      <c r="O39" s="46">
        <f t="shared" si="22"/>
        <v>3855895.1</v>
      </c>
      <c r="P39" s="46">
        <f t="shared" si="22"/>
        <v>439561.7</v>
      </c>
      <c r="Q39" s="46">
        <f t="shared" si="22"/>
        <v>369000</v>
      </c>
      <c r="R39" s="46">
        <f t="shared" si="22"/>
        <v>257000</v>
      </c>
      <c r="S39" s="46">
        <f t="shared" si="22"/>
        <v>419858.5</v>
      </c>
      <c r="T39" s="46">
        <f t="shared" si="22"/>
        <v>9085480.6546</v>
      </c>
      <c r="U39" s="46">
        <f t="shared" si="22"/>
        <v>6098638.7000000002</v>
      </c>
      <c r="V39" s="46">
        <f t="shared" si="22"/>
        <v>5962839.6241699997</v>
      </c>
      <c r="W39" s="35"/>
      <c r="X39" s="31"/>
      <c r="Y39" s="31"/>
      <c r="Z39" s="31"/>
      <c r="AA39" s="31"/>
      <c r="AB39" s="31"/>
      <c r="AC39" s="31"/>
    </row>
    <row r="40" spans="1:29" s="6" customFormat="1" ht="14.25" x14ac:dyDescent="0.2">
      <c r="A40" s="7"/>
      <c r="B40" s="59"/>
      <c r="C40" s="59"/>
      <c r="D40" s="7"/>
      <c r="E40" s="69"/>
      <c r="F40" s="78" t="s">
        <v>30</v>
      </c>
      <c r="G40" s="79">
        <f t="shared" si="6"/>
        <v>381336.5</v>
      </c>
      <c r="H40" s="80">
        <f t="shared" ref="H40:S40" si="23">SUM(H41:H44)</f>
        <v>0</v>
      </c>
      <c r="I40" s="80">
        <f t="shared" si="23"/>
        <v>0</v>
      </c>
      <c r="J40" s="80">
        <f t="shared" si="23"/>
        <v>0</v>
      </c>
      <c r="K40" s="80">
        <f t="shared" si="23"/>
        <v>0</v>
      </c>
      <c r="L40" s="80">
        <f t="shared" si="23"/>
        <v>46921.3</v>
      </c>
      <c r="M40" s="80">
        <f t="shared" si="23"/>
        <v>78182</v>
      </c>
      <c r="N40" s="80">
        <f t="shared" si="23"/>
        <v>23365</v>
      </c>
      <c r="O40" s="80">
        <f t="shared" si="23"/>
        <v>200931.5</v>
      </c>
      <c r="P40" s="80">
        <f t="shared" si="23"/>
        <v>31936.7</v>
      </c>
      <c r="Q40" s="80">
        <f t="shared" si="23"/>
        <v>0</v>
      </c>
      <c r="R40" s="80">
        <f t="shared" si="23"/>
        <v>0</v>
      </c>
      <c r="S40" s="80">
        <f t="shared" si="23"/>
        <v>0</v>
      </c>
      <c r="T40" s="80">
        <f t="shared" ref="T40:U40" si="24">SUM(T41:T44)</f>
        <v>267917.41402000003</v>
      </c>
      <c r="U40" s="80">
        <f t="shared" si="24"/>
        <v>125103.3</v>
      </c>
      <c r="V40" s="80">
        <f t="shared" ref="V40" si="25">SUM(V41:V44)</f>
        <v>125103.14827000001</v>
      </c>
      <c r="W40" s="35"/>
      <c r="X40" s="31"/>
      <c r="Y40" s="31"/>
      <c r="Z40" s="31"/>
      <c r="AA40" s="31"/>
      <c r="AB40" s="32"/>
      <c r="AC40" s="31"/>
    </row>
    <row r="41" spans="1:29" s="6" customFormat="1" ht="65.25" customHeight="1" x14ac:dyDescent="0.2">
      <c r="A41" s="7"/>
      <c r="B41" s="59"/>
      <c r="C41" s="70" t="s">
        <v>44</v>
      </c>
      <c r="D41" s="70" t="s">
        <v>42</v>
      </c>
      <c r="E41" s="70" t="s">
        <v>41</v>
      </c>
      <c r="F41" s="104" t="s">
        <v>85</v>
      </c>
      <c r="G41" s="46">
        <f t="shared" si="6"/>
        <v>80060</v>
      </c>
      <c r="H41" s="82"/>
      <c r="I41" s="82"/>
      <c r="J41" s="82"/>
      <c r="K41" s="82"/>
      <c r="L41" s="82"/>
      <c r="M41" s="82"/>
      <c r="N41" s="134">
        <f>29060+51000-56695</f>
        <v>23365</v>
      </c>
      <c r="O41" s="134">
        <v>56695</v>
      </c>
      <c r="P41" s="82"/>
      <c r="Q41" s="82"/>
      <c r="R41" s="83"/>
      <c r="S41" s="83"/>
      <c r="T41" s="134">
        <f>77986.28374+2177.98201+1650</f>
        <v>81814.265750000006</v>
      </c>
      <c r="U41" s="114">
        <f t="shared" ref="U41:U44" si="26">SUM(H41:M41)</f>
        <v>0</v>
      </c>
      <c r="V41" s="121">
        <v>0</v>
      </c>
      <c r="W41" s="111" t="s">
        <v>160</v>
      </c>
      <c r="X41" s="135" t="s">
        <v>220</v>
      </c>
      <c r="Y41" s="31"/>
      <c r="Z41" s="31"/>
      <c r="AA41" s="42"/>
      <c r="AB41" s="32"/>
      <c r="AC41" s="31"/>
    </row>
    <row r="42" spans="1:29" s="6" customFormat="1" ht="94.5" customHeight="1" x14ac:dyDescent="0.2">
      <c r="A42" s="7"/>
      <c r="B42" s="59"/>
      <c r="C42" s="70">
        <v>495</v>
      </c>
      <c r="D42" s="70" t="s">
        <v>42</v>
      </c>
      <c r="E42" s="70" t="s">
        <v>41</v>
      </c>
      <c r="F42" s="104" t="s">
        <v>211</v>
      </c>
      <c r="G42" s="129">
        <f t="shared" si="6"/>
        <v>95736.7</v>
      </c>
      <c r="H42" s="82"/>
      <c r="I42" s="82"/>
      <c r="J42" s="82"/>
      <c r="K42" s="82"/>
      <c r="L42" s="82"/>
      <c r="M42" s="82"/>
      <c r="N42" s="134">
        <f>28800-28800</f>
        <v>0</v>
      </c>
      <c r="O42" s="134">
        <f>35000+28800</f>
        <v>63800</v>
      </c>
      <c r="P42" s="82">
        <v>31936.7</v>
      </c>
      <c r="Q42" s="82"/>
      <c r="R42" s="83"/>
      <c r="S42" s="83"/>
      <c r="T42" s="134">
        <v>0</v>
      </c>
      <c r="U42" s="114">
        <f t="shared" si="26"/>
        <v>0</v>
      </c>
      <c r="V42" s="121">
        <v>0</v>
      </c>
      <c r="W42" s="111"/>
      <c r="X42" s="31"/>
      <c r="Y42" s="31"/>
      <c r="Z42" s="31"/>
      <c r="AA42" s="42"/>
      <c r="AB42" s="32"/>
      <c r="AC42" s="31"/>
    </row>
    <row r="43" spans="1:29" s="6" customFormat="1" ht="51.75" customHeight="1" x14ac:dyDescent="0.2">
      <c r="A43" s="7"/>
      <c r="B43" s="59"/>
      <c r="C43" s="70" t="s">
        <v>44</v>
      </c>
      <c r="D43" s="70" t="s">
        <v>43</v>
      </c>
      <c r="E43" s="70" t="s">
        <v>41</v>
      </c>
      <c r="F43" s="81" t="s">
        <v>212</v>
      </c>
      <c r="G43" s="129">
        <f t="shared" si="6"/>
        <v>61000</v>
      </c>
      <c r="H43" s="82"/>
      <c r="I43" s="82"/>
      <c r="J43" s="82"/>
      <c r="K43" s="82"/>
      <c r="L43" s="82"/>
      <c r="M43" s="82"/>
      <c r="N43" s="134">
        <f>61000-61000</f>
        <v>0</v>
      </c>
      <c r="O43" s="134">
        <v>61000</v>
      </c>
      <c r="P43" s="82"/>
      <c r="Q43" s="82"/>
      <c r="R43" s="83"/>
      <c r="S43" s="83"/>
      <c r="T43" s="134">
        <v>61000</v>
      </c>
      <c r="U43" s="114">
        <f t="shared" si="26"/>
        <v>0</v>
      </c>
      <c r="V43" s="121">
        <v>0</v>
      </c>
      <c r="W43" s="111" t="s">
        <v>200</v>
      </c>
      <c r="X43" s="31"/>
      <c r="Y43" s="31"/>
      <c r="Z43" s="31"/>
      <c r="AA43" s="42"/>
      <c r="AB43" s="32"/>
      <c r="AC43" s="31"/>
    </row>
    <row r="44" spans="1:29" s="9" customFormat="1" ht="25.5" customHeight="1" x14ac:dyDescent="0.2">
      <c r="A44" s="8"/>
      <c r="B44" s="59"/>
      <c r="C44" s="70" t="s">
        <v>44</v>
      </c>
      <c r="D44" s="70" t="s">
        <v>43</v>
      </c>
      <c r="E44" s="70" t="s">
        <v>41</v>
      </c>
      <c r="F44" s="81" t="s">
        <v>86</v>
      </c>
      <c r="G44" s="46">
        <f t="shared" si="6"/>
        <v>144539.79999999999</v>
      </c>
      <c r="H44" s="84"/>
      <c r="I44" s="84"/>
      <c r="J44" s="84"/>
      <c r="K44" s="84"/>
      <c r="L44" s="84">
        <f>60000-13078.7</f>
        <v>46921.3</v>
      </c>
      <c r="M44" s="84">
        <f>30000+48182</f>
        <v>78182</v>
      </c>
      <c r="N44" s="84"/>
      <c r="O44" s="84">
        <f>30000-10563.5</f>
        <v>19436.5</v>
      </c>
      <c r="P44" s="84"/>
      <c r="Q44" s="84"/>
      <c r="R44" s="83"/>
      <c r="S44" s="83"/>
      <c r="T44" s="136">
        <v>125103.14827000001</v>
      </c>
      <c r="U44" s="114">
        <f t="shared" si="26"/>
        <v>125103.3</v>
      </c>
      <c r="V44" s="121">
        <v>125103.14827000001</v>
      </c>
      <c r="W44" s="111" t="s">
        <v>195</v>
      </c>
      <c r="X44" s="13"/>
      <c r="Y44" s="13"/>
      <c r="Z44" s="13"/>
      <c r="AA44" s="42"/>
      <c r="AB44" s="17"/>
      <c r="AC44" s="13"/>
    </row>
    <row r="45" spans="1:29" s="6" customFormat="1" x14ac:dyDescent="0.2">
      <c r="A45" s="7"/>
      <c r="B45" s="59"/>
      <c r="C45" s="62"/>
      <c r="D45" s="47"/>
      <c r="E45" s="70"/>
      <c r="F45" s="78" t="s">
        <v>39</v>
      </c>
      <c r="G45" s="79">
        <f>SUM(H45:S45)</f>
        <v>481986</v>
      </c>
      <c r="H45" s="79">
        <f t="shared" ref="H45:S45" si="27">SUM(H46:H48)</f>
        <v>0</v>
      </c>
      <c r="I45" s="79">
        <f t="shared" si="27"/>
        <v>28079</v>
      </c>
      <c r="J45" s="123">
        <f t="shared" si="27"/>
        <v>0</v>
      </c>
      <c r="K45" s="123">
        <f t="shared" si="27"/>
        <v>314125</v>
      </c>
      <c r="L45" s="127">
        <f t="shared" si="27"/>
        <v>34306</v>
      </c>
      <c r="M45" s="132">
        <f t="shared" si="27"/>
        <v>0</v>
      </c>
      <c r="N45" s="132">
        <f t="shared" si="27"/>
        <v>0</v>
      </c>
      <c r="O45" s="132">
        <f t="shared" si="27"/>
        <v>105476</v>
      </c>
      <c r="P45" s="132">
        <f t="shared" si="27"/>
        <v>0</v>
      </c>
      <c r="Q45" s="123">
        <f t="shared" si="27"/>
        <v>0</v>
      </c>
      <c r="R45" s="123">
        <f t="shared" si="27"/>
        <v>0</v>
      </c>
      <c r="S45" s="123">
        <f t="shared" si="27"/>
        <v>0</v>
      </c>
      <c r="T45" s="131">
        <f t="shared" ref="T45:U45" si="28">SUM(T46:T48)</f>
        <v>481985.99998999998</v>
      </c>
      <c r="U45" s="131">
        <f t="shared" si="28"/>
        <v>376510</v>
      </c>
      <c r="V45" s="131">
        <f t="shared" ref="V45" si="29">SUM(V46:V48)</f>
        <v>376509.58717999997</v>
      </c>
      <c r="W45" s="35"/>
      <c r="X45" s="126"/>
      <c r="Y45" s="31"/>
      <c r="Z45" s="31"/>
      <c r="AA45" s="32"/>
      <c r="AB45" s="32"/>
      <c r="AC45" s="31"/>
    </row>
    <row r="46" spans="1:29" s="9" customFormat="1" ht="60" customHeight="1" x14ac:dyDescent="0.2">
      <c r="A46" s="8"/>
      <c r="B46" s="59"/>
      <c r="C46" s="70" t="s">
        <v>46</v>
      </c>
      <c r="D46" s="70" t="s">
        <v>42</v>
      </c>
      <c r="E46" s="70" t="s">
        <v>41</v>
      </c>
      <c r="F46" s="105" t="s">
        <v>61</v>
      </c>
      <c r="G46" s="46">
        <f t="shared" si="6"/>
        <v>200000</v>
      </c>
      <c r="H46" s="50"/>
      <c r="I46" s="50"/>
      <c r="J46" s="50"/>
      <c r="K46" s="50">
        <f>57711+38125</f>
        <v>95836</v>
      </c>
      <c r="L46" s="50"/>
      <c r="M46" s="50"/>
      <c r="N46" s="121">
        <f>50000+31875-81875</f>
        <v>0</v>
      </c>
      <c r="O46" s="121">
        <f>100000-77711+81875</f>
        <v>104164</v>
      </c>
      <c r="P46" s="50"/>
      <c r="Q46" s="50"/>
      <c r="R46" s="83"/>
      <c r="S46" s="83"/>
      <c r="T46" s="121">
        <f>192370.16293+4700.12469</f>
        <v>197070.28761999999</v>
      </c>
      <c r="U46" s="114">
        <f t="shared" ref="U46:U48" si="30">SUM(H46:M46)</f>
        <v>95836</v>
      </c>
      <c r="V46" s="121">
        <v>95846.536999999997</v>
      </c>
      <c r="W46" s="109" t="s">
        <v>152</v>
      </c>
      <c r="X46" s="13"/>
      <c r="Y46" s="13"/>
      <c r="Z46" s="13"/>
      <c r="AA46" s="43"/>
      <c r="AB46" s="17"/>
      <c r="AC46" s="13"/>
    </row>
    <row r="47" spans="1:29" s="9" customFormat="1" ht="57" customHeight="1" x14ac:dyDescent="0.2">
      <c r="A47" s="8"/>
      <c r="B47" s="59"/>
      <c r="C47" s="70" t="s">
        <v>46</v>
      </c>
      <c r="D47" s="70" t="s">
        <v>42</v>
      </c>
      <c r="E47" s="70" t="s">
        <v>41</v>
      </c>
      <c r="F47" s="104" t="s">
        <v>87</v>
      </c>
      <c r="G47" s="46">
        <f>SUM(H47:S47)</f>
        <v>253907</v>
      </c>
      <c r="H47" s="50"/>
      <c r="I47" s="50"/>
      <c r="J47" s="50"/>
      <c r="K47" s="50">
        <f>76000+142289</f>
        <v>218289</v>
      </c>
      <c r="L47" s="50">
        <v>34306</v>
      </c>
      <c r="M47" s="50"/>
      <c r="N47" s="50"/>
      <c r="O47" s="50">
        <f>15618-14306</f>
        <v>1312</v>
      </c>
      <c r="P47" s="50"/>
      <c r="Q47" s="50"/>
      <c r="R47" s="83"/>
      <c r="S47" s="83"/>
      <c r="T47" s="121">
        <f>252584.05019+4252.66219</f>
        <v>256836.71238000001</v>
      </c>
      <c r="U47" s="114">
        <f t="shared" si="30"/>
        <v>252595</v>
      </c>
      <c r="V47" s="121">
        <f>252584.05019</f>
        <v>252584.05019000001</v>
      </c>
      <c r="W47" s="109" t="s">
        <v>161</v>
      </c>
      <c r="X47" s="13"/>
      <c r="Y47" s="13"/>
      <c r="Z47" s="13"/>
      <c r="AA47" s="42"/>
      <c r="AB47" s="17"/>
      <c r="AC47" s="13"/>
    </row>
    <row r="48" spans="1:29" s="9" customFormat="1" ht="47.25" customHeight="1" x14ac:dyDescent="0.2">
      <c r="A48" s="8"/>
      <c r="B48" s="59"/>
      <c r="C48" s="70" t="s">
        <v>46</v>
      </c>
      <c r="D48" s="70" t="s">
        <v>43</v>
      </c>
      <c r="E48" s="70" t="s">
        <v>41</v>
      </c>
      <c r="F48" s="81" t="s">
        <v>58</v>
      </c>
      <c r="G48" s="46">
        <f t="shared" ref="G48" si="31">SUM(H48:S48)</f>
        <v>28079</v>
      </c>
      <c r="H48" s="50"/>
      <c r="I48" s="50">
        <v>28079</v>
      </c>
      <c r="J48" s="50"/>
      <c r="K48" s="50"/>
      <c r="L48" s="50"/>
      <c r="M48" s="50"/>
      <c r="N48" s="50"/>
      <c r="O48" s="50"/>
      <c r="P48" s="50"/>
      <c r="Q48" s="50"/>
      <c r="R48" s="83"/>
      <c r="S48" s="83"/>
      <c r="T48" s="121">
        <v>28078.99999</v>
      </c>
      <c r="U48" s="114">
        <f t="shared" si="30"/>
        <v>28079</v>
      </c>
      <c r="V48" s="121">
        <v>28078.99999</v>
      </c>
      <c r="W48" s="109" t="s">
        <v>196</v>
      </c>
      <c r="X48" s="13"/>
      <c r="Y48" s="13"/>
      <c r="Z48" s="13"/>
      <c r="AA48" s="42"/>
      <c r="AB48" s="17"/>
      <c r="AC48" s="13"/>
    </row>
    <row r="49" spans="1:29" s="9" customFormat="1" x14ac:dyDescent="0.2">
      <c r="A49" s="8"/>
      <c r="B49" s="59"/>
      <c r="C49" s="70"/>
      <c r="D49" s="70"/>
      <c r="E49" s="70"/>
      <c r="F49" s="86" t="s">
        <v>50</v>
      </c>
      <c r="G49" s="79">
        <f t="shared" si="6"/>
        <v>390417</v>
      </c>
      <c r="H49" s="87">
        <f t="shared" ref="H49:V49" si="32">SUM(H50:H52)</f>
        <v>0</v>
      </c>
      <c r="I49" s="87">
        <f t="shared" si="32"/>
        <v>189394.5</v>
      </c>
      <c r="J49" s="87">
        <f t="shared" si="32"/>
        <v>60000</v>
      </c>
      <c r="K49" s="87">
        <f t="shared" si="32"/>
        <v>-59400</v>
      </c>
      <c r="L49" s="87">
        <f t="shared" si="32"/>
        <v>0</v>
      </c>
      <c r="M49" s="87">
        <f t="shared" si="32"/>
        <v>30000</v>
      </c>
      <c r="N49" s="87">
        <f t="shared" si="32"/>
        <v>99505.5</v>
      </c>
      <c r="O49" s="87">
        <f t="shared" si="32"/>
        <v>40917</v>
      </c>
      <c r="P49" s="87">
        <f t="shared" si="32"/>
        <v>30000</v>
      </c>
      <c r="Q49" s="87">
        <f t="shared" si="32"/>
        <v>0</v>
      </c>
      <c r="R49" s="87">
        <f t="shared" si="32"/>
        <v>0</v>
      </c>
      <c r="S49" s="87">
        <f t="shared" si="32"/>
        <v>0</v>
      </c>
      <c r="T49" s="87">
        <f t="shared" si="32"/>
        <v>386753.80447999993</v>
      </c>
      <c r="U49" s="87">
        <f t="shared" si="32"/>
        <v>219994.5</v>
      </c>
      <c r="V49" s="87">
        <f t="shared" si="32"/>
        <v>219994.5</v>
      </c>
      <c r="W49" s="35"/>
      <c r="X49" s="13"/>
      <c r="Y49" s="13"/>
      <c r="Z49" s="13"/>
      <c r="AA49" s="17"/>
      <c r="AB49" s="17"/>
      <c r="AC49" s="13"/>
    </row>
    <row r="50" spans="1:29" s="9" customFormat="1" ht="31.5" customHeight="1" x14ac:dyDescent="0.2">
      <c r="A50" s="8"/>
      <c r="B50" s="59"/>
      <c r="C50" s="70" t="s">
        <v>44</v>
      </c>
      <c r="D50" s="70" t="s">
        <v>42</v>
      </c>
      <c r="E50" s="70" t="s">
        <v>41</v>
      </c>
      <c r="F50" s="81" t="s">
        <v>62</v>
      </c>
      <c r="G50" s="46">
        <f t="shared" si="6"/>
        <v>270417</v>
      </c>
      <c r="H50" s="50"/>
      <c r="I50" s="50">
        <f>50200+139194.5</f>
        <v>189394.5</v>
      </c>
      <c r="J50" s="50">
        <v>30000</v>
      </c>
      <c r="K50" s="50">
        <v>-30000</v>
      </c>
      <c r="L50" s="50"/>
      <c r="M50" s="50">
        <f>40000-10000</f>
        <v>30000</v>
      </c>
      <c r="N50" s="50">
        <f>31022.5+10000</f>
        <v>41022.5</v>
      </c>
      <c r="O50" s="50"/>
      <c r="P50" s="50">
        <v>10000</v>
      </c>
      <c r="Q50" s="50"/>
      <c r="R50" s="83"/>
      <c r="S50" s="83"/>
      <c r="T50" s="121">
        <f>121802.00487+67592.49513+78999.99999</f>
        <v>268394.49998999998</v>
      </c>
      <c r="U50" s="114">
        <f t="shared" ref="U50:U52" si="33">SUM(H50:M50)</f>
        <v>219394.5</v>
      </c>
      <c r="V50" s="121">
        <f>121802.00487+67592.49513+30000</f>
        <v>219394.5</v>
      </c>
      <c r="W50" s="109" t="s">
        <v>162</v>
      </c>
      <c r="X50" s="13"/>
      <c r="Y50" s="13"/>
      <c r="Z50" s="13"/>
      <c r="AA50" s="42"/>
      <c r="AB50" s="17"/>
      <c r="AC50" s="13"/>
    </row>
    <row r="51" spans="1:29" s="9" customFormat="1" ht="40.5" customHeight="1" x14ac:dyDescent="0.2">
      <c r="A51" s="8"/>
      <c r="B51" s="59"/>
      <c r="C51" s="70" t="s">
        <v>44</v>
      </c>
      <c r="D51" s="70" t="s">
        <v>43</v>
      </c>
      <c r="E51" s="70" t="s">
        <v>41</v>
      </c>
      <c r="F51" s="81" t="s">
        <v>88</v>
      </c>
      <c r="G51" s="46">
        <f t="shared" si="6"/>
        <v>100000</v>
      </c>
      <c r="H51" s="50"/>
      <c r="I51" s="50"/>
      <c r="J51" s="50">
        <v>30000</v>
      </c>
      <c r="K51" s="50">
        <v>-29400</v>
      </c>
      <c r="L51" s="50"/>
      <c r="M51" s="50"/>
      <c r="N51" s="121">
        <v>58483</v>
      </c>
      <c r="O51" s="50">
        <f>99400-58483</f>
        <v>40917</v>
      </c>
      <c r="P51" s="50"/>
      <c r="Q51" s="50"/>
      <c r="R51" s="83"/>
      <c r="S51" s="83"/>
      <c r="T51" s="121">
        <f>600+94555.16668+3480</f>
        <v>98635.166679999995</v>
      </c>
      <c r="U51" s="114">
        <f t="shared" si="33"/>
        <v>600</v>
      </c>
      <c r="V51" s="121">
        <v>600</v>
      </c>
      <c r="W51" s="109" t="s">
        <v>173</v>
      </c>
      <c r="X51" s="13"/>
      <c r="Y51" s="13"/>
      <c r="Z51" s="13"/>
      <c r="AA51" s="42"/>
      <c r="AB51" s="17"/>
      <c r="AC51" s="13"/>
    </row>
    <row r="52" spans="1:29" s="9" customFormat="1" ht="53.25" customHeight="1" x14ac:dyDescent="0.2">
      <c r="A52" s="8"/>
      <c r="B52" s="59"/>
      <c r="C52" s="70" t="s">
        <v>44</v>
      </c>
      <c r="D52" s="70" t="s">
        <v>43</v>
      </c>
      <c r="E52" s="70" t="s">
        <v>41</v>
      </c>
      <c r="F52" s="81" t="s">
        <v>89</v>
      </c>
      <c r="G52" s="46">
        <f t="shared" si="6"/>
        <v>20000</v>
      </c>
      <c r="H52" s="50"/>
      <c r="I52" s="50"/>
      <c r="J52" s="50"/>
      <c r="K52" s="50"/>
      <c r="L52" s="50"/>
      <c r="M52" s="50"/>
      <c r="N52" s="50"/>
      <c r="O52" s="50"/>
      <c r="P52" s="50">
        <v>20000</v>
      </c>
      <c r="Q52" s="50"/>
      <c r="R52" s="83"/>
      <c r="S52" s="83"/>
      <c r="T52" s="121">
        <f>9000.00036+862.069+8999.99955+862.0689</f>
        <v>19724.13781</v>
      </c>
      <c r="U52" s="114">
        <f t="shared" si="33"/>
        <v>0</v>
      </c>
      <c r="V52" s="121">
        <v>0</v>
      </c>
      <c r="W52" s="109" t="s">
        <v>209</v>
      </c>
      <c r="X52" s="13"/>
      <c r="Y52" s="13"/>
      <c r="Z52" s="13"/>
      <c r="AA52" s="42"/>
      <c r="AB52" s="17"/>
      <c r="AC52" s="13"/>
    </row>
    <row r="53" spans="1:29" s="9" customFormat="1" x14ac:dyDescent="0.2">
      <c r="A53" s="8"/>
      <c r="B53" s="59"/>
      <c r="C53" s="62"/>
      <c r="D53" s="47"/>
      <c r="E53" s="70"/>
      <c r="F53" s="78" t="s">
        <v>38</v>
      </c>
      <c r="G53" s="79">
        <f t="shared" ref="G53" si="34">SUM(H53:S53)</f>
        <v>932297</v>
      </c>
      <c r="H53" s="80">
        <f t="shared" ref="H53:S53" si="35">SUM(H54:H62)</f>
        <v>0</v>
      </c>
      <c r="I53" s="80">
        <f t="shared" si="35"/>
        <v>270027</v>
      </c>
      <c r="J53" s="80">
        <f t="shared" si="35"/>
        <v>184456</v>
      </c>
      <c r="K53" s="80">
        <f t="shared" si="35"/>
        <v>120000</v>
      </c>
      <c r="L53" s="80">
        <f t="shared" si="35"/>
        <v>91347</v>
      </c>
      <c r="M53" s="80">
        <f t="shared" si="35"/>
        <v>150093</v>
      </c>
      <c r="N53" s="80">
        <f t="shared" si="35"/>
        <v>50000</v>
      </c>
      <c r="O53" s="80">
        <f t="shared" si="35"/>
        <v>66374</v>
      </c>
      <c r="P53" s="80">
        <f t="shared" si="35"/>
        <v>0</v>
      </c>
      <c r="Q53" s="80">
        <f t="shared" si="35"/>
        <v>0</v>
      </c>
      <c r="R53" s="80">
        <f t="shared" si="35"/>
        <v>0</v>
      </c>
      <c r="S53" s="80">
        <f t="shared" si="35"/>
        <v>0</v>
      </c>
      <c r="T53" s="80">
        <f t="shared" ref="T53:U53" si="36">SUM(T54:T62)</f>
        <v>819932.89472999994</v>
      </c>
      <c r="U53" s="80">
        <f t="shared" si="36"/>
        <v>815923</v>
      </c>
      <c r="V53" s="80">
        <f t="shared" ref="V53" si="37">SUM(V54:V62)</f>
        <v>815921.29437000002</v>
      </c>
      <c r="W53" s="35"/>
      <c r="X53" s="122"/>
      <c r="Y53" s="13"/>
      <c r="Z53" s="13"/>
      <c r="AA53" s="42"/>
      <c r="AB53" s="17"/>
      <c r="AC53" s="13"/>
    </row>
    <row r="54" spans="1:29" s="9" customFormat="1" ht="46.5" customHeight="1" x14ac:dyDescent="0.2">
      <c r="A54" s="8"/>
      <c r="B54" s="59"/>
      <c r="C54" s="70" t="s">
        <v>44</v>
      </c>
      <c r="D54" s="70" t="s">
        <v>42</v>
      </c>
      <c r="E54" s="70" t="s">
        <v>41</v>
      </c>
      <c r="F54" s="105" t="s">
        <v>90</v>
      </c>
      <c r="G54" s="46">
        <f t="shared" ref="G54:G62" si="38">SUM(H54:S54)</f>
        <v>106625</v>
      </c>
      <c r="H54" s="50"/>
      <c r="I54" s="50">
        <v>104400</v>
      </c>
      <c r="J54" s="50"/>
      <c r="K54" s="50"/>
      <c r="L54" s="50"/>
      <c r="M54" s="50"/>
      <c r="N54" s="50">
        <f>56625-54400-2225</f>
        <v>0</v>
      </c>
      <c r="O54" s="133">
        <v>2225</v>
      </c>
      <c r="P54" s="133"/>
      <c r="Q54" s="124"/>
      <c r="R54" s="83"/>
      <c r="S54" s="83"/>
      <c r="T54" s="121">
        <f>104400</f>
        <v>104400</v>
      </c>
      <c r="U54" s="114">
        <f t="shared" ref="U54:U62" si="39">SUM(H54:M54)</f>
        <v>104400</v>
      </c>
      <c r="V54" s="121">
        <v>104400</v>
      </c>
      <c r="W54" s="109" t="s">
        <v>162</v>
      </c>
      <c r="X54" s="13"/>
      <c r="Y54" s="13"/>
      <c r="Z54" s="13"/>
      <c r="AA54" s="42"/>
      <c r="AB54" s="17"/>
      <c r="AC54" s="13"/>
    </row>
    <row r="55" spans="1:29" s="9" customFormat="1" ht="58.5" customHeight="1" x14ac:dyDescent="0.2">
      <c r="A55" s="8"/>
      <c r="B55" s="59"/>
      <c r="C55" s="70" t="s">
        <v>44</v>
      </c>
      <c r="D55" s="70" t="s">
        <v>42</v>
      </c>
      <c r="E55" s="70" t="s">
        <v>41</v>
      </c>
      <c r="F55" s="105" t="s">
        <v>91</v>
      </c>
      <c r="G55" s="46">
        <f t="shared" si="38"/>
        <v>19142</v>
      </c>
      <c r="H55" s="50"/>
      <c r="I55" s="50"/>
      <c r="J55" s="50">
        <v>18083</v>
      </c>
      <c r="K55" s="50"/>
      <c r="L55" s="50"/>
      <c r="M55" s="50"/>
      <c r="N55" s="133"/>
      <c r="O55" s="133">
        <v>1059</v>
      </c>
      <c r="P55" s="133"/>
      <c r="Q55" s="124"/>
      <c r="R55" s="83"/>
      <c r="S55" s="83"/>
      <c r="T55" s="121">
        <f>18082.32039</f>
        <v>18082.320390000001</v>
      </c>
      <c r="U55" s="114">
        <f t="shared" si="39"/>
        <v>18083</v>
      </c>
      <c r="V55" s="121">
        <f>18082.32039</f>
        <v>18082.320390000001</v>
      </c>
      <c r="W55" s="109" t="s">
        <v>163</v>
      </c>
      <c r="X55" s="13"/>
      <c r="Y55" s="13"/>
      <c r="Z55" s="13"/>
      <c r="AA55" s="42"/>
      <c r="AB55" s="17"/>
      <c r="AC55" s="13"/>
    </row>
    <row r="56" spans="1:29" s="9" customFormat="1" ht="48" customHeight="1" x14ac:dyDescent="0.2">
      <c r="A56" s="8"/>
      <c r="B56" s="59"/>
      <c r="C56" s="70" t="s">
        <v>44</v>
      </c>
      <c r="D56" s="70" t="s">
        <v>42</v>
      </c>
      <c r="E56" s="70" t="s">
        <v>41</v>
      </c>
      <c r="F56" s="105" t="s">
        <v>92</v>
      </c>
      <c r="G56" s="46">
        <f t="shared" si="38"/>
        <v>272075</v>
      </c>
      <c r="H56" s="50"/>
      <c r="I56" s="50">
        <f>81000-4283</f>
        <v>76717</v>
      </c>
      <c r="J56" s="50">
        <f>4283+45717</f>
        <v>50000</v>
      </c>
      <c r="K56" s="50">
        <v>50000</v>
      </c>
      <c r="L56" s="50">
        <f>60000+31358</f>
        <v>91358</v>
      </c>
      <c r="M56" s="50"/>
      <c r="N56" s="50"/>
      <c r="O56" s="50">
        <v>4000</v>
      </c>
      <c r="P56" s="50"/>
      <c r="Q56" s="124"/>
      <c r="R56" s="83"/>
      <c r="S56" s="83"/>
      <c r="T56" s="121">
        <f>267074.99999+5000</f>
        <v>272074.99998999998</v>
      </c>
      <c r="U56" s="114">
        <f t="shared" si="39"/>
        <v>268075</v>
      </c>
      <c r="V56" s="121">
        <f>267074.99963+1000</f>
        <v>268074.99962999998</v>
      </c>
      <c r="W56" s="109" t="s">
        <v>162</v>
      </c>
      <c r="X56" s="13"/>
      <c r="Y56" s="13"/>
      <c r="Z56" s="13"/>
      <c r="AA56" s="42"/>
      <c r="AB56" s="17"/>
      <c r="AC56" s="13"/>
    </row>
    <row r="57" spans="1:29" s="9" customFormat="1" ht="58.5" customHeight="1" x14ac:dyDescent="0.2">
      <c r="A57" s="8"/>
      <c r="B57" s="59"/>
      <c r="C57" s="70" t="s">
        <v>44</v>
      </c>
      <c r="D57" s="70" t="s">
        <v>42</v>
      </c>
      <c r="E57" s="70" t="s">
        <v>41</v>
      </c>
      <c r="F57" s="105" t="s">
        <v>146</v>
      </c>
      <c r="G57" s="46">
        <f t="shared" si="38"/>
        <v>59079</v>
      </c>
      <c r="H57" s="50"/>
      <c r="I57" s="50"/>
      <c r="J57" s="50"/>
      <c r="K57" s="50"/>
      <c r="L57" s="50"/>
      <c r="M57" s="50"/>
      <c r="N57" s="133"/>
      <c r="O57" s="133">
        <v>59079</v>
      </c>
      <c r="P57" s="133"/>
      <c r="Q57" s="124"/>
      <c r="R57" s="83"/>
      <c r="S57" s="83"/>
      <c r="T57" s="121">
        <v>0</v>
      </c>
      <c r="U57" s="114">
        <f t="shared" si="39"/>
        <v>0</v>
      </c>
      <c r="V57" s="121">
        <v>0</v>
      </c>
      <c r="W57" s="35"/>
      <c r="X57" s="13"/>
      <c r="Y57" s="13"/>
      <c r="Z57" s="13"/>
      <c r="AA57" s="42"/>
      <c r="AB57" s="17"/>
      <c r="AC57" s="13"/>
    </row>
    <row r="58" spans="1:29" s="9" customFormat="1" ht="62.25" customHeight="1" x14ac:dyDescent="0.2">
      <c r="A58" s="8"/>
      <c r="B58" s="59"/>
      <c r="C58" s="70" t="s">
        <v>44</v>
      </c>
      <c r="D58" s="70" t="s">
        <v>42</v>
      </c>
      <c r="E58" s="70" t="s">
        <v>41</v>
      </c>
      <c r="F58" s="105" t="s">
        <v>93</v>
      </c>
      <c r="G58" s="46">
        <f>SUM(H58:S58)</f>
        <v>100000</v>
      </c>
      <c r="H58" s="50"/>
      <c r="I58" s="50"/>
      <c r="J58" s="50">
        <v>30000</v>
      </c>
      <c r="K58" s="50">
        <v>70000</v>
      </c>
      <c r="L58" s="50">
        <v>-11</v>
      </c>
      <c r="M58" s="50"/>
      <c r="N58" s="133"/>
      <c r="O58" s="133">
        <v>11</v>
      </c>
      <c r="P58" s="133"/>
      <c r="Q58" s="124"/>
      <c r="R58" s="83"/>
      <c r="S58" s="83"/>
      <c r="T58" s="121">
        <f>99988.4+11.6</f>
        <v>100000</v>
      </c>
      <c r="U58" s="114">
        <f t="shared" si="39"/>
        <v>99989</v>
      </c>
      <c r="V58" s="121">
        <v>99988.4</v>
      </c>
      <c r="W58" s="109" t="s">
        <v>155</v>
      </c>
      <c r="X58" s="13"/>
      <c r="Y58" s="13"/>
      <c r="Z58" s="13"/>
      <c r="AA58" s="42"/>
      <c r="AB58" s="17"/>
      <c r="AC58" s="13"/>
    </row>
    <row r="59" spans="1:29" s="9" customFormat="1" ht="62.25" customHeight="1" x14ac:dyDescent="0.2">
      <c r="A59" s="8"/>
      <c r="B59" s="59"/>
      <c r="C59" s="70" t="s">
        <v>44</v>
      </c>
      <c r="D59" s="70" t="s">
        <v>42</v>
      </c>
      <c r="E59" s="70" t="s">
        <v>41</v>
      </c>
      <c r="F59" s="105" t="s">
        <v>187</v>
      </c>
      <c r="G59" s="117">
        <f>SUM(H59:S59)</f>
        <v>200093</v>
      </c>
      <c r="H59" s="50"/>
      <c r="I59" s="50"/>
      <c r="J59" s="50">
        <v>50000</v>
      </c>
      <c r="K59" s="50"/>
      <c r="L59" s="50"/>
      <c r="M59" s="50">
        <v>150093</v>
      </c>
      <c r="N59" s="133"/>
      <c r="O59" s="133"/>
      <c r="P59" s="133"/>
      <c r="Q59" s="124"/>
      <c r="R59" s="83"/>
      <c r="S59" s="83"/>
      <c r="T59" s="121">
        <f>50000+145493+4600</f>
        <v>200093</v>
      </c>
      <c r="U59" s="114">
        <f t="shared" si="39"/>
        <v>200093</v>
      </c>
      <c r="V59" s="121">
        <f>50000+145493+4600</f>
        <v>200093</v>
      </c>
      <c r="W59" s="109" t="s">
        <v>154</v>
      </c>
      <c r="X59" s="13"/>
      <c r="Y59" s="13"/>
      <c r="Z59" s="13"/>
      <c r="AA59" s="42"/>
      <c r="AB59" s="17"/>
      <c r="AC59" s="13"/>
    </row>
    <row r="60" spans="1:29" s="9" customFormat="1" ht="47.25" customHeight="1" x14ac:dyDescent="0.2">
      <c r="A60" s="8"/>
      <c r="B60" s="59"/>
      <c r="C60" s="70" t="s">
        <v>44</v>
      </c>
      <c r="D60" s="70" t="s">
        <v>43</v>
      </c>
      <c r="E60" s="70" t="s">
        <v>41</v>
      </c>
      <c r="F60" s="85" t="s">
        <v>59</v>
      </c>
      <c r="G60" s="46">
        <f t="shared" si="38"/>
        <v>73921</v>
      </c>
      <c r="H60" s="50"/>
      <c r="I60" s="50">
        <f>22000+51910</f>
        <v>73910</v>
      </c>
      <c r="J60" s="50">
        <v>11</v>
      </c>
      <c r="K60" s="50"/>
      <c r="L60" s="50"/>
      <c r="M60" s="50"/>
      <c r="N60" s="133"/>
      <c r="O60" s="133"/>
      <c r="P60" s="133"/>
      <c r="Q60" s="124"/>
      <c r="R60" s="83"/>
      <c r="S60" s="83"/>
      <c r="T60" s="121">
        <f>72130.56965+1790.0047</f>
        <v>73920.57435000001</v>
      </c>
      <c r="U60" s="114">
        <f t="shared" si="39"/>
        <v>73921</v>
      </c>
      <c r="V60" s="121">
        <f>72130.56965+1790.0047</f>
        <v>73920.57435000001</v>
      </c>
      <c r="W60" s="109" t="s">
        <v>162</v>
      </c>
      <c r="X60" s="13"/>
      <c r="Y60" s="13"/>
      <c r="Z60" s="13"/>
      <c r="AA60" s="42"/>
      <c r="AB60" s="17"/>
      <c r="AC60" s="13"/>
    </row>
    <row r="61" spans="1:29" s="9" customFormat="1" ht="47.25" customHeight="1" x14ac:dyDescent="0.2">
      <c r="A61" s="8"/>
      <c r="B61" s="59"/>
      <c r="C61" s="70" t="s">
        <v>44</v>
      </c>
      <c r="D61" s="70" t="s">
        <v>43</v>
      </c>
      <c r="E61" s="70" t="s">
        <v>41</v>
      </c>
      <c r="F61" s="85" t="s">
        <v>94</v>
      </c>
      <c r="G61" s="46">
        <f t="shared" si="38"/>
        <v>51362</v>
      </c>
      <c r="H61" s="50"/>
      <c r="I61" s="50">
        <v>15000</v>
      </c>
      <c r="J61" s="50">
        <v>36362</v>
      </c>
      <c r="K61" s="50"/>
      <c r="L61" s="50"/>
      <c r="M61" s="50"/>
      <c r="N61" s="133"/>
      <c r="O61" s="133"/>
      <c r="P61" s="133"/>
      <c r="Q61" s="130"/>
      <c r="R61" s="83"/>
      <c r="S61" s="83"/>
      <c r="T61" s="121">
        <f>51362</f>
        <v>51362</v>
      </c>
      <c r="U61" s="114">
        <f t="shared" si="39"/>
        <v>51362</v>
      </c>
      <c r="V61" s="121">
        <f>51362</f>
        <v>51362</v>
      </c>
      <c r="W61" s="109" t="s">
        <v>179</v>
      </c>
      <c r="X61" s="13"/>
      <c r="Y61" s="13"/>
      <c r="Z61" s="13"/>
      <c r="AA61" s="42"/>
      <c r="AB61" s="17"/>
      <c r="AC61" s="13"/>
    </row>
    <row r="62" spans="1:29" s="9" customFormat="1" ht="47.25" customHeight="1" x14ac:dyDescent="0.2">
      <c r="A62" s="8"/>
      <c r="B62" s="59"/>
      <c r="C62" s="70" t="s">
        <v>44</v>
      </c>
      <c r="D62" s="70" t="s">
        <v>43</v>
      </c>
      <c r="E62" s="70" t="s">
        <v>41</v>
      </c>
      <c r="F62" s="85" t="s">
        <v>95</v>
      </c>
      <c r="G62" s="46">
        <f t="shared" si="38"/>
        <v>50000</v>
      </c>
      <c r="H62" s="50"/>
      <c r="I62" s="50"/>
      <c r="J62" s="50"/>
      <c r="K62" s="50"/>
      <c r="L62" s="50"/>
      <c r="M62" s="50"/>
      <c r="N62" s="50">
        <v>50000</v>
      </c>
      <c r="O62" s="50"/>
      <c r="P62" s="133"/>
      <c r="Q62" s="130"/>
      <c r="R62" s="83"/>
      <c r="S62" s="83"/>
      <c r="T62" s="121">
        <v>0</v>
      </c>
      <c r="U62" s="114">
        <f t="shared" si="39"/>
        <v>0</v>
      </c>
      <c r="V62" s="121">
        <v>0</v>
      </c>
      <c r="W62" s="35"/>
      <c r="X62" s="13"/>
      <c r="Y62" s="13"/>
      <c r="Z62" s="13"/>
      <c r="AA62" s="42"/>
      <c r="AB62" s="17"/>
      <c r="AC62" s="13"/>
    </row>
    <row r="63" spans="1:29" s="9" customFormat="1" x14ac:dyDescent="0.2">
      <c r="A63" s="8"/>
      <c r="B63" s="59"/>
      <c r="C63" s="62"/>
      <c r="D63" s="47"/>
      <c r="E63" s="70"/>
      <c r="F63" s="78" t="s">
        <v>51</v>
      </c>
      <c r="G63" s="79">
        <f t="shared" si="6"/>
        <v>598897</v>
      </c>
      <c r="H63" s="80">
        <f t="shared" ref="H63:V63" si="40">SUM(H64:H68)</f>
        <v>0</v>
      </c>
      <c r="I63" s="80">
        <f t="shared" si="40"/>
        <v>49511</v>
      </c>
      <c r="J63" s="80">
        <f t="shared" si="40"/>
        <v>71175.8</v>
      </c>
      <c r="K63" s="80">
        <f t="shared" si="40"/>
        <v>29400</v>
      </c>
      <c r="L63" s="80">
        <f t="shared" si="40"/>
        <v>30000</v>
      </c>
      <c r="M63" s="80">
        <f t="shared" si="40"/>
        <v>130600</v>
      </c>
      <c r="N63" s="80">
        <f t="shared" si="40"/>
        <v>37500</v>
      </c>
      <c r="O63" s="80">
        <f t="shared" si="40"/>
        <v>244710.2</v>
      </c>
      <c r="P63" s="80">
        <f t="shared" si="40"/>
        <v>6000</v>
      </c>
      <c r="Q63" s="80">
        <f t="shared" si="40"/>
        <v>0</v>
      </c>
      <c r="R63" s="80">
        <f t="shared" si="40"/>
        <v>0</v>
      </c>
      <c r="S63" s="80">
        <f t="shared" si="40"/>
        <v>0</v>
      </c>
      <c r="T63" s="80">
        <f t="shared" si="40"/>
        <v>598896.07620000001</v>
      </c>
      <c r="U63" s="80">
        <f t="shared" si="40"/>
        <v>310686.8</v>
      </c>
      <c r="V63" s="80">
        <f t="shared" si="40"/>
        <v>310684.74952000001</v>
      </c>
      <c r="W63" s="35"/>
      <c r="X63" s="13"/>
      <c r="Y63" s="13"/>
      <c r="Z63" s="13"/>
      <c r="AA63" s="17"/>
      <c r="AB63" s="17"/>
      <c r="AC63" s="13"/>
    </row>
    <row r="64" spans="1:29" s="9" customFormat="1" ht="61.5" customHeight="1" x14ac:dyDescent="0.2">
      <c r="A64" s="8"/>
      <c r="B64" s="59"/>
      <c r="C64" s="70" t="s">
        <v>44</v>
      </c>
      <c r="D64" s="70" t="s">
        <v>42</v>
      </c>
      <c r="E64" s="70" t="s">
        <v>41</v>
      </c>
      <c r="F64" s="104" t="s">
        <v>147</v>
      </c>
      <c r="G64" s="46">
        <f>SUM(H64:S64)</f>
        <v>149511</v>
      </c>
      <c r="H64" s="50"/>
      <c r="I64" s="50">
        <v>49511</v>
      </c>
      <c r="J64" s="50"/>
      <c r="K64" s="50"/>
      <c r="L64" s="50"/>
      <c r="M64" s="50">
        <f>60000+10000</f>
        <v>70000</v>
      </c>
      <c r="N64" s="133">
        <f>40000-10000</f>
        <v>30000</v>
      </c>
      <c r="O64" s="133"/>
      <c r="P64" s="133"/>
      <c r="Q64" s="130"/>
      <c r="R64" s="83"/>
      <c r="S64" s="83"/>
      <c r="T64" s="121">
        <f>44510+100000.99999+5000</f>
        <v>149510.99998999998</v>
      </c>
      <c r="U64" s="114">
        <f t="shared" ref="U64:U68" si="41">SUM(H64:M64)</f>
        <v>119511</v>
      </c>
      <c r="V64" s="121">
        <f>44510+70000+4999</f>
        <v>119509</v>
      </c>
      <c r="W64" s="109" t="s">
        <v>164</v>
      </c>
      <c r="X64" s="13"/>
      <c r="Y64" s="13"/>
      <c r="Z64" s="13"/>
      <c r="AA64" s="42"/>
      <c r="AB64" s="17"/>
      <c r="AC64" s="13"/>
    </row>
    <row r="65" spans="1:29" s="9" customFormat="1" ht="60" customHeight="1" x14ac:dyDescent="0.2">
      <c r="A65" s="8"/>
      <c r="B65" s="59"/>
      <c r="C65" s="70" t="s">
        <v>44</v>
      </c>
      <c r="D65" s="70" t="s">
        <v>42</v>
      </c>
      <c r="E65" s="70" t="s">
        <v>41</v>
      </c>
      <c r="F65" s="104" t="s">
        <v>96</v>
      </c>
      <c r="G65" s="46">
        <f>SUM(H65:S65)</f>
        <v>6000</v>
      </c>
      <c r="H65" s="50"/>
      <c r="I65" s="50"/>
      <c r="J65" s="50"/>
      <c r="K65" s="50"/>
      <c r="L65" s="50"/>
      <c r="M65" s="50"/>
      <c r="N65" s="133">
        <f>66093-60093-6000</f>
        <v>0</v>
      </c>
      <c r="O65" s="133"/>
      <c r="P65" s="133">
        <v>6000</v>
      </c>
      <c r="Q65" s="130"/>
      <c r="R65" s="83"/>
      <c r="S65" s="83"/>
      <c r="T65" s="121">
        <f>1000+5000</f>
        <v>6000</v>
      </c>
      <c r="U65" s="114">
        <f t="shared" si="41"/>
        <v>0</v>
      </c>
      <c r="V65" s="121">
        <v>0</v>
      </c>
      <c r="W65" s="109" t="s">
        <v>165</v>
      </c>
      <c r="X65" s="13"/>
      <c r="Y65" s="13"/>
      <c r="Z65" s="13"/>
      <c r="AA65" s="42"/>
      <c r="AB65" s="17"/>
      <c r="AC65" s="13"/>
    </row>
    <row r="66" spans="1:29" s="9" customFormat="1" ht="40.5" customHeight="1" x14ac:dyDescent="0.2">
      <c r="A66" s="8"/>
      <c r="B66" s="59"/>
      <c r="C66" s="70" t="s">
        <v>44</v>
      </c>
      <c r="D66" s="70" t="s">
        <v>43</v>
      </c>
      <c r="E66" s="70" t="s">
        <v>41</v>
      </c>
      <c r="F66" s="81" t="s">
        <v>97</v>
      </c>
      <c r="G66" s="46">
        <f>SUM(H66:S66)</f>
        <v>200000</v>
      </c>
      <c r="H66" s="50"/>
      <c r="I66" s="84"/>
      <c r="J66" s="84"/>
      <c r="K66" s="84">
        <f>30000-600</f>
        <v>29400</v>
      </c>
      <c r="L66" s="84">
        <v>30000</v>
      </c>
      <c r="M66" s="84">
        <f>40600+20000</f>
        <v>60600</v>
      </c>
      <c r="N66" s="84">
        <f>80000-72500</f>
        <v>7500</v>
      </c>
      <c r="O66" s="84">
        <v>72500</v>
      </c>
      <c r="P66" s="84"/>
      <c r="Q66" s="84"/>
      <c r="R66" s="83"/>
      <c r="S66" s="83"/>
      <c r="T66" s="121">
        <f>59400+138600+2000</f>
        <v>200000</v>
      </c>
      <c r="U66" s="114">
        <f t="shared" si="41"/>
        <v>120000</v>
      </c>
      <c r="V66" s="121">
        <f>59400+60600</f>
        <v>120000</v>
      </c>
      <c r="W66" s="109" t="s">
        <v>157</v>
      </c>
      <c r="X66" s="13"/>
      <c r="Y66" s="13"/>
      <c r="Z66" s="13"/>
      <c r="AA66" s="42"/>
      <c r="AB66" s="17"/>
      <c r="AC66" s="13"/>
    </row>
    <row r="67" spans="1:29" s="9" customFormat="1" ht="40.5" customHeight="1" x14ac:dyDescent="0.2">
      <c r="A67" s="8"/>
      <c r="B67" s="59"/>
      <c r="C67" s="70" t="s">
        <v>44</v>
      </c>
      <c r="D67" s="70" t="s">
        <v>43</v>
      </c>
      <c r="E67" s="70" t="s">
        <v>41</v>
      </c>
      <c r="F67" s="81" t="s">
        <v>99</v>
      </c>
      <c r="G67" s="46">
        <f t="shared" ref="G67:G115" si="42">SUM(H67:S67)</f>
        <v>100000</v>
      </c>
      <c r="H67" s="50"/>
      <c r="I67" s="50"/>
      <c r="J67" s="50">
        <f>30000-870</f>
        <v>29130</v>
      </c>
      <c r="K67" s="50"/>
      <c r="L67" s="50"/>
      <c r="M67" s="50"/>
      <c r="N67" s="50">
        <f>70870-70870</f>
        <v>0</v>
      </c>
      <c r="O67" s="50">
        <v>70870</v>
      </c>
      <c r="P67" s="133"/>
      <c r="Q67" s="130"/>
      <c r="R67" s="83"/>
      <c r="S67" s="83"/>
      <c r="T67" s="121">
        <f>97100+2900</f>
        <v>100000</v>
      </c>
      <c r="U67" s="114">
        <f t="shared" si="41"/>
        <v>29130</v>
      </c>
      <c r="V67" s="121">
        <v>29130</v>
      </c>
      <c r="W67" s="109" t="s">
        <v>168</v>
      </c>
      <c r="X67" s="13"/>
      <c r="Y67" s="13"/>
      <c r="Z67" s="13"/>
      <c r="AA67" s="42"/>
      <c r="AB67" s="17"/>
      <c r="AC67" s="13"/>
    </row>
    <row r="68" spans="1:29" s="9" customFormat="1" ht="40.5" customHeight="1" x14ac:dyDescent="0.2">
      <c r="A68" s="8"/>
      <c r="B68" s="59"/>
      <c r="C68" s="70" t="s">
        <v>44</v>
      </c>
      <c r="D68" s="70" t="s">
        <v>43</v>
      </c>
      <c r="E68" s="70" t="s">
        <v>41</v>
      </c>
      <c r="F68" s="81" t="s">
        <v>98</v>
      </c>
      <c r="G68" s="46">
        <f>SUM(H68:S68)</f>
        <v>143386</v>
      </c>
      <c r="H68" s="50"/>
      <c r="I68" s="50"/>
      <c r="J68" s="50">
        <v>42045.8</v>
      </c>
      <c r="K68" s="50"/>
      <c r="L68" s="50"/>
      <c r="M68" s="50"/>
      <c r="N68" s="50">
        <f>53386-53386</f>
        <v>0</v>
      </c>
      <c r="O68" s="50">
        <f>47954.2+53386</f>
        <v>101340.2</v>
      </c>
      <c r="P68" s="50"/>
      <c r="Q68" s="130"/>
      <c r="R68" s="83"/>
      <c r="S68" s="83"/>
      <c r="T68" s="121">
        <f>140152.4984+3232.57781</f>
        <v>143385.07621</v>
      </c>
      <c r="U68" s="114">
        <f t="shared" si="41"/>
        <v>42045.8</v>
      </c>
      <c r="V68" s="121">
        <v>42045.749519999998</v>
      </c>
      <c r="W68" s="109" t="s">
        <v>166</v>
      </c>
      <c r="X68" s="13"/>
      <c r="Y68" s="13"/>
      <c r="Z68" s="13"/>
      <c r="AA68" s="42"/>
      <c r="AB68" s="17"/>
      <c r="AC68" s="13"/>
    </row>
    <row r="69" spans="1:29" s="6" customFormat="1" x14ac:dyDescent="0.2">
      <c r="A69" s="7"/>
      <c r="B69" s="59"/>
      <c r="C69" s="62"/>
      <c r="D69" s="47"/>
      <c r="E69" s="70"/>
      <c r="F69" s="78" t="s">
        <v>31</v>
      </c>
      <c r="G69" s="79">
        <f t="shared" si="42"/>
        <v>306000</v>
      </c>
      <c r="H69" s="80">
        <f t="shared" ref="H69:V69" si="43">SUM(H70:H76)</f>
        <v>0</v>
      </c>
      <c r="I69" s="80">
        <f t="shared" si="43"/>
        <v>0</v>
      </c>
      <c r="J69" s="80">
        <f t="shared" si="43"/>
        <v>0</v>
      </c>
      <c r="K69" s="80">
        <f t="shared" si="43"/>
        <v>100000</v>
      </c>
      <c r="L69" s="80">
        <f t="shared" si="43"/>
        <v>0</v>
      </c>
      <c r="M69" s="80">
        <f t="shared" si="43"/>
        <v>0</v>
      </c>
      <c r="N69" s="80">
        <f t="shared" si="43"/>
        <v>100000</v>
      </c>
      <c r="O69" s="80">
        <f t="shared" si="43"/>
        <v>106000</v>
      </c>
      <c r="P69" s="80">
        <f t="shared" si="43"/>
        <v>0</v>
      </c>
      <c r="Q69" s="80">
        <f t="shared" si="43"/>
        <v>0</v>
      </c>
      <c r="R69" s="80">
        <f t="shared" si="43"/>
        <v>0</v>
      </c>
      <c r="S69" s="80">
        <f t="shared" si="43"/>
        <v>0</v>
      </c>
      <c r="T69" s="80">
        <f t="shared" si="43"/>
        <v>300000</v>
      </c>
      <c r="U69" s="80">
        <f t="shared" si="43"/>
        <v>100000</v>
      </c>
      <c r="V69" s="80">
        <f t="shared" si="43"/>
        <v>100000</v>
      </c>
      <c r="W69" s="35"/>
      <c r="X69" s="31"/>
      <c r="Y69" s="31"/>
      <c r="Z69" s="31"/>
      <c r="AA69" s="32"/>
      <c r="AB69" s="32"/>
      <c r="AC69" s="31"/>
    </row>
    <row r="70" spans="1:29" s="13" customFormat="1" ht="76.5" customHeight="1" x14ac:dyDescent="0.2">
      <c r="A70" s="8"/>
      <c r="B70" s="59"/>
      <c r="C70" s="70" t="s">
        <v>45</v>
      </c>
      <c r="D70" s="70" t="s">
        <v>42</v>
      </c>
      <c r="E70" s="70" t="s">
        <v>41</v>
      </c>
      <c r="F70" s="104" t="s">
        <v>54</v>
      </c>
      <c r="G70" s="46">
        <f t="shared" si="42"/>
        <v>100000</v>
      </c>
      <c r="H70" s="50"/>
      <c r="I70" s="50"/>
      <c r="J70" s="50"/>
      <c r="K70" s="50">
        <v>100000</v>
      </c>
      <c r="L70" s="50"/>
      <c r="M70" s="50"/>
      <c r="N70" s="50"/>
      <c r="O70" s="50"/>
      <c r="P70" s="133"/>
      <c r="Q70" s="130"/>
      <c r="R70" s="83"/>
      <c r="S70" s="83"/>
      <c r="T70" s="121">
        <f>97100+2900</f>
        <v>100000</v>
      </c>
      <c r="U70" s="114">
        <f t="shared" ref="U70:U76" si="44">SUM(H70:M70)</f>
        <v>100000</v>
      </c>
      <c r="V70" s="121">
        <f>97100+2900</f>
        <v>100000</v>
      </c>
      <c r="W70" s="109" t="s">
        <v>155</v>
      </c>
      <c r="AA70" s="42"/>
      <c r="AB70" s="17"/>
    </row>
    <row r="71" spans="1:29" s="9" customFormat="1" ht="57" customHeight="1" x14ac:dyDescent="0.2">
      <c r="A71" s="8"/>
      <c r="B71" s="59"/>
      <c r="C71" s="70" t="s">
        <v>45</v>
      </c>
      <c r="D71" s="70" t="s">
        <v>42</v>
      </c>
      <c r="E71" s="70" t="s">
        <v>41</v>
      </c>
      <c r="F71" s="104" t="s">
        <v>100</v>
      </c>
      <c r="G71" s="46">
        <f t="shared" si="42"/>
        <v>100000</v>
      </c>
      <c r="H71" s="50"/>
      <c r="I71" s="50"/>
      <c r="J71" s="50"/>
      <c r="K71" s="50"/>
      <c r="L71" s="50"/>
      <c r="M71" s="50"/>
      <c r="N71" s="50">
        <f>50000+50000</f>
        <v>100000</v>
      </c>
      <c r="O71" s="50"/>
      <c r="P71" s="50"/>
      <c r="Q71" s="130"/>
      <c r="R71" s="130"/>
      <c r="S71" s="130"/>
      <c r="T71" s="121">
        <f>97280+2720</f>
        <v>100000</v>
      </c>
      <c r="U71" s="114">
        <f t="shared" si="44"/>
        <v>0</v>
      </c>
      <c r="V71" s="121">
        <v>0</v>
      </c>
      <c r="W71" s="109" t="s">
        <v>167</v>
      </c>
      <c r="X71" s="13"/>
      <c r="Y71" s="13"/>
      <c r="Z71" s="13"/>
      <c r="AA71" s="42"/>
      <c r="AB71" s="17"/>
      <c r="AC71" s="13"/>
    </row>
    <row r="72" spans="1:29" s="9" customFormat="1" ht="57" customHeight="1" x14ac:dyDescent="0.2">
      <c r="A72" s="8"/>
      <c r="B72" s="59"/>
      <c r="C72" s="70" t="s">
        <v>45</v>
      </c>
      <c r="D72" s="70" t="s">
        <v>68</v>
      </c>
      <c r="E72" s="70" t="s">
        <v>41</v>
      </c>
      <c r="F72" s="81" t="s">
        <v>190</v>
      </c>
      <c r="G72" s="117">
        <f t="shared" si="42"/>
        <v>3000</v>
      </c>
      <c r="H72" s="50"/>
      <c r="I72" s="50"/>
      <c r="J72" s="50"/>
      <c r="K72" s="50"/>
      <c r="L72" s="50"/>
      <c r="M72" s="50"/>
      <c r="N72" s="50">
        <f>3000-3000</f>
        <v>0</v>
      </c>
      <c r="O72" s="50">
        <v>3000</v>
      </c>
      <c r="P72" s="50"/>
      <c r="Q72" s="130"/>
      <c r="R72" s="130"/>
      <c r="S72" s="130"/>
      <c r="T72" s="121">
        <v>0</v>
      </c>
      <c r="U72" s="114">
        <f t="shared" si="44"/>
        <v>0</v>
      </c>
      <c r="V72" s="121">
        <v>0</v>
      </c>
      <c r="W72" s="109"/>
      <c r="X72" s="13"/>
      <c r="Y72" s="13"/>
      <c r="Z72" s="13"/>
      <c r="AA72" s="42"/>
      <c r="AB72" s="17"/>
      <c r="AC72" s="13"/>
    </row>
    <row r="73" spans="1:29" s="9" customFormat="1" ht="57" customHeight="1" x14ac:dyDescent="0.2">
      <c r="A73" s="8"/>
      <c r="B73" s="59"/>
      <c r="C73" s="70" t="s">
        <v>45</v>
      </c>
      <c r="D73" s="70" t="s">
        <v>68</v>
      </c>
      <c r="E73" s="70" t="s">
        <v>41</v>
      </c>
      <c r="F73" s="81" t="s">
        <v>191</v>
      </c>
      <c r="G73" s="117">
        <f t="shared" si="42"/>
        <v>1000</v>
      </c>
      <c r="H73" s="50"/>
      <c r="I73" s="50"/>
      <c r="J73" s="50"/>
      <c r="K73" s="50"/>
      <c r="L73" s="50"/>
      <c r="M73" s="50"/>
      <c r="N73" s="50">
        <f>1000-1000</f>
        <v>0</v>
      </c>
      <c r="O73" s="50">
        <v>1000</v>
      </c>
      <c r="P73" s="50"/>
      <c r="Q73" s="130"/>
      <c r="R73" s="130"/>
      <c r="S73" s="130"/>
      <c r="T73" s="121">
        <v>0</v>
      </c>
      <c r="U73" s="114">
        <f t="shared" si="44"/>
        <v>0</v>
      </c>
      <c r="V73" s="121">
        <v>0</v>
      </c>
      <c r="W73" s="109"/>
      <c r="X73" s="13"/>
      <c r="Y73" s="13"/>
      <c r="Z73" s="13"/>
      <c r="AA73" s="42"/>
      <c r="AB73" s="17"/>
      <c r="AC73" s="13"/>
    </row>
    <row r="74" spans="1:29" s="9" customFormat="1" ht="39" customHeight="1" x14ac:dyDescent="0.2">
      <c r="A74" s="8"/>
      <c r="B74" s="59"/>
      <c r="C74" s="70" t="s">
        <v>45</v>
      </c>
      <c r="D74" s="70" t="s">
        <v>43</v>
      </c>
      <c r="E74" s="70" t="s">
        <v>41</v>
      </c>
      <c r="F74" s="81" t="s">
        <v>217</v>
      </c>
      <c r="G74" s="46">
        <f t="shared" si="42"/>
        <v>100000</v>
      </c>
      <c r="H74" s="50"/>
      <c r="I74" s="50"/>
      <c r="J74" s="50"/>
      <c r="K74" s="50"/>
      <c r="L74" s="50"/>
      <c r="M74" s="50"/>
      <c r="N74" s="50">
        <f>50000-50000</f>
        <v>0</v>
      </c>
      <c r="O74" s="50">
        <f>50000+50000</f>
        <v>100000</v>
      </c>
      <c r="P74" s="133"/>
      <c r="Q74" s="130"/>
      <c r="R74" s="130"/>
      <c r="S74" s="130"/>
      <c r="T74" s="121">
        <f>98000</f>
        <v>98000</v>
      </c>
      <c r="U74" s="114">
        <f t="shared" si="44"/>
        <v>0</v>
      </c>
      <c r="V74" s="121">
        <v>0</v>
      </c>
      <c r="W74" s="109" t="s">
        <v>162</v>
      </c>
      <c r="X74" s="13"/>
      <c r="Y74" s="13"/>
      <c r="Z74" s="13"/>
      <c r="AA74" s="42"/>
      <c r="AB74" s="17"/>
      <c r="AC74" s="13"/>
    </row>
    <row r="75" spans="1:29" s="9" customFormat="1" ht="39.75" customHeight="1" x14ac:dyDescent="0.2">
      <c r="A75" s="8"/>
      <c r="B75" s="59"/>
      <c r="C75" s="70" t="s">
        <v>45</v>
      </c>
      <c r="D75" s="70" t="s">
        <v>43</v>
      </c>
      <c r="E75" s="70" t="s">
        <v>41</v>
      </c>
      <c r="F75" s="81" t="s">
        <v>192</v>
      </c>
      <c r="G75" s="117">
        <f t="shared" ref="G75:G76" si="45">SUM(H75:S75)</f>
        <v>1000</v>
      </c>
      <c r="H75" s="50"/>
      <c r="I75" s="50"/>
      <c r="J75" s="50"/>
      <c r="K75" s="50"/>
      <c r="L75" s="50"/>
      <c r="M75" s="50"/>
      <c r="N75" s="133"/>
      <c r="O75" s="133">
        <v>1000</v>
      </c>
      <c r="P75" s="133"/>
      <c r="Q75" s="130"/>
      <c r="R75" s="130"/>
      <c r="S75" s="130"/>
      <c r="T75" s="121">
        <v>1000</v>
      </c>
      <c r="U75" s="114">
        <f t="shared" si="44"/>
        <v>0</v>
      </c>
      <c r="V75" s="121">
        <v>0</v>
      </c>
      <c r="W75" s="109" t="s">
        <v>205</v>
      </c>
      <c r="X75" s="13"/>
      <c r="Y75" s="13"/>
      <c r="Z75" s="13"/>
      <c r="AA75" s="42"/>
      <c r="AB75" s="17"/>
      <c r="AC75" s="13"/>
    </row>
    <row r="76" spans="1:29" s="9" customFormat="1" ht="39.75" customHeight="1" x14ac:dyDescent="0.2">
      <c r="A76" s="8"/>
      <c r="B76" s="59"/>
      <c r="C76" s="70" t="s">
        <v>45</v>
      </c>
      <c r="D76" s="70" t="s">
        <v>43</v>
      </c>
      <c r="E76" s="70" t="s">
        <v>41</v>
      </c>
      <c r="F76" s="81" t="s">
        <v>193</v>
      </c>
      <c r="G76" s="117">
        <f t="shared" si="45"/>
        <v>1000</v>
      </c>
      <c r="H76" s="50"/>
      <c r="I76" s="50"/>
      <c r="J76" s="50"/>
      <c r="K76" s="50"/>
      <c r="L76" s="50"/>
      <c r="M76" s="50"/>
      <c r="N76" s="133"/>
      <c r="O76" s="133">
        <v>1000</v>
      </c>
      <c r="P76" s="133"/>
      <c r="Q76" s="130"/>
      <c r="R76" s="130"/>
      <c r="S76" s="130"/>
      <c r="T76" s="121">
        <f>900+100</f>
        <v>1000</v>
      </c>
      <c r="U76" s="114">
        <f t="shared" si="44"/>
        <v>0</v>
      </c>
      <c r="V76" s="121">
        <v>0</v>
      </c>
      <c r="W76" s="109" t="s">
        <v>155</v>
      </c>
      <c r="X76" s="13"/>
      <c r="Y76" s="13"/>
      <c r="Z76" s="13"/>
      <c r="AA76" s="42"/>
      <c r="AB76" s="17"/>
      <c r="AC76" s="13"/>
    </row>
    <row r="77" spans="1:29" s="6" customFormat="1" x14ac:dyDescent="0.2">
      <c r="A77" s="7"/>
      <c r="B77" s="59"/>
      <c r="C77" s="62"/>
      <c r="D77" s="47"/>
      <c r="E77" s="70"/>
      <c r="F77" s="78" t="s">
        <v>27</v>
      </c>
      <c r="G77" s="79">
        <f t="shared" si="42"/>
        <v>850654.9</v>
      </c>
      <c r="H77" s="80">
        <f t="shared" ref="H77:S77" si="46">SUM(H78:H88)</f>
        <v>0</v>
      </c>
      <c r="I77" s="80">
        <f t="shared" si="46"/>
        <v>0</v>
      </c>
      <c r="J77" s="80">
        <f t="shared" si="46"/>
        <v>16968</v>
      </c>
      <c r="K77" s="80">
        <f t="shared" si="46"/>
        <v>167975.9</v>
      </c>
      <c r="L77" s="80">
        <f t="shared" si="46"/>
        <v>86460.1</v>
      </c>
      <c r="M77" s="80">
        <f t="shared" si="46"/>
        <v>359200.10000000003</v>
      </c>
      <c r="N77" s="80">
        <f t="shared" si="46"/>
        <v>157387.6</v>
      </c>
      <c r="O77" s="80">
        <f t="shared" si="46"/>
        <v>62663.199999999997</v>
      </c>
      <c r="P77" s="80">
        <f t="shared" si="46"/>
        <v>0</v>
      </c>
      <c r="Q77" s="80">
        <f t="shared" si="46"/>
        <v>0</v>
      </c>
      <c r="R77" s="80">
        <f t="shared" si="46"/>
        <v>0</v>
      </c>
      <c r="S77" s="80">
        <f t="shared" si="46"/>
        <v>0</v>
      </c>
      <c r="T77" s="80">
        <f t="shared" ref="T77:U77" si="47">SUM(T78:T88)</f>
        <v>723780.14992</v>
      </c>
      <c r="U77" s="80">
        <f t="shared" si="47"/>
        <v>630604.10000000009</v>
      </c>
      <c r="V77" s="80">
        <f t="shared" ref="V77" si="48">SUM(V78:V88)</f>
        <v>629392.63504000008</v>
      </c>
      <c r="W77" s="35"/>
      <c r="X77" s="126"/>
      <c r="Y77" s="31"/>
      <c r="Z77" s="31"/>
      <c r="AA77" s="32"/>
      <c r="AB77" s="32"/>
      <c r="AC77" s="31"/>
    </row>
    <row r="78" spans="1:29" s="9" customFormat="1" ht="85.5" customHeight="1" x14ac:dyDescent="0.2">
      <c r="A78" s="8"/>
      <c r="B78" s="59"/>
      <c r="C78" s="62" t="s">
        <v>44</v>
      </c>
      <c r="D78" s="47" t="s">
        <v>42</v>
      </c>
      <c r="E78" s="70" t="s">
        <v>41</v>
      </c>
      <c r="F78" s="106" t="s">
        <v>101</v>
      </c>
      <c r="G78" s="46">
        <f t="shared" ref="G78:G83" si="49">SUM(H78:S78)</f>
        <v>170000</v>
      </c>
      <c r="H78" s="46"/>
      <c r="I78" s="117"/>
      <c r="J78" s="124"/>
      <c r="K78" s="124">
        <v>20000</v>
      </c>
      <c r="L78" s="128"/>
      <c r="M78" s="133">
        <f>20000+100000</f>
        <v>120000</v>
      </c>
      <c r="N78" s="133">
        <v>20000</v>
      </c>
      <c r="O78" s="133">
        <v>10000</v>
      </c>
      <c r="P78" s="133"/>
      <c r="Q78" s="130"/>
      <c r="R78" s="130"/>
      <c r="S78" s="130"/>
      <c r="T78" s="114">
        <f>167313.31572+2686.684</f>
        <v>169999.99972000002</v>
      </c>
      <c r="U78" s="114">
        <f t="shared" ref="U78:U88" si="50">SUM(H78:M78)</f>
        <v>140000</v>
      </c>
      <c r="V78" s="121">
        <v>140000</v>
      </c>
      <c r="W78" s="109" t="s">
        <v>155</v>
      </c>
      <c r="X78" s="13"/>
      <c r="Y78" s="13"/>
      <c r="Z78" s="13"/>
      <c r="AA78" s="17"/>
      <c r="AB78" s="17"/>
      <c r="AC78" s="13"/>
    </row>
    <row r="79" spans="1:29" s="9" customFormat="1" ht="57" customHeight="1" x14ac:dyDescent="0.2">
      <c r="A79" s="8"/>
      <c r="B79" s="59"/>
      <c r="C79" s="62" t="s">
        <v>44</v>
      </c>
      <c r="D79" s="70" t="s">
        <v>42</v>
      </c>
      <c r="E79" s="70" t="s">
        <v>41</v>
      </c>
      <c r="F79" s="104" t="s">
        <v>102</v>
      </c>
      <c r="G79" s="46">
        <f t="shared" si="49"/>
        <v>75000</v>
      </c>
      <c r="H79" s="46"/>
      <c r="I79" s="117"/>
      <c r="J79" s="124"/>
      <c r="K79" s="124"/>
      <c r="L79" s="128"/>
      <c r="M79" s="133"/>
      <c r="N79" s="133">
        <f>25000+50000</f>
        <v>75000</v>
      </c>
      <c r="O79" s="133"/>
      <c r="P79" s="133"/>
      <c r="Q79" s="130"/>
      <c r="R79" s="130"/>
      <c r="S79" s="130"/>
      <c r="T79" s="114">
        <v>0</v>
      </c>
      <c r="U79" s="114">
        <f t="shared" si="50"/>
        <v>0</v>
      </c>
      <c r="V79" s="121">
        <v>0</v>
      </c>
      <c r="W79" s="35"/>
      <c r="X79" s="13"/>
      <c r="Y79" s="13"/>
      <c r="Z79" s="13"/>
      <c r="AA79" s="17"/>
      <c r="AB79" s="17"/>
      <c r="AC79" s="13"/>
    </row>
    <row r="80" spans="1:29" s="9" customFormat="1" ht="71.25" customHeight="1" x14ac:dyDescent="0.2">
      <c r="A80" s="8"/>
      <c r="B80" s="59"/>
      <c r="C80" s="62" t="s">
        <v>44</v>
      </c>
      <c r="D80" s="70" t="s">
        <v>42</v>
      </c>
      <c r="E80" s="70" t="s">
        <v>41</v>
      </c>
      <c r="F80" s="104" t="s">
        <v>188</v>
      </c>
      <c r="G80" s="117">
        <f t="shared" si="49"/>
        <v>70876</v>
      </c>
      <c r="H80" s="117"/>
      <c r="I80" s="117"/>
      <c r="J80" s="124"/>
      <c r="K80" s="124">
        <f>35438+34937.9</f>
        <v>70375.899999999994</v>
      </c>
      <c r="L80" s="128">
        <f>35438-34937.9</f>
        <v>500.09999999999854</v>
      </c>
      <c r="M80" s="133"/>
      <c r="N80" s="133"/>
      <c r="O80" s="133"/>
      <c r="P80" s="133"/>
      <c r="Q80" s="130"/>
      <c r="R80" s="130"/>
      <c r="S80" s="130"/>
      <c r="T80" s="114">
        <v>70875.904999999999</v>
      </c>
      <c r="U80" s="114">
        <f t="shared" si="50"/>
        <v>70876</v>
      </c>
      <c r="V80" s="121">
        <v>70875.899999999994</v>
      </c>
      <c r="W80" s="109" t="s">
        <v>197</v>
      </c>
      <c r="X80" s="13"/>
      <c r="Y80" s="13"/>
      <c r="Z80" s="13"/>
      <c r="AA80" s="17"/>
      <c r="AB80" s="17"/>
      <c r="AC80" s="13"/>
    </row>
    <row r="81" spans="1:29" s="9" customFormat="1" ht="57.75" customHeight="1" x14ac:dyDescent="0.2">
      <c r="A81" s="8"/>
      <c r="B81" s="59"/>
      <c r="C81" s="62" t="s">
        <v>44</v>
      </c>
      <c r="D81" s="70" t="s">
        <v>42</v>
      </c>
      <c r="E81" s="70" t="s">
        <v>41</v>
      </c>
      <c r="F81" s="104" t="s">
        <v>213</v>
      </c>
      <c r="G81" s="129">
        <f t="shared" si="49"/>
        <v>120210.9</v>
      </c>
      <c r="H81" s="129"/>
      <c r="I81" s="129"/>
      <c r="J81" s="129"/>
      <c r="K81" s="129"/>
      <c r="L81" s="129"/>
      <c r="M81" s="133">
        <v>120210.9</v>
      </c>
      <c r="N81" s="133"/>
      <c r="O81" s="133"/>
      <c r="P81" s="133"/>
      <c r="Q81" s="130"/>
      <c r="R81" s="130"/>
      <c r="S81" s="130"/>
      <c r="T81" s="114">
        <f>119000</f>
        <v>119000</v>
      </c>
      <c r="U81" s="114">
        <f t="shared" si="50"/>
        <v>120210.9</v>
      </c>
      <c r="V81" s="121">
        <v>119000</v>
      </c>
      <c r="W81" s="109" t="s">
        <v>154</v>
      </c>
      <c r="X81" s="13"/>
      <c r="Y81" s="13"/>
      <c r="Z81" s="13"/>
      <c r="AA81" s="17"/>
      <c r="AB81" s="17"/>
      <c r="AC81" s="13"/>
    </row>
    <row r="82" spans="1:29" s="9" customFormat="1" ht="49.5" customHeight="1" x14ac:dyDescent="0.2">
      <c r="A82" s="8"/>
      <c r="B82" s="59"/>
      <c r="C82" s="62" t="s">
        <v>44</v>
      </c>
      <c r="D82" s="70" t="s">
        <v>43</v>
      </c>
      <c r="E82" s="70" t="s">
        <v>41</v>
      </c>
      <c r="F82" s="81" t="s">
        <v>103</v>
      </c>
      <c r="G82" s="46">
        <f t="shared" si="49"/>
        <v>10000</v>
      </c>
      <c r="H82" s="46"/>
      <c r="I82" s="117"/>
      <c r="J82" s="124"/>
      <c r="K82" s="124"/>
      <c r="L82" s="128">
        <v>10000</v>
      </c>
      <c r="M82" s="133"/>
      <c r="N82" s="133"/>
      <c r="O82" s="133"/>
      <c r="P82" s="133"/>
      <c r="Q82" s="130"/>
      <c r="R82" s="130"/>
      <c r="S82" s="130"/>
      <c r="T82" s="114">
        <f>8725+1275</f>
        <v>10000</v>
      </c>
      <c r="U82" s="114">
        <f t="shared" si="50"/>
        <v>10000</v>
      </c>
      <c r="V82" s="121">
        <v>10000</v>
      </c>
      <c r="W82" s="109" t="s">
        <v>196</v>
      </c>
      <c r="X82" s="13"/>
      <c r="Y82" s="13"/>
      <c r="Z82" s="13"/>
      <c r="AA82" s="17"/>
      <c r="AB82" s="17"/>
      <c r="AC82" s="13"/>
    </row>
    <row r="83" spans="1:29" s="9" customFormat="1" ht="38.25" customHeight="1" x14ac:dyDescent="0.2">
      <c r="A83" s="8"/>
      <c r="B83" s="59"/>
      <c r="C83" s="62" t="s">
        <v>44</v>
      </c>
      <c r="D83" s="70" t="s">
        <v>43</v>
      </c>
      <c r="E83" s="70" t="s">
        <v>41</v>
      </c>
      <c r="F83" s="81" t="s">
        <v>104</v>
      </c>
      <c r="G83" s="46">
        <f t="shared" si="49"/>
        <v>30000</v>
      </c>
      <c r="H83" s="46"/>
      <c r="I83" s="117"/>
      <c r="J83" s="124"/>
      <c r="K83" s="124"/>
      <c r="L83" s="128"/>
      <c r="M83" s="133">
        <f>30000-614.5</f>
        <v>29385.5</v>
      </c>
      <c r="N83" s="133">
        <f>614.5-614.5</f>
        <v>0</v>
      </c>
      <c r="O83" s="133">
        <v>614.5</v>
      </c>
      <c r="P83" s="133"/>
      <c r="Q83" s="130"/>
      <c r="R83" s="130"/>
      <c r="S83" s="130"/>
      <c r="T83" s="114">
        <f>28668.6103+716.71526</f>
        <v>29385.325560000001</v>
      </c>
      <c r="U83" s="114">
        <f t="shared" si="50"/>
        <v>29385.5</v>
      </c>
      <c r="V83" s="121">
        <v>29385.325560000001</v>
      </c>
      <c r="W83" s="109" t="s">
        <v>173</v>
      </c>
      <c r="X83" s="13"/>
      <c r="Y83" s="13"/>
      <c r="Z83" s="13"/>
      <c r="AA83" s="17"/>
      <c r="AB83" s="17"/>
      <c r="AC83" s="13"/>
    </row>
    <row r="84" spans="1:29" s="9" customFormat="1" ht="38.25" customHeight="1" x14ac:dyDescent="0.2">
      <c r="A84" s="8"/>
      <c r="B84" s="59"/>
      <c r="C84" s="62" t="s">
        <v>44</v>
      </c>
      <c r="D84" s="70" t="s">
        <v>43</v>
      </c>
      <c r="E84" s="70" t="s">
        <v>41</v>
      </c>
      <c r="F84" s="81" t="s">
        <v>105</v>
      </c>
      <c r="G84" s="46">
        <f t="shared" ref="G84:G88" si="51">SUM(H84:S84)</f>
        <v>202121.00000000003</v>
      </c>
      <c r="H84" s="46"/>
      <c r="I84" s="117"/>
      <c r="J84" s="124"/>
      <c r="K84" s="124">
        <v>42121</v>
      </c>
      <c r="L84" s="128">
        <f>30000+45960</f>
        <v>75960</v>
      </c>
      <c r="M84" s="133">
        <v>19603.7</v>
      </c>
      <c r="N84" s="133">
        <f>40000-5960+28347.6</f>
        <v>62387.6</v>
      </c>
      <c r="O84" s="133">
        <f>40000-19603.7-18347.6</f>
        <v>2048.7000000000007</v>
      </c>
      <c r="P84" s="133"/>
      <c r="Q84" s="130">
        <f>10000-10000</f>
        <v>0</v>
      </c>
      <c r="R84" s="130"/>
      <c r="S84" s="130"/>
      <c r="T84" s="114">
        <f>122239.99999+75929.3023+2000.00001+1902.90686</f>
        <v>202072.20915999997</v>
      </c>
      <c r="U84" s="114">
        <f t="shared" si="50"/>
        <v>137684.70000000001</v>
      </c>
      <c r="V84" s="121">
        <v>137684.70000000001</v>
      </c>
      <c r="W84" s="109" t="s">
        <v>206</v>
      </c>
      <c r="X84" s="13"/>
      <c r="Y84" s="13"/>
      <c r="Z84" s="13"/>
      <c r="AA84" s="17"/>
      <c r="AB84" s="17"/>
      <c r="AC84" s="13"/>
    </row>
    <row r="85" spans="1:29" s="9" customFormat="1" ht="38.25" customHeight="1" x14ac:dyDescent="0.2">
      <c r="A85" s="8"/>
      <c r="B85" s="59"/>
      <c r="C85" s="62" t="s">
        <v>44</v>
      </c>
      <c r="D85" s="70" t="s">
        <v>43</v>
      </c>
      <c r="E85" s="70" t="s">
        <v>41</v>
      </c>
      <c r="F85" s="81" t="s">
        <v>106</v>
      </c>
      <c r="G85" s="46">
        <f t="shared" si="51"/>
        <v>5479</v>
      </c>
      <c r="H85" s="46"/>
      <c r="I85" s="117"/>
      <c r="J85" s="124"/>
      <c r="K85" s="124">
        <v>5479</v>
      </c>
      <c r="L85" s="128"/>
      <c r="M85" s="133"/>
      <c r="N85" s="133"/>
      <c r="O85" s="133"/>
      <c r="P85" s="133"/>
      <c r="Q85" s="130"/>
      <c r="R85" s="130"/>
      <c r="S85" s="130"/>
      <c r="T85" s="114">
        <f>5209.43601+269.56399</f>
        <v>5479</v>
      </c>
      <c r="U85" s="114">
        <f t="shared" si="50"/>
        <v>5479</v>
      </c>
      <c r="V85" s="114">
        <f>5209.43601+269.56399</f>
        <v>5479</v>
      </c>
      <c r="W85" s="111" t="s">
        <v>179</v>
      </c>
      <c r="X85" s="13"/>
      <c r="Y85" s="13"/>
      <c r="Z85" s="13"/>
      <c r="AA85" s="17"/>
      <c r="AB85" s="17"/>
      <c r="AC85" s="13"/>
    </row>
    <row r="86" spans="1:29" s="9" customFormat="1" ht="38.25" customHeight="1" x14ac:dyDescent="0.2">
      <c r="A86" s="8"/>
      <c r="B86" s="59"/>
      <c r="C86" s="62" t="s">
        <v>44</v>
      </c>
      <c r="D86" s="70" t="s">
        <v>43</v>
      </c>
      <c r="E86" s="70" t="s">
        <v>41</v>
      </c>
      <c r="F86" s="81" t="s">
        <v>107</v>
      </c>
      <c r="G86" s="46">
        <f t="shared" si="51"/>
        <v>100000</v>
      </c>
      <c r="H86" s="46"/>
      <c r="I86" s="117"/>
      <c r="J86" s="124"/>
      <c r="K86" s="124">
        <v>30000</v>
      </c>
      <c r="L86" s="128"/>
      <c r="M86" s="133">
        <f>30000+40000</f>
        <v>70000</v>
      </c>
      <c r="N86" s="133"/>
      <c r="O86" s="133"/>
      <c r="P86" s="133"/>
      <c r="Q86" s="130"/>
      <c r="R86" s="130"/>
      <c r="S86" s="130"/>
      <c r="T86" s="114">
        <f>97100.00001+2899.99999</f>
        <v>100000</v>
      </c>
      <c r="U86" s="114">
        <f t="shared" si="50"/>
        <v>100000</v>
      </c>
      <c r="V86" s="121">
        <v>99999.998999999996</v>
      </c>
      <c r="W86" s="109" t="s">
        <v>162</v>
      </c>
      <c r="X86" s="13"/>
      <c r="Y86" s="13"/>
      <c r="Z86" s="13"/>
      <c r="AA86" s="17"/>
      <c r="AB86" s="17"/>
      <c r="AC86" s="13"/>
    </row>
    <row r="87" spans="1:29" s="9" customFormat="1" ht="38.25" customHeight="1" x14ac:dyDescent="0.2">
      <c r="A87" s="8"/>
      <c r="B87" s="59"/>
      <c r="C87" s="62" t="s">
        <v>44</v>
      </c>
      <c r="D87" s="70" t="s">
        <v>43</v>
      </c>
      <c r="E87" s="70" t="s">
        <v>41</v>
      </c>
      <c r="F87" s="81" t="s">
        <v>108</v>
      </c>
      <c r="G87" s="46">
        <f t="shared" si="51"/>
        <v>16968</v>
      </c>
      <c r="H87" s="46"/>
      <c r="I87" s="117"/>
      <c r="J87" s="124">
        <v>16968</v>
      </c>
      <c r="K87" s="124"/>
      <c r="L87" s="128"/>
      <c r="M87" s="133"/>
      <c r="N87" s="133"/>
      <c r="O87" s="133"/>
      <c r="P87" s="133"/>
      <c r="Q87" s="130"/>
      <c r="R87" s="130"/>
      <c r="S87" s="130"/>
      <c r="T87" s="114">
        <f>16910.1147+57.59578</f>
        <v>16967.710479999998</v>
      </c>
      <c r="U87" s="114">
        <f t="shared" si="50"/>
        <v>16968</v>
      </c>
      <c r="V87" s="114">
        <f>16910.1147+57.59578</f>
        <v>16967.710479999998</v>
      </c>
      <c r="W87" s="109" t="s">
        <v>173</v>
      </c>
      <c r="X87" s="13"/>
      <c r="Y87" s="13"/>
      <c r="Z87" s="13"/>
      <c r="AA87" s="17"/>
      <c r="AB87" s="17"/>
      <c r="AC87" s="13"/>
    </row>
    <row r="88" spans="1:29" s="9" customFormat="1" ht="38.25" customHeight="1" x14ac:dyDescent="0.2">
      <c r="A88" s="8"/>
      <c r="B88" s="59"/>
      <c r="C88" s="62" t="s">
        <v>44</v>
      </c>
      <c r="D88" s="70" t="s">
        <v>43</v>
      </c>
      <c r="E88" s="70" t="s">
        <v>41</v>
      </c>
      <c r="F88" s="81" t="s">
        <v>109</v>
      </c>
      <c r="G88" s="46">
        <f t="shared" si="51"/>
        <v>50000</v>
      </c>
      <c r="H88" s="46"/>
      <c r="I88" s="117"/>
      <c r="J88" s="124"/>
      <c r="K88" s="124"/>
      <c r="L88" s="128"/>
      <c r="M88" s="133"/>
      <c r="N88" s="133">
        <f>50000-50000</f>
        <v>0</v>
      </c>
      <c r="O88" s="133">
        <v>50000</v>
      </c>
      <c r="P88" s="133"/>
      <c r="Q88" s="130"/>
      <c r="R88" s="130"/>
      <c r="S88" s="130"/>
      <c r="T88" s="114">
        <v>0</v>
      </c>
      <c r="U88" s="114">
        <f t="shared" si="50"/>
        <v>0</v>
      </c>
      <c r="V88" s="121">
        <v>0</v>
      </c>
      <c r="W88" s="35"/>
      <c r="X88" s="13"/>
      <c r="Y88" s="13"/>
      <c r="Z88" s="13"/>
      <c r="AA88" s="17"/>
      <c r="AB88" s="17"/>
      <c r="AC88" s="13"/>
    </row>
    <row r="89" spans="1:29" s="6" customFormat="1" x14ac:dyDescent="0.2">
      <c r="A89" s="7"/>
      <c r="B89" s="59"/>
      <c r="C89" s="70"/>
      <c r="D89" s="70"/>
      <c r="E89" s="70"/>
      <c r="F89" s="78" t="s">
        <v>40</v>
      </c>
      <c r="G89" s="79">
        <f t="shared" ref="G89:G95" si="52">SUM(H89:S89)</f>
        <v>477719</v>
      </c>
      <c r="H89" s="80">
        <f t="shared" ref="H89:S89" si="53">SUM(H90:H97)</f>
        <v>0</v>
      </c>
      <c r="I89" s="80">
        <f t="shared" si="53"/>
        <v>33000</v>
      </c>
      <c r="J89" s="80">
        <f t="shared" si="53"/>
        <v>43637.5</v>
      </c>
      <c r="K89" s="80">
        <f t="shared" si="53"/>
        <v>40700</v>
      </c>
      <c r="L89" s="80">
        <f t="shared" si="53"/>
        <v>19149.599999999999</v>
      </c>
      <c r="M89" s="80">
        <f t="shared" si="53"/>
        <v>-7149.6</v>
      </c>
      <c r="N89" s="80">
        <f t="shared" si="53"/>
        <v>52351</v>
      </c>
      <c r="O89" s="80">
        <f t="shared" si="53"/>
        <v>143405.5</v>
      </c>
      <c r="P89" s="80">
        <f t="shared" si="53"/>
        <v>90625</v>
      </c>
      <c r="Q89" s="80">
        <f t="shared" si="53"/>
        <v>56000</v>
      </c>
      <c r="R89" s="80">
        <f t="shared" si="53"/>
        <v>0</v>
      </c>
      <c r="S89" s="80">
        <f t="shared" si="53"/>
        <v>6000</v>
      </c>
      <c r="T89" s="80">
        <f t="shared" ref="T89:U89" si="54">SUM(T90:T97)</f>
        <v>368698.53590999998</v>
      </c>
      <c r="U89" s="80">
        <f t="shared" si="54"/>
        <v>129337.5</v>
      </c>
      <c r="V89" s="80">
        <f t="shared" ref="V89" si="55">SUM(V90:V97)</f>
        <v>129337.48793</v>
      </c>
      <c r="W89" s="35"/>
      <c r="X89" s="31"/>
      <c r="Y89" s="31"/>
      <c r="Z89" s="31"/>
      <c r="AA89" s="32"/>
      <c r="AB89" s="32"/>
      <c r="AC89" s="31"/>
    </row>
    <row r="90" spans="1:29" s="9" customFormat="1" ht="82.5" customHeight="1" x14ac:dyDescent="0.2">
      <c r="A90" s="8"/>
      <c r="B90" s="59"/>
      <c r="C90" s="70" t="s">
        <v>44</v>
      </c>
      <c r="D90" s="70" t="s">
        <v>42</v>
      </c>
      <c r="E90" s="70" t="s">
        <v>41</v>
      </c>
      <c r="F90" s="107" t="s">
        <v>55</v>
      </c>
      <c r="G90" s="46">
        <f t="shared" si="52"/>
        <v>50000</v>
      </c>
      <c r="H90" s="46"/>
      <c r="I90" s="117"/>
      <c r="J90" s="124"/>
      <c r="K90" s="133"/>
      <c r="L90" s="133">
        <f>13149.6</f>
        <v>13149.6</v>
      </c>
      <c r="M90" s="133">
        <f>35000-35000-13149.6</f>
        <v>-13149.6</v>
      </c>
      <c r="N90" s="133">
        <f>35000-35000</f>
        <v>0</v>
      </c>
      <c r="O90" s="133">
        <f>1850.4+48149.6</f>
        <v>50000</v>
      </c>
      <c r="P90" s="133"/>
      <c r="Q90" s="133"/>
      <c r="R90" s="83"/>
      <c r="S90" s="83"/>
      <c r="T90" s="114">
        <f>43831.69401+6168.30588</f>
        <v>49999.999889999999</v>
      </c>
      <c r="U90" s="114">
        <f t="shared" ref="U90:U97" si="56">SUM(H90:M90)</f>
        <v>0</v>
      </c>
      <c r="V90" s="121">
        <v>0</v>
      </c>
      <c r="W90" s="111" t="s">
        <v>168</v>
      </c>
      <c r="X90" s="13"/>
      <c r="Y90" s="13"/>
      <c r="Z90" s="13"/>
      <c r="AA90" s="17"/>
      <c r="AB90" s="17"/>
      <c r="AC90" s="13"/>
    </row>
    <row r="91" spans="1:29" s="9" customFormat="1" ht="93.75" customHeight="1" x14ac:dyDescent="0.2">
      <c r="A91" s="8"/>
      <c r="B91" s="59"/>
      <c r="C91" s="70" t="s">
        <v>44</v>
      </c>
      <c r="D91" s="70" t="s">
        <v>42</v>
      </c>
      <c r="E91" s="70" t="s">
        <v>41</v>
      </c>
      <c r="F91" s="107" t="s">
        <v>189</v>
      </c>
      <c r="G91" s="117">
        <f t="shared" si="52"/>
        <v>50000</v>
      </c>
      <c r="H91" s="117"/>
      <c r="I91" s="117"/>
      <c r="J91" s="124"/>
      <c r="K91" s="133">
        <f>15000-300</f>
        <v>14700</v>
      </c>
      <c r="L91" s="133"/>
      <c r="M91" s="133"/>
      <c r="N91" s="133">
        <f>300+35000-20000</f>
        <v>15300</v>
      </c>
      <c r="O91" s="133">
        <v>20000</v>
      </c>
      <c r="P91" s="133"/>
      <c r="Q91" s="133"/>
      <c r="R91" s="83"/>
      <c r="S91" s="83"/>
      <c r="T91" s="114">
        <f>49000+1000</f>
        <v>50000</v>
      </c>
      <c r="U91" s="114">
        <f t="shared" si="56"/>
        <v>14700</v>
      </c>
      <c r="V91" s="121">
        <v>14700</v>
      </c>
      <c r="W91" s="111" t="s">
        <v>164</v>
      </c>
      <c r="X91" s="13"/>
      <c r="Y91" s="13"/>
      <c r="Z91" s="13"/>
      <c r="AA91" s="17"/>
      <c r="AB91" s="17"/>
      <c r="AC91" s="13"/>
    </row>
    <row r="92" spans="1:29" s="9" customFormat="1" ht="126" customHeight="1" x14ac:dyDescent="0.2">
      <c r="A92" s="8"/>
      <c r="B92" s="59"/>
      <c r="C92" s="70" t="s">
        <v>44</v>
      </c>
      <c r="D92" s="70" t="s">
        <v>42</v>
      </c>
      <c r="E92" s="70" t="s">
        <v>41</v>
      </c>
      <c r="F92" s="107" t="s">
        <v>216</v>
      </c>
      <c r="G92" s="129">
        <f t="shared" si="52"/>
        <v>50000</v>
      </c>
      <c r="H92" s="129"/>
      <c r="I92" s="129"/>
      <c r="J92" s="129"/>
      <c r="K92" s="133"/>
      <c r="L92" s="133"/>
      <c r="M92" s="133"/>
      <c r="N92" s="114">
        <f>35000-35000</f>
        <v>0</v>
      </c>
      <c r="O92" s="114">
        <f>15000-15000</f>
        <v>0</v>
      </c>
      <c r="P92" s="133"/>
      <c r="Q92" s="114">
        <v>50000</v>
      </c>
      <c r="R92" s="83"/>
      <c r="S92" s="83"/>
      <c r="T92" s="114">
        <v>0</v>
      </c>
      <c r="U92" s="114">
        <f t="shared" si="56"/>
        <v>0</v>
      </c>
      <c r="V92" s="121">
        <v>0</v>
      </c>
      <c r="W92" s="111"/>
      <c r="X92" s="13"/>
      <c r="Y92" s="13"/>
      <c r="Z92" s="13"/>
      <c r="AA92" s="17"/>
      <c r="AB92" s="17"/>
      <c r="AC92" s="13"/>
    </row>
    <row r="93" spans="1:29" s="9" customFormat="1" ht="38.25" customHeight="1" x14ac:dyDescent="0.2">
      <c r="A93" s="8"/>
      <c r="B93" s="59"/>
      <c r="C93" s="70" t="s">
        <v>44</v>
      </c>
      <c r="D93" s="70" t="s">
        <v>68</v>
      </c>
      <c r="E93" s="70" t="s">
        <v>41</v>
      </c>
      <c r="F93" s="88" t="s">
        <v>70</v>
      </c>
      <c r="G93" s="46">
        <f t="shared" si="52"/>
        <v>84043</v>
      </c>
      <c r="H93" s="46"/>
      <c r="I93" s="117">
        <f>15000+18000</f>
        <v>33000</v>
      </c>
      <c r="J93" s="124">
        <v>9043</v>
      </c>
      <c r="K93" s="133">
        <v>6000</v>
      </c>
      <c r="L93" s="133">
        <v>6000</v>
      </c>
      <c r="M93" s="133">
        <v>6000</v>
      </c>
      <c r="N93" s="133">
        <v>3000</v>
      </c>
      <c r="O93" s="133">
        <v>3000</v>
      </c>
      <c r="P93" s="133">
        <v>6000</v>
      </c>
      <c r="Q93" s="133">
        <v>6000</v>
      </c>
      <c r="R93" s="133">
        <f>8000-2000-6000</f>
        <v>0</v>
      </c>
      <c r="S93" s="133">
        <f>10000-4000</f>
        <v>6000</v>
      </c>
      <c r="T93" s="114">
        <v>75023.849199999997</v>
      </c>
      <c r="U93" s="114">
        <f t="shared" si="56"/>
        <v>60043</v>
      </c>
      <c r="V93" s="121">
        <v>60043</v>
      </c>
      <c r="W93" s="111" t="s">
        <v>198</v>
      </c>
      <c r="X93" s="13"/>
      <c r="Y93" s="13"/>
      <c r="Z93" s="13"/>
      <c r="AA93" s="17"/>
      <c r="AB93" s="17"/>
      <c r="AC93" s="13"/>
    </row>
    <row r="94" spans="1:29" s="9" customFormat="1" ht="38.25" customHeight="1" x14ac:dyDescent="0.2">
      <c r="A94" s="8"/>
      <c r="B94" s="59"/>
      <c r="C94" s="70" t="s">
        <v>44</v>
      </c>
      <c r="D94" s="70" t="s">
        <v>43</v>
      </c>
      <c r="E94" s="70" t="s">
        <v>41</v>
      </c>
      <c r="F94" s="88" t="s">
        <v>215</v>
      </c>
      <c r="G94" s="129">
        <f t="shared" si="52"/>
        <v>50000</v>
      </c>
      <c r="H94" s="129"/>
      <c r="I94" s="129"/>
      <c r="J94" s="129"/>
      <c r="K94" s="133"/>
      <c r="L94" s="133"/>
      <c r="M94" s="133"/>
      <c r="N94" s="133">
        <f>25000-25000</f>
        <v>0</v>
      </c>
      <c r="O94" s="133">
        <v>25000</v>
      </c>
      <c r="P94" s="133">
        <v>25000</v>
      </c>
      <c r="Q94" s="133"/>
      <c r="R94" s="133"/>
      <c r="S94" s="133"/>
      <c r="T94" s="114">
        <v>0</v>
      </c>
      <c r="U94" s="114">
        <f t="shared" si="56"/>
        <v>0</v>
      </c>
      <c r="V94" s="121">
        <v>0</v>
      </c>
      <c r="W94" s="111"/>
      <c r="X94" s="13"/>
      <c r="Y94" s="13"/>
      <c r="Z94" s="13"/>
      <c r="AA94" s="17"/>
      <c r="AB94" s="17"/>
      <c r="AC94" s="13"/>
    </row>
    <row r="95" spans="1:29" s="9" customFormat="1" ht="45.75" customHeight="1" x14ac:dyDescent="0.2">
      <c r="A95" s="8"/>
      <c r="B95" s="59"/>
      <c r="C95" s="70" t="s">
        <v>44</v>
      </c>
      <c r="D95" s="70" t="s">
        <v>43</v>
      </c>
      <c r="E95" s="70" t="s">
        <v>41</v>
      </c>
      <c r="F95" s="81" t="s">
        <v>64</v>
      </c>
      <c r="G95" s="46">
        <f t="shared" si="52"/>
        <v>54051</v>
      </c>
      <c r="H95" s="46"/>
      <c r="I95" s="117"/>
      <c r="J95" s="124">
        <v>20000</v>
      </c>
      <c r="K95" s="133">
        <f>34051-14051</f>
        <v>20000</v>
      </c>
      <c r="L95" s="133"/>
      <c r="M95" s="133"/>
      <c r="N95" s="133">
        <v>14051</v>
      </c>
      <c r="O95" s="133"/>
      <c r="P95" s="133"/>
      <c r="Q95" s="133"/>
      <c r="R95" s="83"/>
      <c r="S95" s="83"/>
      <c r="T95" s="114">
        <f>53049.68682+1000</f>
        <v>54049.686820000003</v>
      </c>
      <c r="U95" s="114">
        <f t="shared" si="56"/>
        <v>40000</v>
      </c>
      <c r="V95" s="121">
        <v>40000</v>
      </c>
      <c r="W95" s="111" t="s">
        <v>199</v>
      </c>
      <c r="X95" s="13"/>
      <c r="Y95" s="13"/>
      <c r="Z95" s="13"/>
      <c r="AA95" s="17"/>
      <c r="AB95" s="17"/>
      <c r="AC95" s="13"/>
    </row>
    <row r="96" spans="1:29" s="9" customFormat="1" ht="28.5" customHeight="1" x14ac:dyDescent="0.2">
      <c r="A96" s="8"/>
      <c r="B96" s="59"/>
      <c r="C96" s="70" t="s">
        <v>44</v>
      </c>
      <c r="D96" s="70" t="s">
        <v>43</v>
      </c>
      <c r="E96" s="70" t="s">
        <v>41</v>
      </c>
      <c r="F96" s="81" t="s">
        <v>63</v>
      </c>
      <c r="G96" s="46">
        <f t="shared" ref="G96:G97" si="57">SUM(H96:S96)</f>
        <v>50000</v>
      </c>
      <c r="H96" s="46"/>
      <c r="I96" s="117"/>
      <c r="J96" s="124">
        <v>14594.5</v>
      </c>
      <c r="K96" s="133"/>
      <c r="L96" s="133"/>
      <c r="M96" s="133"/>
      <c r="N96" s="114">
        <f>35405.5-15405.5</f>
        <v>20000</v>
      </c>
      <c r="O96" s="133">
        <v>15405.5</v>
      </c>
      <c r="P96" s="133"/>
      <c r="Q96" s="133"/>
      <c r="R96" s="83"/>
      <c r="S96" s="83"/>
      <c r="T96" s="114">
        <v>50000</v>
      </c>
      <c r="U96" s="114">
        <f t="shared" si="56"/>
        <v>14594.5</v>
      </c>
      <c r="V96" s="121">
        <v>14594.487929999999</v>
      </c>
      <c r="W96" s="111" t="s">
        <v>200</v>
      </c>
      <c r="X96" s="13"/>
      <c r="Y96" s="13"/>
      <c r="Z96" s="13"/>
      <c r="AA96" s="17"/>
      <c r="AB96" s="17"/>
      <c r="AC96" s="13"/>
    </row>
    <row r="97" spans="1:29" s="9" customFormat="1" ht="60" customHeight="1" x14ac:dyDescent="0.2">
      <c r="A97" s="8"/>
      <c r="B97" s="59"/>
      <c r="C97" s="70" t="s">
        <v>44</v>
      </c>
      <c r="D97" s="70" t="s">
        <v>43</v>
      </c>
      <c r="E97" s="70" t="s">
        <v>41</v>
      </c>
      <c r="F97" s="81" t="s">
        <v>110</v>
      </c>
      <c r="G97" s="46">
        <f t="shared" si="57"/>
        <v>89625</v>
      </c>
      <c r="H97" s="46"/>
      <c r="I97" s="117"/>
      <c r="J97" s="124"/>
      <c r="K97" s="133"/>
      <c r="L97" s="133"/>
      <c r="M97" s="133"/>
      <c r="N97" s="114">
        <f>29625+30000-59625</f>
        <v>0</v>
      </c>
      <c r="O97" s="133">
        <v>30000</v>
      </c>
      <c r="P97" s="133">
        <v>59625</v>
      </c>
      <c r="Q97" s="133"/>
      <c r="R97" s="83"/>
      <c r="S97" s="83"/>
      <c r="T97" s="114">
        <f>89625</f>
        <v>89625</v>
      </c>
      <c r="U97" s="114">
        <f t="shared" si="56"/>
        <v>0</v>
      </c>
      <c r="V97" s="121">
        <v>0</v>
      </c>
      <c r="W97" s="111" t="s">
        <v>157</v>
      </c>
      <c r="X97" s="13"/>
      <c r="Y97" s="13"/>
      <c r="Z97" s="13"/>
      <c r="AA97" s="17"/>
      <c r="AB97" s="17"/>
      <c r="AC97" s="13"/>
    </row>
    <row r="98" spans="1:29" s="6" customFormat="1" ht="14.25" customHeight="1" x14ac:dyDescent="0.2">
      <c r="A98" s="7"/>
      <c r="B98" s="59"/>
      <c r="C98" s="62"/>
      <c r="D98" s="47"/>
      <c r="E98" s="70"/>
      <c r="F98" s="78" t="s">
        <v>28</v>
      </c>
      <c r="G98" s="79">
        <f t="shared" si="42"/>
        <v>593597</v>
      </c>
      <c r="H98" s="87">
        <f>SUM(H99:H104)</f>
        <v>0</v>
      </c>
      <c r="I98" s="87">
        <f t="shared" ref="I98:V98" si="58">SUM(I99:I104)</f>
        <v>100000</v>
      </c>
      <c r="J98" s="87">
        <f t="shared" si="58"/>
        <v>0</v>
      </c>
      <c r="K98" s="87">
        <f t="shared" si="58"/>
        <v>40000</v>
      </c>
      <c r="L98" s="87">
        <f t="shared" si="58"/>
        <v>0</v>
      </c>
      <c r="M98" s="87">
        <f t="shared" si="58"/>
        <v>50000</v>
      </c>
      <c r="N98" s="87">
        <f t="shared" si="58"/>
        <v>20000</v>
      </c>
      <c r="O98" s="87">
        <f t="shared" si="58"/>
        <v>168597</v>
      </c>
      <c r="P98" s="87">
        <f t="shared" si="58"/>
        <v>0</v>
      </c>
      <c r="Q98" s="87">
        <f t="shared" si="58"/>
        <v>0</v>
      </c>
      <c r="R98" s="87">
        <f t="shared" si="58"/>
        <v>0</v>
      </c>
      <c r="S98" s="87">
        <f t="shared" si="58"/>
        <v>215000</v>
      </c>
      <c r="T98" s="87">
        <f t="shared" si="58"/>
        <v>440044.74948</v>
      </c>
      <c r="U98" s="87">
        <f t="shared" si="58"/>
        <v>190000</v>
      </c>
      <c r="V98" s="87">
        <f t="shared" si="58"/>
        <v>239548.13500000001</v>
      </c>
      <c r="W98" s="35"/>
      <c r="X98" s="31"/>
      <c r="Y98" s="31"/>
      <c r="Z98" s="31"/>
      <c r="AA98" s="32"/>
      <c r="AB98" s="32"/>
      <c r="AC98" s="31"/>
    </row>
    <row r="99" spans="1:29" s="9" customFormat="1" ht="62.25" customHeight="1" x14ac:dyDescent="0.2">
      <c r="A99" s="8"/>
      <c r="B99" s="59"/>
      <c r="C99" s="70" t="s">
        <v>44</v>
      </c>
      <c r="D99" s="70" t="s">
        <v>42</v>
      </c>
      <c r="E99" s="70" t="s">
        <v>41</v>
      </c>
      <c r="F99" s="104" t="s">
        <v>111</v>
      </c>
      <c r="G99" s="46">
        <f t="shared" si="42"/>
        <v>150000</v>
      </c>
      <c r="H99" s="46"/>
      <c r="I99" s="117"/>
      <c r="J99" s="124"/>
      <c r="K99" s="133"/>
      <c r="L99" s="133"/>
      <c r="M99" s="133"/>
      <c r="N99" s="114">
        <f>35000-35000</f>
        <v>0</v>
      </c>
      <c r="O99" s="114">
        <v>35000</v>
      </c>
      <c r="P99" s="133"/>
      <c r="Q99" s="133"/>
      <c r="R99" s="83"/>
      <c r="S99" s="83">
        <v>115000</v>
      </c>
      <c r="T99" s="114">
        <v>0</v>
      </c>
      <c r="U99" s="114">
        <f t="shared" ref="U99:U104" si="59">SUM(H99:M99)</f>
        <v>0</v>
      </c>
      <c r="V99" s="121">
        <v>0</v>
      </c>
      <c r="W99" s="109" t="s">
        <v>152</v>
      </c>
      <c r="X99" s="13"/>
      <c r="Y99" s="13"/>
      <c r="Z99" s="13"/>
      <c r="AA99" s="42"/>
      <c r="AB99" s="17"/>
      <c r="AC99" s="13"/>
    </row>
    <row r="100" spans="1:29" s="9" customFormat="1" ht="48" customHeight="1" x14ac:dyDescent="0.2">
      <c r="A100" s="8"/>
      <c r="B100" s="59"/>
      <c r="C100" s="70" t="s">
        <v>44</v>
      </c>
      <c r="D100" s="70" t="s">
        <v>68</v>
      </c>
      <c r="E100" s="70" t="s">
        <v>41</v>
      </c>
      <c r="F100" s="81" t="s">
        <v>112</v>
      </c>
      <c r="G100" s="46">
        <f t="shared" si="42"/>
        <v>100000</v>
      </c>
      <c r="H100" s="46"/>
      <c r="I100" s="117">
        <v>100000</v>
      </c>
      <c r="J100" s="124"/>
      <c r="K100" s="133"/>
      <c r="L100" s="133"/>
      <c r="M100" s="133"/>
      <c r="N100" s="133"/>
      <c r="O100" s="133"/>
      <c r="P100" s="133"/>
      <c r="Q100" s="133"/>
      <c r="R100" s="83"/>
      <c r="S100" s="83"/>
      <c r="T100" s="114">
        <v>100000</v>
      </c>
      <c r="U100" s="114">
        <f t="shared" si="59"/>
        <v>100000</v>
      </c>
      <c r="V100" s="121">
        <v>100000</v>
      </c>
      <c r="W100" s="109" t="s">
        <v>175</v>
      </c>
      <c r="X100" s="13"/>
      <c r="Y100" s="13"/>
      <c r="Z100" s="13"/>
      <c r="AA100" s="42"/>
      <c r="AB100" s="17"/>
      <c r="AC100" s="13"/>
    </row>
    <row r="101" spans="1:29" s="9" customFormat="1" ht="38.25" customHeight="1" x14ac:dyDescent="0.2">
      <c r="A101" s="8"/>
      <c r="B101" s="59"/>
      <c r="C101" s="70" t="s">
        <v>44</v>
      </c>
      <c r="D101" s="70" t="s">
        <v>68</v>
      </c>
      <c r="E101" s="70" t="s">
        <v>41</v>
      </c>
      <c r="F101" s="81" t="s">
        <v>70</v>
      </c>
      <c r="G101" s="129">
        <f t="shared" si="42"/>
        <v>50000</v>
      </c>
      <c r="H101" s="129"/>
      <c r="I101" s="129"/>
      <c r="J101" s="129"/>
      <c r="K101" s="133"/>
      <c r="L101" s="133"/>
      <c r="M101" s="133">
        <v>50000</v>
      </c>
      <c r="N101" s="133"/>
      <c r="O101" s="133"/>
      <c r="P101" s="133"/>
      <c r="Q101" s="133"/>
      <c r="R101" s="83"/>
      <c r="S101" s="83"/>
      <c r="T101" s="114">
        <v>50000</v>
      </c>
      <c r="U101" s="114">
        <f t="shared" si="59"/>
        <v>50000</v>
      </c>
      <c r="V101" s="121">
        <v>50000</v>
      </c>
      <c r="W101" s="109" t="s">
        <v>221</v>
      </c>
      <c r="X101" s="13"/>
      <c r="Y101" s="13"/>
      <c r="Z101" s="13"/>
      <c r="AA101" s="42"/>
      <c r="AB101" s="17"/>
      <c r="AC101" s="13"/>
    </row>
    <row r="102" spans="1:29" s="9" customFormat="1" ht="42.75" customHeight="1" x14ac:dyDescent="0.2">
      <c r="A102" s="8"/>
      <c r="B102" s="59"/>
      <c r="C102" s="70" t="s">
        <v>44</v>
      </c>
      <c r="D102" s="70" t="s">
        <v>43</v>
      </c>
      <c r="E102" s="70" t="s">
        <v>41</v>
      </c>
      <c r="F102" s="81" t="s">
        <v>113</v>
      </c>
      <c r="G102" s="46">
        <f t="shared" si="42"/>
        <v>50000</v>
      </c>
      <c r="H102" s="46"/>
      <c r="I102" s="117"/>
      <c r="J102" s="124"/>
      <c r="K102" s="133">
        <v>15000</v>
      </c>
      <c r="L102" s="133"/>
      <c r="M102" s="133"/>
      <c r="N102" s="133"/>
      <c r="O102" s="133">
        <f>50000-15000</f>
        <v>35000</v>
      </c>
      <c r="P102" s="133"/>
      <c r="Q102" s="133"/>
      <c r="R102" s="83"/>
      <c r="S102" s="83"/>
      <c r="T102" s="114">
        <f>48500+1500</f>
        <v>50000</v>
      </c>
      <c r="U102" s="114">
        <f t="shared" si="59"/>
        <v>15000</v>
      </c>
      <c r="V102" s="121">
        <v>15000</v>
      </c>
      <c r="W102" s="109" t="s">
        <v>169</v>
      </c>
      <c r="X102" s="13"/>
      <c r="Y102" s="13"/>
      <c r="Z102" s="13"/>
      <c r="AA102" s="42"/>
      <c r="AB102" s="17"/>
      <c r="AC102" s="13"/>
    </row>
    <row r="103" spans="1:29" s="9" customFormat="1" ht="42.75" customHeight="1" x14ac:dyDescent="0.2">
      <c r="A103" s="8"/>
      <c r="B103" s="59"/>
      <c r="C103" s="70" t="s">
        <v>44</v>
      </c>
      <c r="D103" s="70" t="s">
        <v>43</v>
      </c>
      <c r="E103" s="70" t="s">
        <v>41</v>
      </c>
      <c r="F103" s="81" t="s">
        <v>114</v>
      </c>
      <c r="G103" s="46">
        <f t="shared" si="42"/>
        <v>93597</v>
      </c>
      <c r="H103" s="46"/>
      <c r="I103" s="117"/>
      <c r="J103" s="124"/>
      <c r="K103" s="133">
        <v>25000</v>
      </c>
      <c r="L103" s="133"/>
      <c r="M103" s="133"/>
      <c r="N103" s="133">
        <v>20000</v>
      </c>
      <c r="O103" s="133">
        <v>48597</v>
      </c>
      <c r="P103" s="133"/>
      <c r="Q103" s="133"/>
      <c r="R103" s="83"/>
      <c r="S103" s="83"/>
      <c r="T103" s="114">
        <f>91606.49865+1990.25083</f>
        <v>93596.749479999999</v>
      </c>
      <c r="U103" s="114">
        <f t="shared" si="59"/>
        <v>25000</v>
      </c>
      <c r="V103" s="121">
        <v>25000</v>
      </c>
      <c r="W103" s="125" t="s">
        <v>169</v>
      </c>
      <c r="X103" s="13"/>
      <c r="Y103" s="13"/>
      <c r="Z103" s="13"/>
      <c r="AA103" s="42"/>
      <c r="AB103" s="17"/>
      <c r="AC103" s="13"/>
    </row>
    <row r="104" spans="1:29" s="9" customFormat="1" ht="42.75" customHeight="1" x14ac:dyDescent="0.2">
      <c r="A104" s="8"/>
      <c r="B104" s="59"/>
      <c r="C104" s="70" t="s">
        <v>44</v>
      </c>
      <c r="D104" s="70" t="s">
        <v>43</v>
      </c>
      <c r="E104" s="70" t="s">
        <v>41</v>
      </c>
      <c r="F104" s="81" t="s">
        <v>214</v>
      </c>
      <c r="G104" s="129">
        <f t="shared" si="42"/>
        <v>150000</v>
      </c>
      <c r="H104" s="129"/>
      <c r="I104" s="129"/>
      <c r="J104" s="129"/>
      <c r="K104" s="133"/>
      <c r="L104" s="133"/>
      <c r="M104" s="114">
        <f>50000-50000</f>
        <v>0</v>
      </c>
      <c r="N104" s="133"/>
      <c r="O104" s="114">
        <v>50000</v>
      </c>
      <c r="P104" s="133"/>
      <c r="Q104" s="133"/>
      <c r="R104" s="83"/>
      <c r="S104" s="83">
        <f>150000-50000</f>
        <v>100000</v>
      </c>
      <c r="T104" s="114">
        <f>146448</f>
        <v>146448</v>
      </c>
      <c r="U104" s="114">
        <f t="shared" si="59"/>
        <v>0</v>
      </c>
      <c r="V104" s="121">
        <f>49548.135</f>
        <v>49548.135000000002</v>
      </c>
      <c r="W104" s="125" t="s">
        <v>222</v>
      </c>
      <c r="X104" s="13"/>
      <c r="Y104" s="13"/>
      <c r="Z104" s="13"/>
      <c r="AA104" s="42"/>
      <c r="AB104" s="17"/>
      <c r="AC104" s="13"/>
    </row>
    <row r="105" spans="1:29" s="6" customFormat="1" x14ac:dyDescent="0.2">
      <c r="A105" s="7"/>
      <c r="B105" s="59"/>
      <c r="C105" s="62"/>
      <c r="D105" s="47"/>
      <c r="E105" s="70"/>
      <c r="F105" s="78" t="s">
        <v>32</v>
      </c>
      <c r="G105" s="79">
        <f t="shared" si="42"/>
        <v>501559</v>
      </c>
      <c r="H105" s="80">
        <f t="shared" ref="H105:S105" si="60">SUM(H106:H109)</f>
        <v>0</v>
      </c>
      <c r="I105" s="80">
        <f t="shared" si="60"/>
        <v>0</v>
      </c>
      <c r="J105" s="80">
        <f t="shared" si="60"/>
        <v>0</v>
      </c>
      <c r="K105" s="80">
        <f t="shared" si="60"/>
        <v>30000</v>
      </c>
      <c r="L105" s="80">
        <f t="shared" si="60"/>
        <v>80000</v>
      </c>
      <c r="M105" s="80">
        <f t="shared" si="60"/>
        <v>276559</v>
      </c>
      <c r="N105" s="80">
        <f t="shared" si="60"/>
        <v>25000</v>
      </c>
      <c r="O105" s="80">
        <f t="shared" si="60"/>
        <v>90000</v>
      </c>
      <c r="P105" s="80">
        <f t="shared" si="60"/>
        <v>0</v>
      </c>
      <c r="Q105" s="80">
        <f t="shared" si="60"/>
        <v>0</v>
      </c>
      <c r="R105" s="80">
        <f t="shared" si="60"/>
        <v>0</v>
      </c>
      <c r="S105" s="80">
        <f t="shared" si="60"/>
        <v>0</v>
      </c>
      <c r="T105" s="80">
        <f t="shared" ref="T105:U105" si="61">SUM(T106:T109)</f>
        <v>495549.93301000004</v>
      </c>
      <c r="U105" s="80">
        <f t="shared" si="61"/>
        <v>386559</v>
      </c>
      <c r="V105" s="80">
        <f t="shared" ref="V105" si="62">SUM(V106:V109)</f>
        <v>386559</v>
      </c>
      <c r="W105" s="35"/>
      <c r="X105" s="126"/>
      <c r="Y105" s="31"/>
      <c r="Z105" s="31"/>
      <c r="AA105" s="32"/>
      <c r="AB105" s="32"/>
      <c r="AC105" s="31"/>
    </row>
    <row r="106" spans="1:29" s="9" customFormat="1" ht="55.5" customHeight="1" x14ac:dyDescent="0.2">
      <c r="A106" s="8"/>
      <c r="B106" s="59"/>
      <c r="C106" s="70" t="s">
        <v>44</v>
      </c>
      <c r="D106" s="70" t="s">
        <v>80</v>
      </c>
      <c r="E106" s="70" t="s">
        <v>41</v>
      </c>
      <c r="F106" s="104" t="s">
        <v>115</v>
      </c>
      <c r="G106" s="46">
        <f>SUM(H106:S106)</f>
        <v>300000</v>
      </c>
      <c r="H106" s="50"/>
      <c r="I106" s="50"/>
      <c r="J106" s="50"/>
      <c r="K106" s="50">
        <v>30000</v>
      </c>
      <c r="L106" s="50">
        <v>50000</v>
      </c>
      <c r="M106" s="50">
        <f>20000+110000</f>
        <v>130000</v>
      </c>
      <c r="N106" s="50"/>
      <c r="O106" s="50">
        <v>90000</v>
      </c>
      <c r="P106" s="50"/>
      <c r="Q106" s="50"/>
      <c r="R106" s="83"/>
      <c r="S106" s="83"/>
      <c r="T106" s="121">
        <f>50000+227410.11363+16580.81938</f>
        <v>293990.93301000004</v>
      </c>
      <c r="U106" s="114">
        <f t="shared" ref="U106:U109" si="63">SUM(H106:M106)</f>
        <v>210000</v>
      </c>
      <c r="V106" s="121">
        <f>50000+160000</f>
        <v>210000</v>
      </c>
      <c r="W106" s="109" t="s">
        <v>170</v>
      </c>
      <c r="X106" s="13"/>
      <c r="Y106" s="13"/>
      <c r="Z106" s="13"/>
      <c r="AA106" s="42"/>
      <c r="AB106" s="17"/>
      <c r="AC106" s="13"/>
    </row>
    <row r="107" spans="1:29" s="9" customFormat="1" ht="55.5" customHeight="1" x14ac:dyDescent="0.2">
      <c r="A107" s="8"/>
      <c r="B107" s="59"/>
      <c r="C107" s="70" t="s">
        <v>44</v>
      </c>
      <c r="D107" s="70" t="s">
        <v>80</v>
      </c>
      <c r="E107" s="70" t="s">
        <v>41</v>
      </c>
      <c r="F107" s="104" t="s">
        <v>116</v>
      </c>
      <c r="G107" s="46">
        <f>SUM(H107:S107)</f>
        <v>100000</v>
      </c>
      <c r="H107" s="50"/>
      <c r="I107" s="50"/>
      <c r="J107" s="50"/>
      <c r="K107" s="50"/>
      <c r="L107" s="50">
        <v>30000</v>
      </c>
      <c r="M107" s="50">
        <f>30000+40000</f>
        <v>70000</v>
      </c>
      <c r="N107" s="50"/>
      <c r="O107" s="50"/>
      <c r="P107" s="50"/>
      <c r="Q107" s="50"/>
      <c r="R107" s="133"/>
      <c r="S107" s="133"/>
      <c r="T107" s="121">
        <f>96007.16082+3992.83918</f>
        <v>100000</v>
      </c>
      <c r="U107" s="114">
        <f t="shared" si="63"/>
        <v>100000</v>
      </c>
      <c r="V107" s="121">
        <f>96007.16082+3992.83918</f>
        <v>100000</v>
      </c>
      <c r="W107" s="109" t="s">
        <v>170</v>
      </c>
      <c r="X107" s="13"/>
      <c r="Y107" s="13"/>
      <c r="Z107" s="13"/>
      <c r="AA107" s="42"/>
      <c r="AB107" s="17"/>
      <c r="AC107" s="13"/>
    </row>
    <row r="108" spans="1:29" s="9" customFormat="1" ht="36.75" customHeight="1" x14ac:dyDescent="0.2">
      <c r="A108" s="8"/>
      <c r="B108" s="59"/>
      <c r="C108" s="70" t="s">
        <v>44</v>
      </c>
      <c r="D108" s="70" t="s">
        <v>68</v>
      </c>
      <c r="E108" s="70" t="s">
        <v>41</v>
      </c>
      <c r="F108" s="81" t="s">
        <v>70</v>
      </c>
      <c r="G108" s="129">
        <f>SUM(H108:S108)</f>
        <v>51559</v>
      </c>
      <c r="H108" s="50"/>
      <c r="I108" s="50"/>
      <c r="J108" s="50"/>
      <c r="K108" s="50"/>
      <c r="L108" s="50"/>
      <c r="M108" s="50">
        <v>51559</v>
      </c>
      <c r="N108" s="50"/>
      <c r="O108" s="50"/>
      <c r="P108" s="50"/>
      <c r="Q108" s="50"/>
      <c r="R108" s="133"/>
      <c r="S108" s="133"/>
      <c r="T108" s="121">
        <v>51559</v>
      </c>
      <c r="U108" s="114">
        <f t="shared" si="63"/>
        <v>51559</v>
      </c>
      <c r="V108" s="121">
        <v>51559</v>
      </c>
      <c r="W108" s="109" t="s">
        <v>223</v>
      </c>
      <c r="X108" s="13"/>
      <c r="Y108" s="13"/>
      <c r="Z108" s="13"/>
      <c r="AA108" s="42"/>
      <c r="AB108" s="17"/>
      <c r="AC108" s="13"/>
    </row>
    <row r="109" spans="1:29" s="9" customFormat="1" ht="27" customHeight="1" x14ac:dyDescent="0.2">
      <c r="A109" s="8"/>
      <c r="B109" s="59"/>
      <c r="C109" s="70" t="s">
        <v>44</v>
      </c>
      <c r="D109" s="70" t="s">
        <v>43</v>
      </c>
      <c r="E109" s="70" t="s">
        <v>41</v>
      </c>
      <c r="F109" s="81" t="s">
        <v>117</v>
      </c>
      <c r="G109" s="46">
        <f t="shared" ref="G109" si="64">SUM(H109:S109)</f>
        <v>50000</v>
      </c>
      <c r="H109" s="50"/>
      <c r="I109" s="50"/>
      <c r="J109" s="50"/>
      <c r="K109" s="50"/>
      <c r="L109" s="50"/>
      <c r="M109" s="50">
        <v>25000</v>
      </c>
      <c r="N109" s="50">
        <v>25000</v>
      </c>
      <c r="O109" s="50"/>
      <c r="P109" s="50"/>
      <c r="Q109" s="50"/>
      <c r="R109" s="133"/>
      <c r="S109" s="133"/>
      <c r="T109" s="121">
        <v>50000</v>
      </c>
      <c r="U109" s="114">
        <f t="shared" si="63"/>
        <v>25000</v>
      </c>
      <c r="V109" s="121">
        <v>25000</v>
      </c>
      <c r="W109" s="109" t="s">
        <v>210</v>
      </c>
      <c r="X109" s="13"/>
      <c r="Y109" s="13"/>
      <c r="Z109" s="13"/>
      <c r="AA109" s="42"/>
      <c r="AB109" s="17"/>
      <c r="AC109" s="13"/>
    </row>
    <row r="110" spans="1:29" s="9" customFormat="1" x14ac:dyDescent="0.2">
      <c r="A110" s="8"/>
      <c r="B110" s="59"/>
      <c r="C110" s="62"/>
      <c r="D110" s="47"/>
      <c r="E110" s="70"/>
      <c r="F110" s="89" t="s">
        <v>56</v>
      </c>
      <c r="G110" s="79">
        <f t="shared" ref="G110:G111" si="65">SUM(H110:S110)</f>
        <v>370000</v>
      </c>
      <c r="H110" s="80">
        <f t="shared" ref="H110:S110" si="66">SUM(H111:H114)</f>
        <v>0</v>
      </c>
      <c r="I110" s="80">
        <f t="shared" si="66"/>
        <v>0</v>
      </c>
      <c r="J110" s="80">
        <f t="shared" si="66"/>
        <v>29130</v>
      </c>
      <c r="K110" s="80">
        <f t="shared" si="66"/>
        <v>96651</v>
      </c>
      <c r="L110" s="80">
        <f t="shared" si="66"/>
        <v>49522</v>
      </c>
      <c r="M110" s="80">
        <f t="shared" si="66"/>
        <v>35000</v>
      </c>
      <c r="N110" s="80">
        <f t="shared" si="66"/>
        <v>80549</v>
      </c>
      <c r="O110" s="80">
        <f t="shared" si="66"/>
        <v>79148</v>
      </c>
      <c r="P110" s="80">
        <f t="shared" si="66"/>
        <v>0</v>
      </c>
      <c r="Q110" s="80">
        <f t="shared" si="66"/>
        <v>0</v>
      </c>
      <c r="R110" s="80">
        <f t="shared" si="66"/>
        <v>0</v>
      </c>
      <c r="S110" s="80">
        <f t="shared" si="66"/>
        <v>0</v>
      </c>
      <c r="T110" s="80">
        <f t="shared" ref="T110:U110" si="67">SUM(T111:T114)</f>
        <v>366820.00047999999</v>
      </c>
      <c r="U110" s="80">
        <f t="shared" si="67"/>
        <v>210303</v>
      </c>
      <c r="V110" s="80">
        <f t="shared" ref="V110" si="68">SUM(V111:V114)</f>
        <v>210301.03604000001</v>
      </c>
      <c r="W110" s="35"/>
      <c r="X110" s="13"/>
      <c r="Y110" s="13"/>
      <c r="Z110" s="13"/>
      <c r="AA110" s="42"/>
      <c r="AB110" s="17"/>
      <c r="AC110" s="13"/>
    </row>
    <row r="111" spans="1:29" s="9" customFormat="1" ht="60" customHeight="1" x14ac:dyDescent="0.2">
      <c r="A111" s="8"/>
      <c r="B111" s="59"/>
      <c r="C111" s="70" t="s">
        <v>44</v>
      </c>
      <c r="D111" s="70" t="s">
        <v>42</v>
      </c>
      <c r="E111" s="70" t="s">
        <v>41</v>
      </c>
      <c r="F111" s="104" t="s">
        <v>118</v>
      </c>
      <c r="G111" s="46">
        <f t="shared" si="65"/>
        <v>100000</v>
      </c>
      <c r="H111" s="82"/>
      <c r="I111" s="82"/>
      <c r="J111" s="82"/>
      <c r="K111" s="82">
        <f>30000+66651</f>
        <v>96651</v>
      </c>
      <c r="L111" s="82"/>
      <c r="M111" s="82"/>
      <c r="N111" s="134">
        <f>3349-3349</f>
        <v>0</v>
      </c>
      <c r="O111" s="134">
        <v>3349</v>
      </c>
      <c r="P111" s="82"/>
      <c r="Q111" s="82"/>
      <c r="R111" s="83"/>
      <c r="S111" s="83"/>
      <c r="T111" s="134">
        <f>91309+8691</f>
        <v>100000</v>
      </c>
      <c r="U111" s="114">
        <f t="shared" ref="U111:U114" si="69">SUM(H111:M111)</f>
        <v>96651</v>
      </c>
      <c r="V111" s="121">
        <f>91309+5341.0359</f>
        <v>96650.035900000003</v>
      </c>
      <c r="W111" s="109" t="s">
        <v>171</v>
      </c>
      <c r="X111" s="13"/>
      <c r="Y111" s="13"/>
      <c r="Z111" s="13"/>
      <c r="AA111" s="42"/>
      <c r="AB111" s="17"/>
      <c r="AC111" s="13"/>
    </row>
    <row r="112" spans="1:29" s="9" customFormat="1" ht="60" customHeight="1" x14ac:dyDescent="0.2">
      <c r="A112" s="8"/>
      <c r="B112" s="59"/>
      <c r="C112" s="70" t="s">
        <v>44</v>
      </c>
      <c r="D112" s="70" t="s">
        <v>42</v>
      </c>
      <c r="E112" s="70" t="s">
        <v>41</v>
      </c>
      <c r="F112" s="104" t="s">
        <v>119</v>
      </c>
      <c r="G112" s="46">
        <f>SUM(H112:S112)</f>
        <v>100000</v>
      </c>
      <c r="H112" s="82"/>
      <c r="I112" s="82"/>
      <c r="J112" s="82">
        <f>30000-870</f>
        <v>29130</v>
      </c>
      <c r="K112" s="82"/>
      <c r="L112" s="133"/>
      <c r="M112" s="82">
        <v>35000</v>
      </c>
      <c r="N112" s="134">
        <f>20870+15000-2900</f>
        <v>32970</v>
      </c>
      <c r="O112" s="134">
        <v>2900</v>
      </c>
      <c r="P112" s="82"/>
      <c r="Q112" s="82"/>
      <c r="R112" s="83"/>
      <c r="S112" s="83"/>
      <c r="T112" s="134">
        <f>97100</f>
        <v>97100</v>
      </c>
      <c r="U112" s="114">
        <f t="shared" si="69"/>
        <v>64130</v>
      </c>
      <c r="V112" s="121">
        <v>64130</v>
      </c>
      <c r="W112" s="109" t="s">
        <v>164</v>
      </c>
      <c r="X112" s="13"/>
      <c r="Y112" s="13"/>
      <c r="Z112" s="13"/>
      <c r="AA112" s="42"/>
      <c r="AB112" s="17"/>
      <c r="AC112" s="13"/>
    </row>
    <row r="113" spans="1:29" s="9" customFormat="1" ht="41.25" customHeight="1" x14ac:dyDescent="0.2">
      <c r="A113" s="8"/>
      <c r="B113" s="59"/>
      <c r="C113" s="70" t="s">
        <v>44</v>
      </c>
      <c r="D113" s="70" t="s">
        <v>43</v>
      </c>
      <c r="E113" s="70" t="s">
        <v>41</v>
      </c>
      <c r="F113" s="81" t="s">
        <v>120</v>
      </c>
      <c r="G113" s="46">
        <f>SUM(H113:S113)</f>
        <v>100000</v>
      </c>
      <c r="H113" s="82"/>
      <c r="I113" s="82"/>
      <c r="J113" s="82"/>
      <c r="K113" s="82"/>
      <c r="L113" s="82">
        <v>29130</v>
      </c>
      <c r="M113" s="82"/>
      <c r="N113" s="134">
        <f>30000-30000</f>
        <v>0</v>
      </c>
      <c r="O113" s="134">
        <f>50000-9130+30000</f>
        <v>70870</v>
      </c>
      <c r="P113" s="82"/>
      <c r="Q113" s="82"/>
      <c r="R113" s="83"/>
      <c r="S113" s="83"/>
      <c r="T113" s="134">
        <f>97100+2900</f>
        <v>100000</v>
      </c>
      <c r="U113" s="114">
        <f t="shared" si="69"/>
        <v>29130</v>
      </c>
      <c r="V113" s="121">
        <v>29130</v>
      </c>
      <c r="W113" s="109" t="s">
        <v>173</v>
      </c>
      <c r="X113" s="13"/>
      <c r="Y113" s="13"/>
      <c r="Z113" s="13"/>
      <c r="AA113" s="42"/>
      <c r="AB113" s="17"/>
      <c r="AC113" s="13"/>
    </row>
    <row r="114" spans="1:29" s="9" customFormat="1" ht="45.75" customHeight="1" x14ac:dyDescent="0.2">
      <c r="A114" s="8"/>
      <c r="B114" s="59"/>
      <c r="C114" s="70" t="s">
        <v>44</v>
      </c>
      <c r="D114" s="70" t="s">
        <v>43</v>
      </c>
      <c r="E114" s="70" t="s">
        <v>41</v>
      </c>
      <c r="F114" s="81" t="s">
        <v>121</v>
      </c>
      <c r="G114" s="46">
        <f>SUM(H114:S114)</f>
        <v>70000</v>
      </c>
      <c r="H114" s="82"/>
      <c r="I114" s="82"/>
      <c r="J114" s="82"/>
      <c r="K114" s="82"/>
      <c r="L114" s="133">
        <f>24000-3608</f>
        <v>20392</v>
      </c>
      <c r="M114" s="82"/>
      <c r="N114" s="134">
        <f>21000+28608-2029</f>
        <v>47579</v>
      </c>
      <c r="O114" s="134">
        <v>2029</v>
      </c>
      <c r="P114" s="82"/>
      <c r="Q114" s="82"/>
      <c r="R114" s="83"/>
      <c r="S114" s="83"/>
      <c r="T114" s="134">
        <v>69720.000480000002</v>
      </c>
      <c r="U114" s="114">
        <f t="shared" si="69"/>
        <v>20392</v>
      </c>
      <c r="V114" s="121">
        <v>20391.00014</v>
      </c>
      <c r="W114" s="109" t="s">
        <v>175</v>
      </c>
      <c r="X114" s="13"/>
      <c r="Y114" s="13"/>
      <c r="Z114" s="13"/>
      <c r="AA114" s="42"/>
      <c r="AB114" s="17"/>
      <c r="AC114" s="13"/>
    </row>
    <row r="115" spans="1:29" s="6" customFormat="1" x14ac:dyDescent="0.2">
      <c r="A115" s="7"/>
      <c r="B115" s="59"/>
      <c r="C115" s="62"/>
      <c r="D115" s="47"/>
      <c r="E115" s="70"/>
      <c r="F115" s="89" t="s">
        <v>29</v>
      </c>
      <c r="G115" s="79">
        <f t="shared" si="42"/>
        <v>795287.5</v>
      </c>
      <c r="H115" s="80">
        <f t="shared" ref="H115:V115" si="70">SUM(H116:H120)</f>
        <v>0</v>
      </c>
      <c r="I115" s="80">
        <f t="shared" si="70"/>
        <v>76272</v>
      </c>
      <c r="J115" s="80">
        <f t="shared" si="70"/>
        <v>218500</v>
      </c>
      <c r="K115" s="80">
        <f t="shared" si="70"/>
        <v>120637.6</v>
      </c>
      <c r="L115" s="80">
        <f t="shared" si="70"/>
        <v>33605</v>
      </c>
      <c r="M115" s="80">
        <f t="shared" si="70"/>
        <v>52040</v>
      </c>
      <c r="N115" s="80">
        <f t="shared" si="70"/>
        <v>181416.9</v>
      </c>
      <c r="O115" s="80">
        <f t="shared" si="70"/>
        <v>112816</v>
      </c>
      <c r="P115" s="80">
        <f t="shared" si="70"/>
        <v>0</v>
      </c>
      <c r="Q115" s="80">
        <f t="shared" si="70"/>
        <v>0</v>
      </c>
      <c r="R115" s="80">
        <f t="shared" si="70"/>
        <v>0</v>
      </c>
      <c r="S115" s="80">
        <f t="shared" si="70"/>
        <v>0</v>
      </c>
      <c r="T115" s="80">
        <f t="shared" si="70"/>
        <v>713487.20798000006</v>
      </c>
      <c r="U115" s="80">
        <f t="shared" si="70"/>
        <v>501054.6</v>
      </c>
      <c r="V115" s="80">
        <f t="shared" si="70"/>
        <v>503214.59912999999</v>
      </c>
      <c r="W115" s="35"/>
      <c r="X115" s="126"/>
      <c r="Y115" s="31"/>
      <c r="Z115" s="31"/>
      <c r="AA115" s="32"/>
      <c r="AB115" s="32"/>
      <c r="AC115" s="31"/>
    </row>
    <row r="116" spans="1:29" s="9" customFormat="1" ht="61.5" customHeight="1" x14ac:dyDescent="0.2">
      <c r="A116" s="8"/>
      <c r="B116" s="59"/>
      <c r="C116" s="70" t="s">
        <v>44</v>
      </c>
      <c r="D116" s="70" t="s">
        <v>42</v>
      </c>
      <c r="E116" s="70" t="s">
        <v>41</v>
      </c>
      <c r="F116" s="104" t="s">
        <v>122</v>
      </c>
      <c r="G116" s="46">
        <f>SUM(H116:S116)</f>
        <v>200000</v>
      </c>
      <c r="H116" s="82"/>
      <c r="I116" s="82"/>
      <c r="J116" s="82">
        <v>200000</v>
      </c>
      <c r="K116" s="82"/>
      <c r="L116" s="82"/>
      <c r="M116" s="82"/>
      <c r="N116" s="82"/>
      <c r="O116" s="82"/>
      <c r="P116" s="82"/>
      <c r="Q116" s="82"/>
      <c r="R116" s="82"/>
      <c r="S116" s="83"/>
      <c r="T116" s="134">
        <f>194199.99988+5000</f>
        <v>199199.99987999999</v>
      </c>
      <c r="U116" s="114">
        <f t="shared" ref="U116:U120" si="71">SUM(H116:M116)</f>
        <v>200000</v>
      </c>
      <c r="V116" s="134">
        <f>194199.99988+5000</f>
        <v>199199.99987999999</v>
      </c>
      <c r="W116" s="109" t="s">
        <v>157</v>
      </c>
      <c r="X116" s="13"/>
      <c r="Y116" s="13"/>
      <c r="Z116" s="13"/>
      <c r="AA116" s="42"/>
      <c r="AB116" s="17"/>
      <c r="AC116" s="13"/>
    </row>
    <row r="117" spans="1:29" s="9" customFormat="1" ht="61.5" customHeight="1" x14ac:dyDescent="0.2">
      <c r="A117" s="8"/>
      <c r="B117" s="59"/>
      <c r="C117" s="70" t="s">
        <v>44</v>
      </c>
      <c r="D117" s="70" t="s">
        <v>42</v>
      </c>
      <c r="E117" s="70" t="s">
        <v>41</v>
      </c>
      <c r="F117" s="104" t="s">
        <v>123</v>
      </c>
      <c r="G117" s="46">
        <f>SUM(H117:S117)</f>
        <v>250000</v>
      </c>
      <c r="H117" s="82"/>
      <c r="I117" s="84"/>
      <c r="J117" s="84"/>
      <c r="K117" s="84">
        <f>50000-7105</f>
        <v>42895</v>
      </c>
      <c r="L117" s="84">
        <f>45000+7105</f>
        <v>52105</v>
      </c>
      <c r="M117" s="136">
        <f>40000+55000-42960</f>
        <v>52040</v>
      </c>
      <c r="N117" s="136">
        <f>30000+42960-40800</f>
        <v>32160</v>
      </c>
      <c r="O117" s="136">
        <f>85000-55000+40800</f>
        <v>70800</v>
      </c>
      <c r="P117" s="84"/>
      <c r="Q117" s="84"/>
      <c r="R117" s="84"/>
      <c r="S117" s="83"/>
      <c r="T117" s="134">
        <f>145649.99904+4350+97099.999+2900</f>
        <v>249999.99803999998</v>
      </c>
      <c r="U117" s="114">
        <f t="shared" si="71"/>
        <v>147040</v>
      </c>
      <c r="V117" s="134">
        <f>145649.99904+4350</f>
        <v>149999.99904</v>
      </c>
      <c r="W117" s="111" t="s">
        <v>170</v>
      </c>
      <c r="X117" s="13"/>
      <c r="Y117" s="13"/>
      <c r="Z117" s="13"/>
      <c r="AA117" s="42"/>
      <c r="AB117" s="17"/>
      <c r="AC117" s="13"/>
    </row>
    <row r="118" spans="1:29" s="9" customFormat="1" ht="61.5" customHeight="1" x14ac:dyDescent="0.2">
      <c r="A118" s="8"/>
      <c r="B118" s="59"/>
      <c r="C118" s="70" t="s">
        <v>44</v>
      </c>
      <c r="D118" s="70" t="s">
        <v>42</v>
      </c>
      <c r="E118" s="70" t="s">
        <v>41</v>
      </c>
      <c r="F118" s="104" t="s">
        <v>124</v>
      </c>
      <c r="G118" s="46">
        <f t="shared" ref="G118:G120" si="72">SUM(H118:S118)</f>
        <v>126306</v>
      </c>
      <c r="H118" s="82"/>
      <c r="I118" s="82"/>
      <c r="J118" s="82"/>
      <c r="K118" s="82">
        <f>40000+37742.6</f>
        <v>77742.600000000006</v>
      </c>
      <c r="L118" s="82"/>
      <c r="M118" s="82"/>
      <c r="N118" s="82">
        <f>52000-37742.6</f>
        <v>14257.400000000001</v>
      </c>
      <c r="O118" s="82">
        <v>34306</v>
      </c>
      <c r="P118" s="82"/>
      <c r="Q118" s="82"/>
      <c r="R118" s="82"/>
      <c r="S118" s="83"/>
      <c r="T118" s="134">
        <f>122643.12512+3662.874</f>
        <v>126305.99911999999</v>
      </c>
      <c r="U118" s="114">
        <f t="shared" si="71"/>
        <v>77742.600000000006</v>
      </c>
      <c r="V118" s="121">
        <v>77742.600409999999</v>
      </c>
      <c r="W118" s="111" t="s">
        <v>174</v>
      </c>
      <c r="X118" s="13"/>
      <c r="Y118" s="13"/>
      <c r="Z118" s="13"/>
      <c r="AA118" s="42"/>
      <c r="AB118" s="17"/>
      <c r="AC118" s="13"/>
    </row>
    <row r="119" spans="1:29" s="9" customFormat="1" ht="42" customHeight="1" x14ac:dyDescent="0.2">
      <c r="A119" s="8"/>
      <c r="B119" s="59"/>
      <c r="C119" s="70" t="s">
        <v>44</v>
      </c>
      <c r="D119" s="70" t="s">
        <v>43</v>
      </c>
      <c r="E119" s="70" t="s">
        <v>41</v>
      </c>
      <c r="F119" s="81" t="s">
        <v>125</v>
      </c>
      <c r="G119" s="46">
        <f t="shared" si="72"/>
        <v>157271.5</v>
      </c>
      <c r="H119" s="82"/>
      <c r="I119" s="82">
        <v>76272</v>
      </c>
      <c r="J119" s="82"/>
      <c r="K119" s="82"/>
      <c r="L119" s="82"/>
      <c r="M119" s="82"/>
      <c r="N119" s="82">
        <v>80999.5</v>
      </c>
      <c r="O119" s="82"/>
      <c r="P119" s="82"/>
      <c r="Q119" s="82"/>
      <c r="R119" s="83"/>
      <c r="S119" s="83"/>
      <c r="T119" s="134">
        <f>73953.3312+2318.6688</f>
        <v>76272</v>
      </c>
      <c r="U119" s="114">
        <f t="shared" si="71"/>
        <v>76272</v>
      </c>
      <c r="V119" s="121">
        <v>76271.999800000005</v>
      </c>
      <c r="W119" s="109" t="s">
        <v>170</v>
      </c>
      <c r="X119" s="13"/>
      <c r="Y119" s="13"/>
      <c r="Z119" s="13"/>
      <c r="AA119" s="42"/>
      <c r="AB119" s="17"/>
      <c r="AC119" s="13"/>
    </row>
    <row r="120" spans="1:29" s="9" customFormat="1" ht="44.25" customHeight="1" x14ac:dyDescent="0.2">
      <c r="A120" s="8"/>
      <c r="B120" s="59"/>
      <c r="C120" s="70" t="s">
        <v>44</v>
      </c>
      <c r="D120" s="70" t="s">
        <v>43</v>
      </c>
      <c r="E120" s="70" t="s">
        <v>41</v>
      </c>
      <c r="F120" s="81" t="s">
        <v>126</v>
      </c>
      <c r="G120" s="46">
        <f t="shared" si="72"/>
        <v>61710</v>
      </c>
      <c r="H120" s="82"/>
      <c r="I120" s="82"/>
      <c r="J120" s="82">
        <v>18500</v>
      </c>
      <c r="K120" s="82"/>
      <c r="L120" s="82">
        <v>-18500</v>
      </c>
      <c r="M120" s="82"/>
      <c r="N120" s="82">
        <f>10000+44000</f>
        <v>54000</v>
      </c>
      <c r="O120" s="82">
        <f>51710-44000</f>
        <v>7710</v>
      </c>
      <c r="P120" s="82"/>
      <c r="Q120" s="82"/>
      <c r="R120" s="83"/>
      <c r="S120" s="83"/>
      <c r="T120" s="134">
        <f>61709.21094</f>
        <v>61709.210939999997</v>
      </c>
      <c r="U120" s="114">
        <f t="shared" si="71"/>
        <v>0</v>
      </c>
      <c r="V120" s="121">
        <v>0</v>
      </c>
      <c r="W120" s="109" t="s">
        <v>172</v>
      </c>
      <c r="X120" s="13"/>
      <c r="Y120" s="13"/>
      <c r="Z120" s="13"/>
      <c r="AA120" s="42"/>
      <c r="AB120" s="17"/>
      <c r="AC120" s="13"/>
    </row>
    <row r="121" spans="1:29" s="6" customFormat="1" ht="15.75" x14ac:dyDescent="0.2">
      <c r="A121" s="7"/>
      <c r="B121" s="59"/>
      <c r="C121" s="70"/>
      <c r="D121" s="70"/>
      <c r="E121" s="70"/>
      <c r="F121" s="78" t="s">
        <v>47</v>
      </c>
      <c r="G121" s="79">
        <f>SUM(H121:S121)</f>
        <v>515000</v>
      </c>
      <c r="H121" s="80">
        <f t="shared" ref="H121:S121" si="73">SUM(H122:H127)</f>
        <v>0</v>
      </c>
      <c r="I121" s="80">
        <f t="shared" si="73"/>
        <v>34000</v>
      </c>
      <c r="J121" s="80">
        <f t="shared" si="73"/>
        <v>35000</v>
      </c>
      <c r="K121" s="80">
        <f t="shared" si="73"/>
        <v>14500</v>
      </c>
      <c r="L121" s="80">
        <f t="shared" si="73"/>
        <v>68970.5</v>
      </c>
      <c r="M121" s="80">
        <f t="shared" si="73"/>
        <v>9880.9</v>
      </c>
      <c r="N121" s="80">
        <f t="shared" si="73"/>
        <v>97010.5</v>
      </c>
      <c r="O121" s="80">
        <f t="shared" si="73"/>
        <v>165638.1</v>
      </c>
      <c r="P121" s="80">
        <f t="shared" si="73"/>
        <v>24000</v>
      </c>
      <c r="Q121" s="80">
        <f t="shared" si="73"/>
        <v>56000</v>
      </c>
      <c r="R121" s="80">
        <f t="shared" si="73"/>
        <v>0</v>
      </c>
      <c r="S121" s="80">
        <f t="shared" si="73"/>
        <v>10000</v>
      </c>
      <c r="T121" s="80">
        <f t="shared" ref="T121:U121" si="74">SUM(T122:T127)</f>
        <v>388718.40064999997</v>
      </c>
      <c r="U121" s="80">
        <f t="shared" si="74"/>
        <v>162351.4</v>
      </c>
      <c r="V121" s="80">
        <f t="shared" ref="V121" si="75">SUM(V122:V127)</f>
        <v>162350.66667999999</v>
      </c>
      <c r="W121" s="35"/>
      <c r="X121" s="137"/>
      <c r="Y121" s="33"/>
      <c r="Z121" s="33"/>
      <c r="AA121" s="33"/>
      <c r="AB121" s="32"/>
      <c r="AC121" s="31"/>
    </row>
    <row r="122" spans="1:29" s="9" customFormat="1" ht="40.5" customHeight="1" x14ac:dyDescent="0.2">
      <c r="A122" s="8"/>
      <c r="B122" s="59"/>
      <c r="C122" s="70" t="s">
        <v>44</v>
      </c>
      <c r="D122" s="70" t="s">
        <v>68</v>
      </c>
      <c r="E122" s="70" t="s">
        <v>41</v>
      </c>
      <c r="F122" s="81" t="s">
        <v>70</v>
      </c>
      <c r="G122" s="46">
        <f t="shared" ref="G122:G123" si="76">SUM(H122:S122)</f>
        <v>100000</v>
      </c>
      <c r="H122" s="82"/>
      <c r="I122" s="82">
        <f>10000+9000</f>
        <v>19000</v>
      </c>
      <c r="J122" s="82">
        <f>8000+24881</f>
        <v>32881</v>
      </c>
      <c r="K122" s="82">
        <f>9000+2000</f>
        <v>11000</v>
      </c>
      <c r="L122" s="82">
        <f>9000-4000</f>
        <v>5000</v>
      </c>
      <c r="M122" s="82">
        <f>9000-6119.1</f>
        <v>2880.8999999999996</v>
      </c>
      <c r="N122" s="134">
        <f>9000+6119.1-14519.1</f>
        <v>600</v>
      </c>
      <c r="O122" s="134">
        <f>9000-4881+14519.1</f>
        <v>18638.099999999999</v>
      </c>
      <c r="P122" s="82"/>
      <c r="Q122" s="82"/>
      <c r="R122" s="82"/>
      <c r="S122" s="82">
        <v>10000</v>
      </c>
      <c r="T122" s="134">
        <v>71361.869149999999</v>
      </c>
      <c r="U122" s="114">
        <f t="shared" ref="U122:U127" si="77">SUM(H122:M122)</f>
        <v>70761.899999999994</v>
      </c>
      <c r="V122" s="121">
        <v>70761.899149999997</v>
      </c>
      <c r="W122" s="109" t="s">
        <v>224</v>
      </c>
      <c r="X122" s="13"/>
      <c r="Y122" s="13"/>
      <c r="Z122" s="13"/>
      <c r="AA122" s="42"/>
      <c r="AB122" s="17"/>
      <c r="AC122" s="13"/>
    </row>
    <row r="123" spans="1:29" s="9" customFormat="1" ht="40.5" customHeight="1" x14ac:dyDescent="0.2">
      <c r="A123" s="8"/>
      <c r="B123" s="59"/>
      <c r="C123" s="70" t="s">
        <v>44</v>
      </c>
      <c r="D123" s="70" t="s">
        <v>68</v>
      </c>
      <c r="E123" s="70" t="s">
        <v>41</v>
      </c>
      <c r="F123" s="81" t="s">
        <v>218</v>
      </c>
      <c r="G123" s="129">
        <f t="shared" si="76"/>
        <v>91000</v>
      </c>
      <c r="H123" s="82"/>
      <c r="I123" s="82"/>
      <c r="J123" s="82"/>
      <c r="K123" s="82"/>
      <c r="L123" s="82"/>
      <c r="M123" s="82"/>
      <c r="N123" s="82"/>
      <c r="O123" s="82">
        <v>91000</v>
      </c>
      <c r="P123" s="82"/>
      <c r="Q123" s="82"/>
      <c r="R123" s="82"/>
      <c r="S123" s="82"/>
      <c r="T123" s="134">
        <v>0</v>
      </c>
      <c r="U123" s="114">
        <f t="shared" si="77"/>
        <v>0</v>
      </c>
      <c r="V123" s="121">
        <v>0</v>
      </c>
      <c r="W123" s="109"/>
      <c r="X123" s="13"/>
      <c r="Y123" s="13"/>
      <c r="Z123" s="13"/>
      <c r="AA123" s="42"/>
      <c r="AB123" s="17"/>
      <c r="AC123" s="13"/>
    </row>
    <row r="124" spans="1:29" s="9" customFormat="1" ht="42.75" customHeight="1" x14ac:dyDescent="0.2">
      <c r="A124" s="8"/>
      <c r="B124" s="59"/>
      <c r="C124" s="70" t="s">
        <v>44</v>
      </c>
      <c r="D124" s="70" t="s">
        <v>43</v>
      </c>
      <c r="E124" s="70" t="s">
        <v>41</v>
      </c>
      <c r="F124" s="81" t="s">
        <v>65</v>
      </c>
      <c r="G124" s="46">
        <f t="shared" ref="G124:G129" si="78">SUM(H124:S124)</f>
        <v>56000</v>
      </c>
      <c r="H124" s="82"/>
      <c r="I124" s="82"/>
      <c r="J124" s="82"/>
      <c r="K124" s="82"/>
      <c r="L124" s="82"/>
      <c r="M124" s="82"/>
      <c r="N124" s="134">
        <f>41000+15000-56000</f>
        <v>0</v>
      </c>
      <c r="O124" s="82"/>
      <c r="P124" s="82"/>
      <c r="Q124" s="134">
        <v>56000</v>
      </c>
      <c r="R124" s="82"/>
      <c r="S124" s="83"/>
      <c r="T124" s="134">
        <f>47974.25842+2025.74158</f>
        <v>50000</v>
      </c>
      <c r="U124" s="114">
        <f t="shared" si="77"/>
        <v>0</v>
      </c>
      <c r="V124" s="121">
        <v>0</v>
      </c>
      <c r="W124" s="109" t="s">
        <v>172</v>
      </c>
      <c r="X124" s="13"/>
      <c r="Y124" s="13"/>
      <c r="Z124" s="13"/>
      <c r="AA124" s="42"/>
      <c r="AB124" s="17"/>
      <c r="AC124" s="13"/>
    </row>
    <row r="125" spans="1:29" s="9" customFormat="1" ht="41.25" customHeight="1" x14ac:dyDescent="0.2">
      <c r="A125" s="8"/>
      <c r="B125" s="59"/>
      <c r="C125" s="70" t="s">
        <v>44</v>
      </c>
      <c r="D125" s="70" t="s">
        <v>43</v>
      </c>
      <c r="E125" s="70" t="s">
        <v>41</v>
      </c>
      <c r="F125" s="90" t="s">
        <v>66</v>
      </c>
      <c r="G125" s="46">
        <f t="shared" si="78"/>
        <v>80000</v>
      </c>
      <c r="H125" s="82"/>
      <c r="I125" s="82"/>
      <c r="J125" s="82"/>
      <c r="K125" s="82"/>
      <c r="L125" s="82"/>
      <c r="M125" s="82"/>
      <c r="N125" s="134">
        <f>27000-27000</f>
        <v>0</v>
      </c>
      <c r="O125" s="134">
        <f>29000+27000</f>
        <v>56000</v>
      </c>
      <c r="P125" s="82">
        <v>24000</v>
      </c>
      <c r="Q125" s="82"/>
      <c r="R125" s="82"/>
      <c r="S125" s="83"/>
      <c r="T125" s="134">
        <f>77129+2227.5315</f>
        <v>79356.531499999997</v>
      </c>
      <c r="U125" s="114">
        <f t="shared" si="77"/>
        <v>0</v>
      </c>
      <c r="V125" s="121">
        <v>0</v>
      </c>
      <c r="W125" s="111" t="s">
        <v>163</v>
      </c>
      <c r="X125" s="13"/>
      <c r="Y125" s="13"/>
      <c r="Z125" s="13"/>
      <c r="AA125" s="42"/>
      <c r="AB125" s="17"/>
      <c r="AC125" s="13"/>
    </row>
    <row r="126" spans="1:29" s="9" customFormat="1" ht="43.5" customHeight="1" x14ac:dyDescent="0.2">
      <c r="A126" s="8"/>
      <c r="B126" s="59"/>
      <c r="C126" s="70" t="s">
        <v>44</v>
      </c>
      <c r="D126" s="70" t="s">
        <v>43</v>
      </c>
      <c r="E126" s="70" t="s">
        <v>41</v>
      </c>
      <c r="F126" s="81" t="s">
        <v>67</v>
      </c>
      <c r="G126" s="46">
        <f t="shared" si="78"/>
        <v>138000</v>
      </c>
      <c r="H126" s="82"/>
      <c r="I126" s="84"/>
      <c r="J126" s="84"/>
      <c r="K126" s="82"/>
      <c r="L126" s="84">
        <f>71000-18029.5</f>
        <v>52970.5</v>
      </c>
      <c r="M126" s="84"/>
      <c r="N126" s="136">
        <f>27000+18029.5+40000</f>
        <v>85029.5</v>
      </c>
      <c r="O126" s="136">
        <f>40000-40000</f>
        <v>0</v>
      </c>
      <c r="P126" s="84"/>
      <c r="Q126" s="84"/>
      <c r="R126" s="84"/>
      <c r="S126" s="84"/>
      <c r="T126" s="134">
        <f>67913.78144+70086.21856</f>
        <v>138000</v>
      </c>
      <c r="U126" s="114">
        <f t="shared" si="77"/>
        <v>52970.5</v>
      </c>
      <c r="V126" s="121">
        <v>52970.481820000001</v>
      </c>
      <c r="W126" s="109" t="s">
        <v>175</v>
      </c>
      <c r="X126" s="13"/>
      <c r="Y126" s="13"/>
      <c r="Z126" s="13"/>
      <c r="AA126" s="42"/>
      <c r="AB126" s="17"/>
      <c r="AC126" s="13"/>
    </row>
    <row r="127" spans="1:29" s="9" customFormat="1" ht="30.75" customHeight="1" x14ac:dyDescent="0.2">
      <c r="A127" s="8"/>
      <c r="B127" s="59"/>
      <c r="C127" s="70" t="s">
        <v>44</v>
      </c>
      <c r="D127" s="70" t="s">
        <v>43</v>
      </c>
      <c r="E127" s="70" t="s">
        <v>41</v>
      </c>
      <c r="F127" s="81" t="s">
        <v>69</v>
      </c>
      <c r="G127" s="46">
        <f t="shared" si="78"/>
        <v>50000</v>
      </c>
      <c r="H127" s="82"/>
      <c r="I127" s="82">
        <v>15000</v>
      </c>
      <c r="J127" s="82">
        <f>10000-7881</f>
        <v>2119</v>
      </c>
      <c r="K127" s="82">
        <f>15000-11500</f>
        <v>3500</v>
      </c>
      <c r="L127" s="82">
        <f>3500+7500</f>
        <v>11000</v>
      </c>
      <c r="M127" s="82">
        <f>3000+4000</f>
        <v>7000</v>
      </c>
      <c r="N127" s="134">
        <f>3000+8381</f>
        <v>11381</v>
      </c>
      <c r="O127" s="134">
        <f>5381-4000-1381</f>
        <v>0</v>
      </c>
      <c r="P127" s="82"/>
      <c r="Q127" s="134">
        <f>7000-7000</f>
        <v>0</v>
      </c>
      <c r="R127" s="82"/>
      <c r="S127" s="83"/>
      <c r="T127" s="134">
        <v>50000</v>
      </c>
      <c r="U127" s="114">
        <f t="shared" si="77"/>
        <v>38619</v>
      </c>
      <c r="V127" s="121">
        <v>38618.285709999996</v>
      </c>
      <c r="W127" s="109" t="s">
        <v>201</v>
      </c>
      <c r="X127" s="13"/>
      <c r="Y127" s="13"/>
      <c r="Z127" s="13"/>
      <c r="AA127" s="42"/>
      <c r="AB127" s="17"/>
      <c r="AC127" s="13"/>
    </row>
    <row r="128" spans="1:29" s="9" customFormat="1" x14ac:dyDescent="0.2">
      <c r="A128" s="8"/>
      <c r="B128" s="59"/>
      <c r="C128" s="70"/>
      <c r="D128" s="70"/>
      <c r="E128" s="70"/>
      <c r="F128" s="91" t="s">
        <v>60</v>
      </c>
      <c r="G128" s="79">
        <f t="shared" si="78"/>
        <v>5500000</v>
      </c>
      <c r="H128" s="80">
        <f t="shared" ref="H128:S128" si="79">SUM(H129:H130)</f>
        <v>0</v>
      </c>
      <c r="I128" s="80">
        <f t="shared" si="79"/>
        <v>310000</v>
      </c>
      <c r="J128" s="80">
        <f t="shared" si="79"/>
        <v>265141.5</v>
      </c>
      <c r="K128" s="80">
        <f t="shared" si="79"/>
        <v>431070</v>
      </c>
      <c r="L128" s="80">
        <f t="shared" si="79"/>
        <v>417000</v>
      </c>
      <c r="M128" s="80">
        <f t="shared" si="79"/>
        <v>517000</v>
      </c>
      <c r="N128" s="80">
        <f t="shared" si="79"/>
        <v>330711.40000000002</v>
      </c>
      <c r="O128" s="80">
        <f t="shared" si="79"/>
        <v>2269218.6</v>
      </c>
      <c r="P128" s="80">
        <f t="shared" si="79"/>
        <v>257000</v>
      </c>
      <c r="Q128" s="80">
        <f t="shared" si="79"/>
        <v>257000</v>
      </c>
      <c r="R128" s="80">
        <f t="shared" si="79"/>
        <v>257000</v>
      </c>
      <c r="S128" s="80">
        <f t="shared" si="79"/>
        <v>188858.5</v>
      </c>
      <c r="T128" s="80">
        <f t="shared" ref="T128:U128" si="80">SUM(T129:T130)</f>
        <v>2732895.4877500003</v>
      </c>
      <c r="U128" s="80">
        <f t="shared" si="80"/>
        <v>1940211.5</v>
      </c>
      <c r="V128" s="80">
        <f t="shared" ref="V128" si="81">SUM(V129:V130)</f>
        <v>1753922.78501</v>
      </c>
      <c r="W128" s="35"/>
      <c r="X128" s="13"/>
      <c r="Y128" s="13"/>
      <c r="Z128" s="13"/>
      <c r="AA128" s="42"/>
      <c r="AB128" s="17"/>
      <c r="AC128" s="13"/>
    </row>
    <row r="129" spans="1:29" s="9" customFormat="1" ht="69" customHeight="1" x14ac:dyDescent="0.2">
      <c r="A129" s="8"/>
      <c r="B129" s="59"/>
      <c r="C129" s="70" t="s">
        <v>45</v>
      </c>
      <c r="D129" s="70" t="s">
        <v>73</v>
      </c>
      <c r="E129" s="70" t="s">
        <v>41</v>
      </c>
      <c r="F129" s="81" t="s">
        <v>72</v>
      </c>
      <c r="G129" s="46">
        <f t="shared" si="78"/>
        <v>3500000</v>
      </c>
      <c r="H129" s="82"/>
      <c r="I129" s="82">
        <v>310000</v>
      </c>
      <c r="J129" s="82">
        <f>310000-44858.5</f>
        <v>265141.5</v>
      </c>
      <c r="K129" s="82">
        <f>265000+97000</f>
        <v>362000</v>
      </c>
      <c r="L129" s="82">
        <f>265000+52000</f>
        <v>317000</v>
      </c>
      <c r="M129" s="82">
        <f>265000+52000</f>
        <v>317000</v>
      </c>
      <c r="N129" s="82">
        <f>265000+52000</f>
        <v>317000</v>
      </c>
      <c r="O129" s="82">
        <f>480000+172000</f>
        <v>652000</v>
      </c>
      <c r="P129" s="82">
        <f>310000-53000</f>
        <v>257000</v>
      </c>
      <c r="Q129" s="82">
        <f>310000-53000</f>
        <v>257000</v>
      </c>
      <c r="R129" s="82">
        <f>310000-53000</f>
        <v>257000</v>
      </c>
      <c r="S129" s="82">
        <f>454858.5-266000</f>
        <v>188858.5</v>
      </c>
      <c r="T129" s="134">
        <v>1571141.4080000001</v>
      </c>
      <c r="U129" s="114">
        <f t="shared" ref="U129:U130" si="82">SUM(H129:M129)</f>
        <v>1571141.5</v>
      </c>
      <c r="V129" s="121">
        <v>1571141.4080000001</v>
      </c>
      <c r="W129" s="109"/>
      <c r="X129" s="41"/>
      <c r="Y129" s="13"/>
      <c r="Z129" s="13"/>
      <c r="AA129" s="42"/>
      <c r="AB129" s="17"/>
      <c r="AC129" s="13"/>
    </row>
    <row r="130" spans="1:29" s="9" customFormat="1" ht="33" customHeight="1" x14ac:dyDescent="0.2">
      <c r="A130" s="8"/>
      <c r="B130" s="59"/>
      <c r="C130" s="70" t="s">
        <v>45</v>
      </c>
      <c r="D130" s="70" t="s">
        <v>42</v>
      </c>
      <c r="E130" s="70" t="s">
        <v>41</v>
      </c>
      <c r="F130" s="81" t="s">
        <v>71</v>
      </c>
      <c r="G130" s="46">
        <f t="shared" ref="G130:G142" si="83">SUM(H130:S130)</f>
        <v>2000000</v>
      </c>
      <c r="H130" s="82"/>
      <c r="I130" s="82"/>
      <c r="J130" s="82"/>
      <c r="K130" s="82">
        <v>69070</v>
      </c>
      <c r="L130" s="82">
        <v>100000</v>
      </c>
      <c r="M130" s="82">
        <v>200000</v>
      </c>
      <c r="N130" s="134">
        <f>250000-236288.6</f>
        <v>13711.399999999994</v>
      </c>
      <c r="O130" s="134">
        <f>450000+1000000-69070+236288.6</f>
        <v>1617218.6</v>
      </c>
      <c r="P130" s="82"/>
      <c r="Q130" s="82"/>
      <c r="R130" s="83"/>
      <c r="S130" s="83"/>
      <c r="T130" s="134">
        <v>1161754.07975</v>
      </c>
      <c r="U130" s="114">
        <f t="shared" si="82"/>
        <v>369070</v>
      </c>
      <c r="V130" s="121">
        <v>182781.37701</v>
      </c>
      <c r="W130" s="109" t="s">
        <v>225</v>
      </c>
      <c r="X130" s="41"/>
      <c r="Y130" s="13"/>
      <c r="Z130" s="13"/>
      <c r="AA130" s="42"/>
      <c r="AB130" s="17"/>
      <c r="AC130" s="13"/>
    </row>
    <row r="131" spans="1:29" s="9" customFormat="1" ht="38.25" customHeight="1" x14ac:dyDescent="0.2">
      <c r="A131" s="8"/>
      <c r="B131" s="55"/>
      <c r="C131" s="56" t="s">
        <v>49</v>
      </c>
      <c r="D131" s="56"/>
      <c r="E131" s="92"/>
      <c r="F131" s="93" t="s">
        <v>82</v>
      </c>
      <c r="G131" s="58">
        <f t="shared" si="83"/>
        <v>870000</v>
      </c>
      <c r="H131" s="94">
        <f>H132</f>
        <v>0</v>
      </c>
      <c r="I131" s="94">
        <f t="shared" ref="I131:S131" si="84">I132</f>
        <v>145694.29999999999</v>
      </c>
      <c r="J131" s="94">
        <f t="shared" si="84"/>
        <v>0</v>
      </c>
      <c r="K131" s="94">
        <f t="shared" si="84"/>
        <v>0</v>
      </c>
      <c r="L131" s="94">
        <f t="shared" si="84"/>
        <v>37572</v>
      </c>
      <c r="M131" s="94">
        <f t="shared" si="84"/>
        <v>115314.8</v>
      </c>
      <c r="N131" s="94">
        <f t="shared" si="84"/>
        <v>0</v>
      </c>
      <c r="O131" s="94">
        <f t="shared" si="84"/>
        <v>467113.2</v>
      </c>
      <c r="P131" s="94">
        <f t="shared" si="84"/>
        <v>100000</v>
      </c>
      <c r="Q131" s="94">
        <f t="shared" si="84"/>
        <v>4305.6999999999971</v>
      </c>
      <c r="R131" s="94">
        <f t="shared" si="84"/>
        <v>0</v>
      </c>
      <c r="S131" s="94">
        <f t="shared" si="84"/>
        <v>0</v>
      </c>
      <c r="T131" s="94">
        <f t="shared" ref="T131:V132" si="85">T132</f>
        <v>857888.99979999999</v>
      </c>
      <c r="U131" s="94">
        <f t="shared" si="85"/>
        <v>298581.09999999998</v>
      </c>
      <c r="V131" s="94">
        <f t="shared" si="85"/>
        <v>256581.09999999998</v>
      </c>
      <c r="W131" s="35"/>
      <c r="X131" s="13"/>
      <c r="Y131" s="13"/>
      <c r="Z131" s="13"/>
      <c r="AA131" s="13"/>
      <c r="AB131" s="17"/>
      <c r="AC131" s="13"/>
    </row>
    <row r="132" spans="1:29" s="9" customFormat="1" ht="21.75" customHeight="1" x14ac:dyDescent="0.2">
      <c r="A132" s="8"/>
      <c r="B132" s="59"/>
      <c r="C132" s="69"/>
      <c r="D132" s="60" t="s">
        <v>13</v>
      </c>
      <c r="E132" s="60"/>
      <c r="F132" s="61" t="s">
        <v>14</v>
      </c>
      <c r="G132" s="54">
        <f t="shared" si="83"/>
        <v>870000</v>
      </c>
      <c r="H132" s="76">
        <f>H133</f>
        <v>0</v>
      </c>
      <c r="I132" s="76">
        <f t="shared" ref="I132:S132" si="86">I133</f>
        <v>145694.29999999999</v>
      </c>
      <c r="J132" s="76">
        <f t="shared" si="86"/>
        <v>0</v>
      </c>
      <c r="K132" s="76">
        <f t="shared" si="86"/>
        <v>0</v>
      </c>
      <c r="L132" s="76">
        <f t="shared" si="86"/>
        <v>37572</v>
      </c>
      <c r="M132" s="76">
        <f t="shared" si="86"/>
        <v>115314.8</v>
      </c>
      <c r="N132" s="76">
        <f t="shared" si="86"/>
        <v>0</v>
      </c>
      <c r="O132" s="76">
        <f t="shared" si="86"/>
        <v>467113.2</v>
      </c>
      <c r="P132" s="76">
        <f t="shared" si="86"/>
        <v>100000</v>
      </c>
      <c r="Q132" s="76">
        <f t="shared" si="86"/>
        <v>4305.6999999999971</v>
      </c>
      <c r="R132" s="76">
        <f t="shared" si="86"/>
        <v>0</v>
      </c>
      <c r="S132" s="76">
        <f t="shared" si="86"/>
        <v>0</v>
      </c>
      <c r="T132" s="76">
        <f t="shared" si="85"/>
        <v>857888.99979999999</v>
      </c>
      <c r="U132" s="76">
        <f t="shared" si="85"/>
        <v>298581.09999999998</v>
      </c>
      <c r="V132" s="76">
        <f t="shared" si="85"/>
        <v>256581.09999999998</v>
      </c>
      <c r="W132" s="35"/>
      <c r="X132" s="13"/>
      <c r="Y132" s="13"/>
      <c r="Z132" s="13"/>
      <c r="AA132" s="13"/>
      <c r="AB132" s="17"/>
      <c r="AC132" s="13"/>
    </row>
    <row r="133" spans="1:29" s="11" customFormat="1" ht="30" x14ac:dyDescent="0.25">
      <c r="A133" s="10"/>
      <c r="B133" s="62"/>
      <c r="C133" s="70"/>
      <c r="D133" s="70"/>
      <c r="E133" s="70" t="s">
        <v>74</v>
      </c>
      <c r="F133" s="95" t="s">
        <v>75</v>
      </c>
      <c r="G133" s="46">
        <f t="shared" si="83"/>
        <v>870000</v>
      </c>
      <c r="H133" s="82">
        <f>H134+H136+H138+H140</f>
        <v>0</v>
      </c>
      <c r="I133" s="82">
        <f t="shared" ref="I133:S133" si="87">I134+I136+I138+I140</f>
        <v>145694.29999999999</v>
      </c>
      <c r="J133" s="82">
        <f t="shared" si="87"/>
        <v>0</v>
      </c>
      <c r="K133" s="82">
        <f t="shared" si="87"/>
        <v>0</v>
      </c>
      <c r="L133" s="82">
        <f t="shared" si="87"/>
        <v>37572</v>
      </c>
      <c r="M133" s="82">
        <f t="shared" si="87"/>
        <v>115314.8</v>
      </c>
      <c r="N133" s="82">
        <f t="shared" si="87"/>
        <v>0</v>
      </c>
      <c r="O133" s="82">
        <f t="shared" si="87"/>
        <v>467113.2</v>
      </c>
      <c r="P133" s="82">
        <f t="shared" si="87"/>
        <v>100000</v>
      </c>
      <c r="Q133" s="82">
        <f t="shared" si="87"/>
        <v>4305.6999999999971</v>
      </c>
      <c r="R133" s="82">
        <f t="shared" si="87"/>
        <v>0</v>
      </c>
      <c r="S133" s="82">
        <f t="shared" si="87"/>
        <v>0</v>
      </c>
      <c r="T133" s="82">
        <f>T134+T136+T138+T140</f>
        <v>857888.99979999999</v>
      </c>
      <c r="U133" s="82">
        <f>U134+U136+U138+U140</f>
        <v>298581.09999999998</v>
      </c>
      <c r="V133" s="82">
        <f>V134+V136+V138+V140</f>
        <v>256581.09999999998</v>
      </c>
      <c r="W133" s="35"/>
      <c r="X133" s="23"/>
      <c r="Y133" s="23"/>
      <c r="Z133" s="23"/>
      <c r="AA133" s="23"/>
      <c r="AB133" s="24"/>
      <c r="AC133" s="23"/>
    </row>
    <row r="134" spans="1:29" x14ac:dyDescent="0.25">
      <c r="A134" s="4"/>
      <c r="B134" s="40"/>
      <c r="C134" s="19"/>
      <c r="D134" s="70"/>
      <c r="E134" s="19"/>
      <c r="F134" s="78" t="s">
        <v>30</v>
      </c>
      <c r="G134" s="79">
        <f t="shared" si="83"/>
        <v>100000</v>
      </c>
      <c r="H134" s="79">
        <f t="shared" ref="H134:V134" si="88">SUM(H135:H135)</f>
        <v>0</v>
      </c>
      <c r="I134" s="79">
        <f t="shared" si="88"/>
        <v>0</v>
      </c>
      <c r="J134" s="79">
        <f t="shared" si="88"/>
        <v>0</v>
      </c>
      <c r="K134" s="79">
        <f t="shared" si="88"/>
        <v>0</v>
      </c>
      <c r="L134" s="79">
        <f t="shared" si="88"/>
        <v>29082</v>
      </c>
      <c r="M134" s="79">
        <f t="shared" si="88"/>
        <v>35000</v>
      </c>
      <c r="N134" s="79">
        <f t="shared" si="88"/>
        <v>0</v>
      </c>
      <c r="O134" s="79">
        <f t="shared" si="88"/>
        <v>35918</v>
      </c>
      <c r="P134" s="79">
        <f t="shared" si="88"/>
        <v>0</v>
      </c>
      <c r="Q134" s="79">
        <f t="shared" si="88"/>
        <v>0</v>
      </c>
      <c r="R134" s="79">
        <f t="shared" si="88"/>
        <v>0</v>
      </c>
      <c r="S134" s="79">
        <f t="shared" si="88"/>
        <v>0</v>
      </c>
      <c r="T134" s="79">
        <f t="shared" si="88"/>
        <v>99840</v>
      </c>
      <c r="U134" s="79">
        <f t="shared" si="88"/>
        <v>64082</v>
      </c>
      <c r="V134" s="79">
        <f t="shared" si="88"/>
        <v>64082</v>
      </c>
      <c r="W134" s="35"/>
      <c r="AB134" s="22"/>
    </row>
    <row r="135" spans="1:29" s="11" customFormat="1" ht="74.25" customHeight="1" x14ac:dyDescent="0.25">
      <c r="A135" s="18"/>
      <c r="B135" s="40"/>
      <c r="C135" s="70" t="s">
        <v>44</v>
      </c>
      <c r="D135" s="70" t="s">
        <v>76</v>
      </c>
      <c r="E135" s="70" t="s">
        <v>41</v>
      </c>
      <c r="F135" s="96" t="s">
        <v>57</v>
      </c>
      <c r="G135" s="46">
        <f t="shared" si="83"/>
        <v>100000</v>
      </c>
      <c r="H135" s="50"/>
      <c r="I135" s="50"/>
      <c r="J135" s="50"/>
      <c r="K135" s="50"/>
      <c r="L135" s="50">
        <f>30000-918</f>
        <v>29082</v>
      </c>
      <c r="M135" s="50">
        <v>35000</v>
      </c>
      <c r="N135" s="121">
        <f>35000+918-35918</f>
        <v>0</v>
      </c>
      <c r="O135" s="50">
        <v>35918</v>
      </c>
      <c r="P135" s="50"/>
      <c r="Q135" s="50"/>
      <c r="R135" s="83"/>
      <c r="S135" s="83"/>
      <c r="T135" s="121">
        <v>99840</v>
      </c>
      <c r="U135" s="114">
        <f>SUM(H135:M135)</f>
        <v>64082</v>
      </c>
      <c r="V135" s="121">
        <v>64082</v>
      </c>
      <c r="W135" s="109" t="s">
        <v>176</v>
      </c>
      <c r="X135" s="23"/>
      <c r="Y135" s="23"/>
      <c r="Z135" s="23"/>
      <c r="AA135" s="23"/>
      <c r="AB135" s="24"/>
      <c r="AC135" s="23"/>
    </row>
    <row r="136" spans="1:29" s="6" customFormat="1" ht="14.25" x14ac:dyDescent="0.2">
      <c r="B136" s="40"/>
      <c r="C136" s="40"/>
      <c r="D136" s="40"/>
      <c r="E136" s="40"/>
      <c r="F136" s="97" t="s">
        <v>77</v>
      </c>
      <c r="G136" s="79">
        <f t="shared" si="83"/>
        <v>20000</v>
      </c>
      <c r="H136" s="87">
        <f>H137</f>
        <v>0</v>
      </c>
      <c r="I136" s="87">
        <f t="shared" ref="I136:S136" si="89">I137</f>
        <v>0</v>
      </c>
      <c r="J136" s="87">
        <f t="shared" si="89"/>
        <v>0</v>
      </c>
      <c r="K136" s="87">
        <f t="shared" si="89"/>
        <v>0</v>
      </c>
      <c r="L136" s="87">
        <f t="shared" si="89"/>
        <v>0</v>
      </c>
      <c r="M136" s="87">
        <f t="shared" si="89"/>
        <v>0</v>
      </c>
      <c r="N136" s="87">
        <f t="shared" si="89"/>
        <v>0</v>
      </c>
      <c r="O136" s="87">
        <f t="shared" si="89"/>
        <v>20000</v>
      </c>
      <c r="P136" s="87">
        <f t="shared" si="89"/>
        <v>0</v>
      </c>
      <c r="Q136" s="87">
        <f t="shared" si="89"/>
        <v>0</v>
      </c>
      <c r="R136" s="87">
        <f t="shared" si="89"/>
        <v>0</v>
      </c>
      <c r="S136" s="87">
        <f t="shared" si="89"/>
        <v>0</v>
      </c>
      <c r="T136" s="87">
        <f>T137</f>
        <v>20000</v>
      </c>
      <c r="U136" s="87">
        <f>U137</f>
        <v>0</v>
      </c>
      <c r="V136" s="87">
        <f>V137</f>
        <v>0</v>
      </c>
      <c r="W136" s="35"/>
      <c r="X136" s="31"/>
      <c r="Y136" s="31"/>
      <c r="Z136" s="31"/>
      <c r="AA136" s="31"/>
      <c r="AB136" s="32"/>
      <c r="AC136" s="31"/>
    </row>
    <row r="137" spans="1:29" ht="40.5" customHeight="1" x14ac:dyDescent="0.25">
      <c r="B137" s="19"/>
      <c r="C137" s="70" t="s">
        <v>45</v>
      </c>
      <c r="D137" s="70" t="s">
        <v>49</v>
      </c>
      <c r="E137" s="70" t="s">
        <v>41</v>
      </c>
      <c r="F137" s="71" t="s">
        <v>48</v>
      </c>
      <c r="G137" s="46">
        <f t="shared" si="83"/>
        <v>20000</v>
      </c>
      <c r="H137" s="50"/>
      <c r="I137" s="50"/>
      <c r="J137" s="50"/>
      <c r="K137" s="50"/>
      <c r="L137" s="50"/>
      <c r="M137" s="50"/>
      <c r="N137" s="121">
        <f>20000-20000</f>
        <v>0</v>
      </c>
      <c r="O137" s="121">
        <v>20000</v>
      </c>
      <c r="P137" s="50"/>
      <c r="Q137" s="50"/>
      <c r="R137" s="50"/>
      <c r="S137" s="50"/>
      <c r="T137" s="121">
        <v>20000</v>
      </c>
      <c r="U137" s="114">
        <f>SUM(H137:M137)</f>
        <v>0</v>
      </c>
      <c r="V137" s="121">
        <v>0</v>
      </c>
      <c r="W137" s="112" t="s">
        <v>177</v>
      </c>
      <c r="AB137" s="22"/>
    </row>
    <row r="138" spans="1:29" x14ac:dyDescent="0.25">
      <c r="A138" s="4"/>
      <c r="B138" s="40"/>
      <c r="C138" s="19"/>
      <c r="D138" s="70"/>
      <c r="E138" s="19"/>
      <c r="F138" s="78" t="s">
        <v>47</v>
      </c>
      <c r="G138" s="79">
        <f t="shared" si="83"/>
        <v>150000</v>
      </c>
      <c r="H138" s="79">
        <f t="shared" ref="H138:V138" si="90">SUM(H139:H139)</f>
        <v>0</v>
      </c>
      <c r="I138" s="79">
        <f t="shared" si="90"/>
        <v>0</v>
      </c>
      <c r="J138" s="79">
        <f t="shared" si="90"/>
        <v>0</v>
      </c>
      <c r="K138" s="79">
        <f t="shared" si="90"/>
        <v>0</v>
      </c>
      <c r="L138" s="132">
        <f t="shared" si="90"/>
        <v>0</v>
      </c>
      <c r="M138" s="132">
        <f t="shared" si="90"/>
        <v>38314.800000000003</v>
      </c>
      <c r="N138" s="132">
        <f t="shared" si="90"/>
        <v>0</v>
      </c>
      <c r="O138" s="79">
        <f t="shared" si="90"/>
        <v>91685.2</v>
      </c>
      <c r="P138" s="79">
        <f t="shared" si="90"/>
        <v>20000</v>
      </c>
      <c r="Q138" s="79">
        <f t="shared" si="90"/>
        <v>0</v>
      </c>
      <c r="R138" s="79">
        <f t="shared" si="90"/>
        <v>0</v>
      </c>
      <c r="S138" s="79">
        <f t="shared" si="90"/>
        <v>0</v>
      </c>
      <c r="T138" s="131">
        <f t="shared" si="90"/>
        <v>149999</v>
      </c>
      <c r="U138" s="131">
        <f t="shared" si="90"/>
        <v>38314.800000000003</v>
      </c>
      <c r="V138" s="131">
        <f t="shared" si="90"/>
        <v>38314.800000000003</v>
      </c>
      <c r="W138" s="35"/>
      <c r="AB138" s="22"/>
    </row>
    <row r="139" spans="1:29" s="11" customFormat="1" ht="42.75" customHeight="1" x14ac:dyDescent="0.25">
      <c r="A139" s="18"/>
      <c r="B139" s="40"/>
      <c r="C139" s="70" t="s">
        <v>44</v>
      </c>
      <c r="D139" s="70" t="s">
        <v>49</v>
      </c>
      <c r="E139" s="70" t="s">
        <v>41</v>
      </c>
      <c r="F139" s="96" t="s">
        <v>78</v>
      </c>
      <c r="G139" s="46">
        <f t="shared" si="83"/>
        <v>150000</v>
      </c>
      <c r="H139" s="50"/>
      <c r="I139" s="50"/>
      <c r="J139" s="50"/>
      <c r="K139" s="50"/>
      <c r="L139" s="50"/>
      <c r="M139" s="50">
        <f>65000-26685.2</f>
        <v>38314.800000000003</v>
      </c>
      <c r="N139" s="121">
        <f>65000+26685.2-91685.2</f>
        <v>0</v>
      </c>
      <c r="O139" s="121">
        <v>91685.2</v>
      </c>
      <c r="P139" s="50">
        <v>20000</v>
      </c>
      <c r="Q139" s="50"/>
      <c r="R139" s="83"/>
      <c r="S139" s="83"/>
      <c r="T139" s="121">
        <v>149999</v>
      </c>
      <c r="U139" s="114">
        <f>SUM(H139:M139)</f>
        <v>38314.800000000003</v>
      </c>
      <c r="V139" s="121">
        <v>38314.800000000003</v>
      </c>
      <c r="W139" s="112" t="s">
        <v>178</v>
      </c>
      <c r="X139" s="23"/>
      <c r="Y139" s="23"/>
      <c r="Z139" s="23"/>
      <c r="AA139" s="23"/>
      <c r="AB139" s="24"/>
      <c r="AC139" s="23"/>
    </row>
    <row r="140" spans="1:29" s="6" customFormat="1" ht="14.25" x14ac:dyDescent="0.2">
      <c r="B140" s="40"/>
      <c r="C140" s="69"/>
      <c r="D140" s="69"/>
      <c r="E140" s="69"/>
      <c r="F140" s="97" t="s">
        <v>60</v>
      </c>
      <c r="G140" s="79">
        <f t="shared" si="83"/>
        <v>600000</v>
      </c>
      <c r="H140" s="87">
        <f>SUM(H141:H142)</f>
        <v>0</v>
      </c>
      <c r="I140" s="87">
        <f t="shared" ref="I140:S140" si="91">SUM(I141:I142)</f>
        <v>145694.29999999999</v>
      </c>
      <c r="J140" s="87">
        <f t="shared" si="91"/>
        <v>0</v>
      </c>
      <c r="K140" s="87">
        <f t="shared" si="91"/>
        <v>0</v>
      </c>
      <c r="L140" s="87">
        <f t="shared" si="91"/>
        <v>8490</v>
      </c>
      <c r="M140" s="87">
        <f t="shared" si="91"/>
        <v>42000</v>
      </c>
      <c r="N140" s="87">
        <f t="shared" si="91"/>
        <v>0</v>
      </c>
      <c r="O140" s="87">
        <f t="shared" si="91"/>
        <v>319510</v>
      </c>
      <c r="P140" s="87">
        <f t="shared" si="91"/>
        <v>80000</v>
      </c>
      <c r="Q140" s="87">
        <f t="shared" si="91"/>
        <v>4305.6999999999971</v>
      </c>
      <c r="R140" s="87">
        <f t="shared" si="91"/>
        <v>0</v>
      </c>
      <c r="S140" s="87">
        <f t="shared" si="91"/>
        <v>0</v>
      </c>
      <c r="T140" s="87">
        <f>SUM(T141:T142)</f>
        <v>588049.99979999999</v>
      </c>
      <c r="U140" s="87">
        <f>SUM(U141:U142)</f>
        <v>196184.3</v>
      </c>
      <c r="V140" s="87">
        <f>SUM(V141:V142)</f>
        <v>154184.29999999999</v>
      </c>
      <c r="W140" s="35"/>
      <c r="X140" s="31"/>
      <c r="Y140" s="31"/>
      <c r="Z140" s="31"/>
      <c r="AA140" s="31"/>
      <c r="AB140" s="32"/>
      <c r="AC140" s="31"/>
    </row>
    <row r="141" spans="1:29" ht="42.75" customHeight="1" x14ac:dyDescent="0.25">
      <c r="B141" s="19"/>
      <c r="C141" s="70" t="s">
        <v>45</v>
      </c>
      <c r="D141" s="70" t="s">
        <v>81</v>
      </c>
      <c r="E141" s="70" t="s">
        <v>41</v>
      </c>
      <c r="F141" s="98" t="s">
        <v>83</v>
      </c>
      <c r="G141" s="46">
        <f t="shared" ref="G141" si="92">SUM(H141:S141)</f>
        <v>500000</v>
      </c>
      <c r="H141" s="50"/>
      <c r="I141" s="50">
        <v>145694.29999999999</v>
      </c>
      <c r="J141" s="50"/>
      <c r="K141" s="50"/>
      <c r="L141" s="50"/>
      <c r="M141" s="50">
        <f>100000+40000-98000</f>
        <v>42000</v>
      </c>
      <c r="N141" s="121">
        <f>100000+98000-198000</f>
        <v>0</v>
      </c>
      <c r="O141" s="121">
        <f>80000+198000</f>
        <v>278000</v>
      </c>
      <c r="P141" s="50">
        <v>30000</v>
      </c>
      <c r="Q141" s="50">
        <f>70000-65694.3</f>
        <v>4305.6999999999971</v>
      </c>
      <c r="R141" s="50"/>
      <c r="S141" s="50"/>
      <c r="T141" s="121">
        <f>485647.8098+2402.19</f>
        <v>488049.99979999999</v>
      </c>
      <c r="U141" s="114">
        <f t="shared" ref="U141:U142" si="93">SUM(H141:M141)</f>
        <v>187694.3</v>
      </c>
      <c r="V141" s="121">
        <f>145694.3</f>
        <v>145694.29999999999</v>
      </c>
      <c r="W141" s="109" t="s">
        <v>152</v>
      </c>
      <c r="AB141" s="22"/>
    </row>
    <row r="142" spans="1:29" ht="56.25" customHeight="1" x14ac:dyDescent="0.25">
      <c r="B142" s="19"/>
      <c r="C142" s="70" t="s">
        <v>45</v>
      </c>
      <c r="D142" s="70" t="s">
        <v>81</v>
      </c>
      <c r="E142" s="70" t="s">
        <v>41</v>
      </c>
      <c r="F142" s="98" t="s">
        <v>84</v>
      </c>
      <c r="G142" s="46">
        <f t="shared" si="83"/>
        <v>100000</v>
      </c>
      <c r="H142" s="82"/>
      <c r="I142" s="82"/>
      <c r="J142" s="82"/>
      <c r="K142" s="82"/>
      <c r="L142" s="82">
        <f>30000-21510</f>
        <v>8490</v>
      </c>
      <c r="M142" s="134">
        <f>21510-21510</f>
        <v>0</v>
      </c>
      <c r="N142" s="82"/>
      <c r="O142" s="134">
        <f>20000+21510</f>
        <v>41510</v>
      </c>
      <c r="P142" s="82">
        <v>50000</v>
      </c>
      <c r="Q142" s="82"/>
      <c r="R142" s="82"/>
      <c r="S142" s="82"/>
      <c r="T142" s="134">
        <f>96700+2840+460</f>
        <v>100000</v>
      </c>
      <c r="U142" s="114">
        <f t="shared" si="93"/>
        <v>8490</v>
      </c>
      <c r="V142" s="121">
        <v>8490</v>
      </c>
      <c r="W142" s="109" t="s">
        <v>207</v>
      </c>
      <c r="AB142" s="22"/>
    </row>
    <row r="143" spans="1:29" s="9" customFormat="1" ht="71.25" x14ac:dyDescent="0.2">
      <c r="A143" s="8"/>
      <c r="B143" s="55"/>
      <c r="C143" s="56" t="s">
        <v>202</v>
      </c>
      <c r="D143" s="56"/>
      <c r="E143" s="56"/>
      <c r="F143" s="57" t="s">
        <v>203</v>
      </c>
      <c r="G143" s="58">
        <f t="shared" ref="G143:G146" si="94">SUM(H143:S143)</f>
        <v>150582.6</v>
      </c>
      <c r="H143" s="58">
        <f t="shared" ref="H143:V147" si="95">H144</f>
        <v>0</v>
      </c>
      <c r="I143" s="58">
        <f t="shared" si="95"/>
        <v>0</v>
      </c>
      <c r="J143" s="58">
        <f t="shared" si="95"/>
        <v>0</v>
      </c>
      <c r="K143" s="58">
        <f t="shared" si="95"/>
        <v>122950.3</v>
      </c>
      <c r="L143" s="58">
        <f t="shared" si="95"/>
        <v>0</v>
      </c>
      <c r="M143" s="58">
        <f t="shared" si="95"/>
        <v>0</v>
      </c>
      <c r="N143" s="58">
        <f t="shared" si="95"/>
        <v>27632.3</v>
      </c>
      <c r="O143" s="58">
        <f t="shared" si="95"/>
        <v>0</v>
      </c>
      <c r="P143" s="58">
        <f t="shared" si="95"/>
        <v>0</v>
      </c>
      <c r="Q143" s="58">
        <f t="shared" si="95"/>
        <v>0</v>
      </c>
      <c r="R143" s="58">
        <f t="shared" si="95"/>
        <v>0</v>
      </c>
      <c r="S143" s="58">
        <f t="shared" si="95"/>
        <v>0</v>
      </c>
      <c r="T143" s="58">
        <f t="shared" si="95"/>
        <v>122950.26428</v>
      </c>
      <c r="U143" s="58">
        <f t="shared" si="95"/>
        <v>122950.3</v>
      </c>
      <c r="V143" s="58">
        <f t="shared" si="95"/>
        <v>122950.26428</v>
      </c>
      <c r="W143" s="38"/>
      <c r="X143" s="13"/>
      <c r="Y143" s="13"/>
      <c r="Z143" s="13"/>
      <c r="AA143" s="13"/>
      <c r="AB143" s="13"/>
      <c r="AC143" s="13"/>
    </row>
    <row r="144" spans="1:29" s="11" customFormat="1" ht="39.75" customHeight="1" x14ac:dyDescent="0.25">
      <c r="A144" s="10"/>
      <c r="B144" s="62"/>
      <c r="C144" s="62"/>
      <c r="D144" s="119"/>
      <c r="E144" s="119">
        <v>441</v>
      </c>
      <c r="F144" s="63" t="s">
        <v>75</v>
      </c>
      <c r="G144" s="120">
        <f t="shared" si="94"/>
        <v>150582.6</v>
      </c>
      <c r="H144" s="120">
        <f>H145</f>
        <v>0</v>
      </c>
      <c r="I144" s="120">
        <f t="shared" si="95"/>
        <v>0</v>
      </c>
      <c r="J144" s="120">
        <f t="shared" si="95"/>
        <v>0</v>
      </c>
      <c r="K144" s="120">
        <f t="shared" si="95"/>
        <v>122950.3</v>
      </c>
      <c r="L144" s="120">
        <f t="shared" si="95"/>
        <v>0</v>
      </c>
      <c r="M144" s="120">
        <f t="shared" si="95"/>
        <v>0</v>
      </c>
      <c r="N144" s="120">
        <f t="shared" si="95"/>
        <v>27632.3</v>
      </c>
      <c r="O144" s="120">
        <f t="shared" si="95"/>
        <v>0</v>
      </c>
      <c r="P144" s="120">
        <f t="shared" si="95"/>
        <v>0</v>
      </c>
      <c r="Q144" s="120">
        <f t="shared" si="95"/>
        <v>0</v>
      </c>
      <c r="R144" s="120">
        <f t="shared" si="95"/>
        <v>0</v>
      </c>
      <c r="S144" s="120">
        <f t="shared" si="95"/>
        <v>0</v>
      </c>
      <c r="T144" s="120">
        <f t="shared" si="95"/>
        <v>122950.26428</v>
      </c>
      <c r="U144" s="120">
        <f t="shared" si="95"/>
        <v>122950.3</v>
      </c>
      <c r="V144" s="120">
        <f t="shared" si="95"/>
        <v>122950.26428</v>
      </c>
      <c r="W144" s="109"/>
      <c r="X144" s="23"/>
      <c r="Y144" s="23"/>
      <c r="Z144" s="23"/>
      <c r="AA144" s="23"/>
      <c r="AB144" s="23"/>
      <c r="AC144" s="23"/>
    </row>
    <row r="145" spans="1:29" s="11" customFormat="1" ht="18" customHeight="1" x14ac:dyDescent="0.25">
      <c r="A145" s="10"/>
      <c r="B145" s="62"/>
      <c r="C145" s="62"/>
      <c r="D145" s="119"/>
      <c r="E145" s="119"/>
      <c r="F145" s="97" t="s">
        <v>60</v>
      </c>
      <c r="G145" s="120">
        <f t="shared" si="94"/>
        <v>150582.6</v>
      </c>
      <c r="H145" s="120">
        <f>H146</f>
        <v>0</v>
      </c>
      <c r="I145" s="120">
        <f t="shared" si="95"/>
        <v>0</v>
      </c>
      <c r="J145" s="120">
        <f t="shared" si="95"/>
        <v>0</v>
      </c>
      <c r="K145" s="120">
        <f t="shared" si="95"/>
        <v>122950.3</v>
      </c>
      <c r="L145" s="120">
        <f t="shared" si="95"/>
        <v>0</v>
      </c>
      <c r="M145" s="120">
        <f t="shared" si="95"/>
        <v>0</v>
      </c>
      <c r="N145" s="120">
        <f t="shared" si="95"/>
        <v>27632.3</v>
      </c>
      <c r="O145" s="120">
        <f t="shared" si="95"/>
        <v>0</v>
      </c>
      <c r="P145" s="120">
        <f t="shared" si="95"/>
        <v>0</v>
      </c>
      <c r="Q145" s="120">
        <f t="shared" si="95"/>
        <v>0</v>
      </c>
      <c r="R145" s="120">
        <f t="shared" si="95"/>
        <v>0</v>
      </c>
      <c r="S145" s="120">
        <f t="shared" si="95"/>
        <v>0</v>
      </c>
      <c r="T145" s="120">
        <f t="shared" si="95"/>
        <v>122950.26428</v>
      </c>
      <c r="U145" s="120">
        <f t="shared" si="95"/>
        <v>122950.3</v>
      </c>
      <c r="V145" s="120">
        <f t="shared" si="95"/>
        <v>122950.26428</v>
      </c>
      <c r="W145" s="109"/>
      <c r="X145" s="23"/>
      <c r="Y145" s="23"/>
      <c r="Z145" s="23"/>
      <c r="AA145" s="23"/>
      <c r="AB145" s="23"/>
      <c r="AC145" s="23"/>
    </row>
    <row r="146" spans="1:29" s="11" customFormat="1" ht="57.75" customHeight="1" x14ac:dyDescent="0.25">
      <c r="A146" s="10"/>
      <c r="B146" s="62"/>
      <c r="C146" s="62">
        <v>458</v>
      </c>
      <c r="D146" s="119">
        <v>107</v>
      </c>
      <c r="E146" s="119"/>
      <c r="F146" s="63" t="s">
        <v>204</v>
      </c>
      <c r="G146" s="120">
        <f t="shared" si="94"/>
        <v>150582.6</v>
      </c>
      <c r="H146" s="120"/>
      <c r="I146" s="120"/>
      <c r="J146" s="120"/>
      <c r="K146" s="129">
        <f>150582.6-27632.3</f>
        <v>122950.3</v>
      </c>
      <c r="L146" s="128"/>
      <c r="M146" s="128"/>
      <c r="N146" s="128">
        <v>27632.3</v>
      </c>
      <c r="O146" s="120"/>
      <c r="P146" s="120"/>
      <c r="Q146" s="120"/>
      <c r="R146" s="120"/>
      <c r="S146" s="120"/>
      <c r="T146" s="114">
        <v>122950.26428</v>
      </c>
      <c r="U146" s="114">
        <f>SUM(H146:M146)</f>
        <v>122950.3</v>
      </c>
      <c r="V146" s="114">
        <v>122950.26428</v>
      </c>
      <c r="W146" s="109" t="s">
        <v>152</v>
      </c>
      <c r="X146" s="23"/>
      <c r="Y146" s="23"/>
      <c r="Z146" s="23"/>
      <c r="AA146" s="23"/>
      <c r="AB146" s="23"/>
      <c r="AC146" s="23"/>
    </row>
    <row r="147" spans="1:29" s="9" customFormat="1" ht="57" x14ac:dyDescent="0.2">
      <c r="A147" s="8"/>
      <c r="B147" s="55"/>
      <c r="C147" s="56" t="s">
        <v>183</v>
      </c>
      <c r="D147" s="56"/>
      <c r="E147" s="56"/>
      <c r="F147" s="57" t="s">
        <v>184</v>
      </c>
      <c r="G147" s="58">
        <f t="shared" ref="G147:G148" si="96">SUM(H147:S147)</f>
        <v>669500</v>
      </c>
      <c r="H147" s="58">
        <f t="shared" si="95"/>
        <v>0</v>
      </c>
      <c r="I147" s="58">
        <f t="shared" si="95"/>
        <v>0</v>
      </c>
      <c r="J147" s="58">
        <f t="shared" si="95"/>
        <v>0</v>
      </c>
      <c r="K147" s="58">
        <f t="shared" si="95"/>
        <v>669500</v>
      </c>
      <c r="L147" s="58">
        <f t="shared" si="95"/>
        <v>0</v>
      </c>
      <c r="M147" s="58">
        <f t="shared" si="95"/>
        <v>0</v>
      </c>
      <c r="N147" s="58">
        <f t="shared" si="95"/>
        <v>0</v>
      </c>
      <c r="O147" s="58">
        <f t="shared" si="95"/>
        <v>0</v>
      </c>
      <c r="P147" s="58">
        <f t="shared" si="95"/>
        <v>0</v>
      </c>
      <c r="Q147" s="58">
        <f t="shared" si="95"/>
        <v>0</v>
      </c>
      <c r="R147" s="58">
        <f t="shared" si="95"/>
        <v>0</v>
      </c>
      <c r="S147" s="58">
        <f t="shared" si="95"/>
        <v>0</v>
      </c>
      <c r="T147" s="58">
        <f t="shared" si="95"/>
        <v>669500</v>
      </c>
      <c r="U147" s="58">
        <f t="shared" si="95"/>
        <v>669500</v>
      </c>
      <c r="V147" s="58">
        <f t="shared" si="95"/>
        <v>669500</v>
      </c>
      <c r="W147" s="38"/>
      <c r="X147" s="13"/>
      <c r="Y147" s="13"/>
      <c r="Z147" s="13"/>
      <c r="AA147" s="13"/>
      <c r="AB147" s="13"/>
      <c r="AC147" s="13"/>
    </row>
    <row r="148" spans="1:29" s="11" customFormat="1" ht="39.75" customHeight="1" x14ac:dyDescent="0.25">
      <c r="A148" s="10"/>
      <c r="B148" s="62"/>
      <c r="C148" s="62"/>
      <c r="D148" s="116"/>
      <c r="E148" s="116" t="s">
        <v>185</v>
      </c>
      <c r="F148" s="63" t="s">
        <v>186</v>
      </c>
      <c r="G148" s="117">
        <f t="shared" si="96"/>
        <v>669500</v>
      </c>
      <c r="H148" s="117"/>
      <c r="I148" s="117"/>
      <c r="J148" s="118"/>
      <c r="K148" s="118">
        <v>669500</v>
      </c>
      <c r="L148" s="117"/>
      <c r="M148" s="117"/>
      <c r="N148" s="117"/>
      <c r="O148" s="117"/>
      <c r="P148" s="117"/>
      <c r="Q148" s="117"/>
      <c r="R148" s="117"/>
      <c r="S148" s="117"/>
      <c r="T148" s="114">
        <v>669500</v>
      </c>
      <c r="U148" s="114">
        <f>SUM(H148:M148)</f>
        <v>669500</v>
      </c>
      <c r="V148" s="114">
        <v>669500</v>
      </c>
      <c r="W148" s="109" t="s">
        <v>194</v>
      </c>
      <c r="X148" s="23"/>
      <c r="Y148" s="23"/>
      <c r="Z148" s="23"/>
      <c r="AA148" s="23"/>
      <c r="AB148" s="23"/>
      <c r="AC148" s="23"/>
    </row>
    <row r="149" spans="1:29" x14ac:dyDescent="0.25">
      <c r="W149" s="35"/>
    </row>
  </sheetData>
  <mergeCells count="12">
    <mergeCell ref="A3:A4"/>
    <mergeCell ref="B3:B4"/>
    <mergeCell ref="C3:C4"/>
    <mergeCell ref="D3:D4"/>
    <mergeCell ref="E3:E4"/>
    <mergeCell ref="T3:T4"/>
    <mergeCell ref="U3:U4"/>
    <mergeCell ref="V3:V4"/>
    <mergeCell ref="F1:S1"/>
    <mergeCell ref="G3:G4"/>
    <mergeCell ref="H3:S3"/>
    <mergeCell ref="F3:F4"/>
  </mergeCells>
  <printOptions horizontalCentered="1"/>
  <pageMargins left="0.15748031496062992" right="0.15748031496062992" top="0.15748031496062992" bottom="0.15748031496062992" header="0.15748031496062992" footer="0.15748031496062992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25"/>
  <sheetViews>
    <sheetView view="pageBreakPreview" topLeftCell="A4" zoomScaleNormal="100" zoomScaleSheetLayoutView="100" workbookViewId="0">
      <selection activeCell="J26" sqref="J26"/>
    </sheetView>
  </sheetViews>
  <sheetFormatPr defaultRowHeight="15" x14ac:dyDescent="0.25"/>
  <cols>
    <col min="1" max="1" width="31.28515625" customWidth="1"/>
    <col min="2" max="16" width="13.28515625" customWidth="1"/>
  </cols>
  <sheetData>
    <row r="2" spans="1:16" x14ac:dyDescent="0.25">
      <c r="A2" s="140" t="s">
        <v>232</v>
      </c>
    </row>
    <row r="3" spans="1:16" ht="21.75" customHeight="1" x14ac:dyDescent="0.25">
      <c r="B3" s="171" t="s">
        <v>233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</row>
    <row r="4" spans="1:16" s="140" customFormat="1" ht="34.5" customHeight="1" x14ac:dyDescent="0.25">
      <c r="A4" s="171" t="s">
        <v>231</v>
      </c>
      <c r="B4" s="171" t="s">
        <v>234</v>
      </c>
      <c r="C4" s="171"/>
      <c r="D4" s="171"/>
      <c r="E4" s="171" t="s">
        <v>235</v>
      </c>
      <c r="F4" s="171"/>
      <c r="G4" s="171"/>
      <c r="H4" s="172" t="s">
        <v>239</v>
      </c>
      <c r="I4" s="172"/>
      <c r="J4" s="172"/>
      <c r="K4" s="171" t="s">
        <v>229</v>
      </c>
      <c r="L4" s="171"/>
      <c r="M4" s="171"/>
      <c r="N4" s="171" t="s">
        <v>236</v>
      </c>
      <c r="O4" s="171"/>
      <c r="P4" s="171"/>
    </row>
    <row r="5" spans="1:16" s="140" customFormat="1" ht="30" x14ac:dyDescent="0.25">
      <c r="A5" s="171"/>
      <c r="B5" s="141" t="s">
        <v>237</v>
      </c>
      <c r="C5" s="142" t="s">
        <v>241</v>
      </c>
      <c r="D5" s="142" t="s">
        <v>240</v>
      </c>
      <c r="E5" s="141" t="s">
        <v>237</v>
      </c>
      <c r="F5" s="142" t="s">
        <v>241</v>
      </c>
      <c r="G5" s="142" t="s">
        <v>240</v>
      </c>
      <c r="H5" s="141" t="s">
        <v>237</v>
      </c>
      <c r="I5" s="142" t="s">
        <v>241</v>
      </c>
      <c r="J5" s="142" t="s">
        <v>240</v>
      </c>
      <c r="K5" s="141" t="s">
        <v>237</v>
      </c>
      <c r="L5" s="142" t="s">
        <v>241</v>
      </c>
      <c r="M5" s="142" t="s">
        <v>240</v>
      </c>
      <c r="N5" s="141" t="s">
        <v>237</v>
      </c>
      <c r="O5" s="142" t="s">
        <v>241</v>
      </c>
      <c r="P5" s="142" t="s">
        <v>240</v>
      </c>
    </row>
    <row r="6" spans="1:16" ht="21" customHeight="1" x14ac:dyDescent="0.25">
      <c r="A6" s="143" t="s">
        <v>226</v>
      </c>
      <c r="B6" s="138">
        <v>10732416</v>
      </c>
      <c r="C6" s="138">
        <v>1633456.9571700001</v>
      </c>
      <c r="D6" s="138">
        <v>878653.27647000004</v>
      </c>
      <c r="E6" s="138">
        <v>2070000</v>
      </c>
      <c r="F6" s="138">
        <v>1332476.8</v>
      </c>
      <c r="G6" s="138">
        <v>113221</v>
      </c>
      <c r="H6" s="138">
        <v>270000</v>
      </c>
      <c r="I6" s="138">
        <v>102396.8</v>
      </c>
      <c r="J6" s="138"/>
      <c r="K6" s="138">
        <v>2000000</v>
      </c>
      <c r="L6" s="138">
        <v>277134.59999999998</v>
      </c>
      <c r="M6" s="138">
        <v>27632.3</v>
      </c>
      <c r="N6" s="138">
        <f>B6+E6+H6+K6</f>
        <v>15072416</v>
      </c>
      <c r="O6" s="138">
        <f>C6+F6+I6+L6</f>
        <v>3345465.15717</v>
      </c>
      <c r="P6" s="138">
        <f>D6+G6+J6+M6</f>
        <v>1019506.5764700001</v>
      </c>
    </row>
    <row r="7" spans="1:16" ht="21" customHeight="1" x14ac:dyDescent="0.25">
      <c r="A7" s="143" t="s">
        <v>227</v>
      </c>
      <c r="B7" s="138">
        <v>11937820</v>
      </c>
      <c r="C7" s="138">
        <v>979433.22953000001</v>
      </c>
      <c r="D7" s="138">
        <v>449400.82578000001</v>
      </c>
      <c r="E7" s="138">
        <v>3508816.9999999995</v>
      </c>
      <c r="F7" s="138">
        <v>1332677.8971900002</v>
      </c>
      <c r="G7" s="138">
        <v>150000</v>
      </c>
      <c r="H7" s="138">
        <v>120210.9</v>
      </c>
      <c r="I7" s="138">
        <v>119000</v>
      </c>
      <c r="J7" s="138"/>
      <c r="K7" s="138"/>
      <c r="L7" s="138"/>
      <c r="M7" s="138"/>
      <c r="N7" s="138">
        <f t="shared" ref="N7:P8" si="0">B7+E7+H7+K7</f>
        <v>15566847.9</v>
      </c>
      <c r="O7" s="138">
        <f t="shared" si="0"/>
        <v>2431111.1267200001</v>
      </c>
      <c r="P7" s="138">
        <f t="shared" si="0"/>
        <v>599400.82578000007</v>
      </c>
    </row>
    <row r="8" spans="1:16" ht="21" customHeight="1" x14ac:dyDescent="0.25">
      <c r="A8" s="143" t="s">
        <v>228</v>
      </c>
      <c r="B8" s="138">
        <v>41575147</v>
      </c>
      <c r="C8" s="138">
        <v>12336967.577190001</v>
      </c>
      <c r="D8" s="138">
        <v>6900757.3329100003</v>
      </c>
      <c r="E8" s="138">
        <v>6785726</v>
      </c>
      <c r="F8" s="138">
        <v>3801531.7902299995</v>
      </c>
      <c r="G8" s="138">
        <v>203000</v>
      </c>
      <c r="H8" s="138">
        <v>6397805</v>
      </c>
      <c r="I8" s="138">
        <v>3522955.6</v>
      </c>
      <c r="J8" s="138">
        <v>909104.5</v>
      </c>
      <c r="K8" s="138">
        <v>848582.6</v>
      </c>
      <c r="L8" s="138">
        <v>182781.4</v>
      </c>
      <c r="M8" s="138">
        <v>13711.4</v>
      </c>
      <c r="N8" s="138">
        <f t="shared" si="0"/>
        <v>55607260.600000001</v>
      </c>
      <c r="O8" s="138">
        <f t="shared" si="0"/>
        <v>19844236.367419999</v>
      </c>
      <c r="P8" s="138">
        <f t="shared" si="0"/>
        <v>8026573.2329100007</v>
      </c>
    </row>
    <row r="9" spans="1:16" s="140" customFormat="1" ht="21" customHeight="1" x14ac:dyDescent="0.25">
      <c r="A9" s="143" t="s">
        <v>230</v>
      </c>
      <c r="B9" s="139">
        <f>B6+B7+B8</f>
        <v>64245383</v>
      </c>
      <c r="C9" s="139">
        <f t="shared" ref="C9:P9" si="1">C6+C7+C8</f>
        <v>14949857.76389</v>
      </c>
      <c r="D9" s="139">
        <f t="shared" si="1"/>
        <v>8228811.4351599999</v>
      </c>
      <c r="E9" s="139">
        <f t="shared" si="1"/>
        <v>12364543</v>
      </c>
      <c r="F9" s="139">
        <f t="shared" si="1"/>
        <v>6466686.4874200001</v>
      </c>
      <c r="G9" s="139">
        <f t="shared" si="1"/>
        <v>466221</v>
      </c>
      <c r="H9" s="139">
        <f t="shared" si="1"/>
        <v>6788015.9000000004</v>
      </c>
      <c r="I9" s="139">
        <f t="shared" si="1"/>
        <v>3744352.4</v>
      </c>
      <c r="J9" s="139">
        <f t="shared" si="1"/>
        <v>909104.5</v>
      </c>
      <c r="K9" s="139">
        <f t="shared" si="1"/>
        <v>2848582.6</v>
      </c>
      <c r="L9" s="139">
        <f t="shared" si="1"/>
        <v>459916</v>
      </c>
      <c r="M9" s="139">
        <f t="shared" si="1"/>
        <v>41343.699999999997</v>
      </c>
      <c r="N9" s="139">
        <f t="shared" si="1"/>
        <v>86246524.5</v>
      </c>
      <c r="O9" s="139">
        <f t="shared" si="1"/>
        <v>25620812.651309997</v>
      </c>
      <c r="P9" s="139">
        <f t="shared" si="1"/>
        <v>9645480.635160001</v>
      </c>
    </row>
    <row r="10" spans="1:16" x14ac:dyDescent="0.25">
      <c r="A10" s="144"/>
    </row>
    <row r="11" spans="1:16" x14ac:dyDescent="0.25">
      <c r="A11" s="144"/>
    </row>
    <row r="12" spans="1:16" x14ac:dyDescent="0.25">
      <c r="A12" s="144"/>
    </row>
    <row r="13" spans="1:16" x14ac:dyDescent="0.25">
      <c r="A13" s="145" t="s">
        <v>238</v>
      </c>
    </row>
    <row r="14" spans="1:16" s="140" customFormat="1" ht="18" customHeight="1" x14ac:dyDescent="0.25">
      <c r="A14" s="145"/>
      <c r="B14" s="171" t="s">
        <v>233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</row>
    <row r="15" spans="1:16" s="140" customFormat="1" ht="33" customHeight="1" x14ac:dyDescent="0.25">
      <c r="A15" s="171" t="s">
        <v>231</v>
      </c>
      <c r="B15" s="171" t="s">
        <v>234</v>
      </c>
      <c r="C15" s="171"/>
      <c r="D15" s="171"/>
      <c r="E15" s="171" t="s">
        <v>235</v>
      </c>
      <c r="F15" s="171"/>
      <c r="G15" s="171"/>
      <c r="H15" s="172" t="s">
        <v>239</v>
      </c>
      <c r="I15" s="172"/>
      <c r="J15" s="172"/>
      <c r="K15" s="171" t="s">
        <v>229</v>
      </c>
      <c r="L15" s="171"/>
      <c r="M15" s="171"/>
      <c r="N15" s="171" t="s">
        <v>236</v>
      </c>
      <c r="O15" s="171"/>
      <c r="P15" s="171"/>
    </row>
    <row r="16" spans="1:16" s="140" customFormat="1" ht="30" x14ac:dyDescent="0.25">
      <c r="A16" s="171"/>
      <c r="B16" s="141" t="s">
        <v>237</v>
      </c>
      <c r="C16" s="142" t="s">
        <v>241</v>
      </c>
      <c r="D16" s="142" t="s">
        <v>240</v>
      </c>
      <c r="E16" s="141" t="s">
        <v>237</v>
      </c>
      <c r="F16" s="142" t="s">
        <v>241</v>
      </c>
      <c r="G16" s="142" t="s">
        <v>240</v>
      </c>
      <c r="H16" s="141" t="s">
        <v>237</v>
      </c>
      <c r="I16" s="142" t="s">
        <v>241</v>
      </c>
      <c r="J16" s="142" t="s">
        <v>240</v>
      </c>
      <c r="K16" s="141" t="s">
        <v>237</v>
      </c>
      <c r="L16" s="142" t="s">
        <v>241</v>
      </c>
      <c r="M16" s="142" t="s">
        <v>240</v>
      </c>
      <c r="N16" s="141" t="s">
        <v>237</v>
      </c>
      <c r="O16" s="142" t="s">
        <v>241</v>
      </c>
      <c r="P16" s="142" t="s">
        <v>240</v>
      </c>
    </row>
    <row r="17" spans="1:16" ht="21" customHeight="1" x14ac:dyDescent="0.25">
      <c r="A17" s="143" t="s">
        <v>226</v>
      </c>
      <c r="B17" s="138">
        <v>9252082.6999999993</v>
      </c>
      <c r="C17" s="138">
        <v>1408152.5492799999</v>
      </c>
      <c r="D17" s="138">
        <v>757459.72109000001</v>
      </c>
      <c r="E17" s="138">
        <v>1784482.7586206899</v>
      </c>
      <c r="F17" s="138">
        <v>1148686.8965517243</v>
      </c>
      <c r="G17" s="138">
        <f>G6/1.16</f>
        <v>97604.310344827594</v>
      </c>
      <c r="H17" s="138">
        <v>232758.62068965519</v>
      </c>
      <c r="I17" s="138">
        <v>88273.10344827587</v>
      </c>
      <c r="J17" s="138">
        <f>J6/1.16</f>
        <v>0</v>
      </c>
      <c r="K17" s="138">
        <v>1724137.9310344828</v>
      </c>
      <c r="L17" s="138">
        <v>238909.13793103449</v>
      </c>
      <c r="M17" s="138">
        <f>M6/1.16</f>
        <v>23820.948275862069</v>
      </c>
      <c r="N17" s="138">
        <f>B17+E17+H17+K17</f>
        <v>12993462.010344828</v>
      </c>
      <c r="O17" s="138">
        <f>C17+F17+I17+L17</f>
        <v>2884021.6872110348</v>
      </c>
      <c r="P17" s="138">
        <f t="shared" ref="P17:P19" si="2">D17+G17+J17+M17</f>
        <v>878884.97971068963</v>
      </c>
    </row>
    <row r="18" spans="1:16" ht="21" customHeight="1" x14ac:dyDescent="0.25">
      <c r="A18" s="143" t="s">
        <v>227</v>
      </c>
      <c r="B18" s="138">
        <v>10291224.1</v>
      </c>
      <c r="C18" s="138">
        <v>884338.99097000004</v>
      </c>
      <c r="D18" s="138">
        <v>387414.50498000003</v>
      </c>
      <c r="E18" s="138">
        <v>3024842.2413793104</v>
      </c>
      <c r="F18" s="138">
        <v>1148860.2561982761</v>
      </c>
      <c r="G18" s="138">
        <f t="shared" ref="G18:G19" si="3">G7/1.16</f>
        <v>129310.34482758622</v>
      </c>
      <c r="H18" s="138">
        <v>103630.08620689655</v>
      </c>
      <c r="I18" s="138">
        <v>102586.20689655172</v>
      </c>
      <c r="J18" s="138">
        <f t="shared" ref="J18:J19" si="4">J7/1.16</f>
        <v>0</v>
      </c>
      <c r="K18" s="138">
        <v>0</v>
      </c>
      <c r="L18" s="138">
        <v>0</v>
      </c>
      <c r="M18" s="138">
        <f t="shared" ref="M18:M19" si="5">M7/1.16</f>
        <v>0</v>
      </c>
      <c r="N18" s="138">
        <f t="shared" ref="N18:O19" si="6">B18+E18+H18+K18</f>
        <v>13419696.427586207</v>
      </c>
      <c r="O18" s="138">
        <f t="shared" si="6"/>
        <v>2135785.4540648279</v>
      </c>
      <c r="P18" s="138">
        <f t="shared" si="2"/>
        <v>516724.84980758623</v>
      </c>
    </row>
    <row r="19" spans="1:16" ht="21" customHeight="1" x14ac:dyDescent="0.25">
      <c r="A19" s="143" t="s">
        <v>228</v>
      </c>
      <c r="B19" s="138">
        <v>35840644</v>
      </c>
      <c r="C19" s="138">
        <v>10635316.87689</v>
      </c>
      <c r="D19" s="138">
        <v>5948928.7352700001</v>
      </c>
      <c r="E19" s="138">
        <v>5849763.793103449</v>
      </c>
      <c r="F19" s="138">
        <v>3277182.5777844824</v>
      </c>
      <c r="G19" s="138">
        <f t="shared" si="3"/>
        <v>175000</v>
      </c>
      <c r="H19" s="138">
        <v>5515349.1379310349</v>
      </c>
      <c r="I19" s="138">
        <v>3037030.6896551726</v>
      </c>
      <c r="J19" s="138">
        <f t="shared" si="4"/>
        <v>783710.77586206899</v>
      </c>
      <c r="K19" s="138">
        <v>731536.72413793101</v>
      </c>
      <c r="L19" s="138">
        <v>157570.1724137931</v>
      </c>
      <c r="M19" s="138">
        <f t="shared" si="5"/>
        <v>11820.172413793103</v>
      </c>
      <c r="N19" s="138">
        <f t="shared" si="6"/>
        <v>47937293.655172415</v>
      </c>
      <c r="O19" s="138">
        <f t="shared" si="6"/>
        <v>17107100.316743448</v>
      </c>
      <c r="P19" s="138">
        <f t="shared" si="2"/>
        <v>6919459.6835458623</v>
      </c>
    </row>
    <row r="20" spans="1:16" s="140" customFormat="1" ht="21" customHeight="1" x14ac:dyDescent="0.25">
      <c r="A20" s="143" t="s">
        <v>230</v>
      </c>
      <c r="B20" s="139">
        <f>B17+B18+B19</f>
        <v>55383950.799999997</v>
      </c>
      <c r="C20" s="139">
        <f t="shared" ref="C20:P20" si="7">C17+C18+C19</f>
        <v>12927808.41714</v>
      </c>
      <c r="D20" s="139">
        <f t="shared" si="7"/>
        <v>7093802.9613399999</v>
      </c>
      <c r="E20" s="139">
        <f t="shared" si="7"/>
        <v>10659088.793103449</v>
      </c>
      <c r="F20" s="139">
        <f t="shared" si="7"/>
        <v>5574729.7305344827</v>
      </c>
      <c r="G20" s="139">
        <f t="shared" si="7"/>
        <v>401914.6551724138</v>
      </c>
      <c r="H20" s="139">
        <f t="shared" si="7"/>
        <v>5851737.8448275868</v>
      </c>
      <c r="I20" s="139">
        <f t="shared" si="7"/>
        <v>3227890</v>
      </c>
      <c r="J20" s="139">
        <f t="shared" si="7"/>
        <v>783710.77586206899</v>
      </c>
      <c r="K20" s="139">
        <f t="shared" si="7"/>
        <v>2455674.6551724137</v>
      </c>
      <c r="L20" s="139">
        <f t="shared" si="7"/>
        <v>396479.31034482759</v>
      </c>
      <c r="M20" s="139">
        <f t="shared" si="7"/>
        <v>35641.120689655174</v>
      </c>
      <c r="N20" s="139">
        <f t="shared" si="7"/>
        <v>74350452.093103454</v>
      </c>
      <c r="O20" s="139">
        <f t="shared" si="7"/>
        <v>22126907.458019309</v>
      </c>
      <c r="P20" s="139">
        <f t="shared" si="7"/>
        <v>8315069.5130641386</v>
      </c>
    </row>
    <row r="23" spans="1:16" x14ac:dyDescent="0.25">
      <c r="A23" t="s">
        <v>226</v>
      </c>
      <c r="B23" s="146">
        <f>G17+J17+M17</f>
        <v>121425.25862068967</v>
      </c>
    </row>
    <row r="24" spans="1:16" x14ac:dyDescent="0.25">
      <c r="A24" t="s">
        <v>227</v>
      </c>
      <c r="B24" s="146">
        <f t="shared" ref="B24:B25" si="8">G18+J18+M18</f>
        <v>129310.34482758622</v>
      </c>
    </row>
    <row r="25" spans="1:16" x14ac:dyDescent="0.25">
      <c r="A25" t="s">
        <v>228</v>
      </c>
      <c r="B25" s="146">
        <f t="shared" si="8"/>
        <v>970530.94827586215</v>
      </c>
    </row>
  </sheetData>
  <mergeCells count="14">
    <mergeCell ref="B3:P3"/>
    <mergeCell ref="A4:A5"/>
    <mergeCell ref="B4:D4"/>
    <mergeCell ref="E4:G4"/>
    <mergeCell ref="H4:J4"/>
    <mergeCell ref="K4:M4"/>
    <mergeCell ref="N4:P4"/>
    <mergeCell ref="B14:P14"/>
    <mergeCell ref="A15:A16"/>
    <mergeCell ref="B15:D15"/>
    <mergeCell ref="E15:G15"/>
    <mergeCell ref="H15:J15"/>
    <mergeCell ref="K15:M15"/>
    <mergeCell ref="N15:P15"/>
  </mergeCells>
  <pageMargins left="0" right="0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7"/>
  <sheetViews>
    <sheetView topLeftCell="B1" workbookViewId="0">
      <selection activeCell="T8" sqref="T8"/>
    </sheetView>
  </sheetViews>
  <sheetFormatPr defaultColWidth="9.140625" defaultRowHeight="15" x14ac:dyDescent="0.25"/>
  <cols>
    <col min="1" max="1" width="4" style="1" hidden="1" customWidth="1"/>
    <col min="2" max="5" width="5.85546875" style="14" customWidth="1"/>
    <col min="6" max="6" width="53.85546875" style="157" customWidth="1"/>
    <col min="7" max="7" width="14" style="16" customWidth="1"/>
    <col min="8" max="8" width="13.5703125" style="21" customWidth="1"/>
    <col min="9" max="16384" width="9.140625" style="1"/>
  </cols>
  <sheetData>
    <row r="1" spans="1:8" s="102" customFormat="1" ht="15.75" x14ac:dyDescent="0.25">
      <c r="A1" s="100"/>
      <c r="B1" s="100"/>
      <c r="C1" s="100"/>
      <c r="D1" s="100"/>
      <c r="E1" s="100"/>
      <c r="F1" s="167" t="s">
        <v>140</v>
      </c>
      <c r="G1" s="167"/>
      <c r="H1" s="101"/>
    </row>
    <row r="2" spans="1:8" s="3" customFormat="1" x14ac:dyDescent="0.25">
      <c r="A2" s="44"/>
      <c r="B2" s="44"/>
      <c r="C2" s="44"/>
      <c r="D2" s="44"/>
      <c r="E2" s="44"/>
      <c r="F2" s="156"/>
      <c r="G2" s="45"/>
      <c r="H2" s="20"/>
    </row>
    <row r="3" spans="1:8" s="3" customFormat="1" x14ac:dyDescent="0.25">
      <c r="A3" s="147" t="s">
        <v>20</v>
      </c>
      <c r="B3" s="147" t="s">
        <v>21</v>
      </c>
      <c r="C3" s="147" t="s">
        <v>22</v>
      </c>
      <c r="D3" s="147" t="s">
        <v>23</v>
      </c>
      <c r="E3" s="147" t="s">
        <v>24</v>
      </c>
      <c r="F3" s="147" t="s">
        <v>19</v>
      </c>
      <c r="G3" s="50" t="s">
        <v>6</v>
      </c>
      <c r="H3" s="20"/>
    </row>
    <row r="4" spans="1:8" s="3" customFormat="1" x14ac:dyDescent="0.25">
      <c r="A4" s="147"/>
      <c r="B4" s="158"/>
      <c r="C4" s="158"/>
      <c r="D4" s="158"/>
      <c r="E4" s="158"/>
      <c r="F4" s="159" t="s">
        <v>236</v>
      </c>
      <c r="G4" s="160">
        <f>G5+G14+G54</f>
        <v>1306448.2</v>
      </c>
      <c r="H4" s="20"/>
    </row>
    <row r="5" spans="1:8" s="12" customFormat="1" ht="42.75" x14ac:dyDescent="0.25">
      <c r="A5" s="8"/>
      <c r="B5" s="55"/>
      <c r="C5" s="64" t="s">
        <v>17</v>
      </c>
      <c r="D5" s="56"/>
      <c r="E5" s="56"/>
      <c r="F5" s="65" t="s">
        <v>18</v>
      </c>
      <c r="G5" s="66">
        <f t="shared" ref="G5" si="0">G6</f>
        <v>353000</v>
      </c>
      <c r="H5" s="25"/>
    </row>
    <row r="6" spans="1:8" s="12" customFormat="1" x14ac:dyDescent="0.25">
      <c r="A6" s="8"/>
      <c r="B6" s="59"/>
      <c r="C6" s="67"/>
      <c r="D6" s="60" t="s">
        <v>13</v>
      </c>
      <c r="E6" s="60"/>
      <c r="F6" s="61" t="s">
        <v>14</v>
      </c>
      <c r="G6" s="68">
        <f>G7+G12</f>
        <v>353000</v>
      </c>
      <c r="H6" s="25"/>
    </row>
    <row r="7" spans="1:8" s="12" customFormat="1" x14ac:dyDescent="0.25">
      <c r="A7" s="8"/>
      <c r="B7" s="59"/>
      <c r="C7" s="67"/>
      <c r="D7" s="69"/>
      <c r="E7" s="70" t="s">
        <v>15</v>
      </c>
      <c r="F7" s="71" t="s">
        <v>16</v>
      </c>
      <c r="G7" s="50">
        <f>SUM(G8:G11)</f>
        <v>203000</v>
      </c>
      <c r="H7" s="25"/>
    </row>
    <row r="8" spans="1:8" s="12" customFormat="1" ht="45" x14ac:dyDescent="0.25">
      <c r="A8" s="8"/>
      <c r="B8" s="59"/>
      <c r="C8" s="67"/>
      <c r="D8" s="69"/>
      <c r="E8" s="70"/>
      <c r="F8" s="103" t="s">
        <v>52</v>
      </c>
      <c r="G8" s="150">
        <f>147488+126768+295452-456708</f>
        <v>113000</v>
      </c>
      <c r="H8" s="28"/>
    </row>
    <row r="9" spans="1:8" s="12" customFormat="1" ht="45" x14ac:dyDescent="0.25">
      <c r="A9" s="8"/>
      <c r="B9" s="59"/>
      <c r="C9" s="67"/>
      <c r="D9" s="69"/>
      <c r="E9" s="70"/>
      <c r="F9" s="103" t="s">
        <v>134</v>
      </c>
      <c r="G9" s="150">
        <f>200000-100000-70000</f>
        <v>30000</v>
      </c>
      <c r="H9" s="25"/>
    </row>
    <row r="10" spans="1:8" s="12" customFormat="1" ht="45" x14ac:dyDescent="0.25">
      <c r="A10" s="8"/>
      <c r="B10" s="59"/>
      <c r="C10" s="67"/>
      <c r="D10" s="69"/>
      <c r="E10" s="70"/>
      <c r="F10" s="72" t="s">
        <v>135</v>
      </c>
      <c r="G10" s="150">
        <f>103517-73517</f>
        <v>30000</v>
      </c>
      <c r="H10" s="25"/>
    </row>
    <row r="11" spans="1:8" s="12" customFormat="1" ht="60" x14ac:dyDescent="0.25">
      <c r="A11" s="8"/>
      <c r="B11" s="59"/>
      <c r="C11" s="67"/>
      <c r="D11" s="69"/>
      <c r="E11" s="70"/>
      <c r="F11" s="72" t="s">
        <v>136</v>
      </c>
      <c r="G11" s="150">
        <f>105694-75694</f>
        <v>30000</v>
      </c>
      <c r="H11" s="25"/>
    </row>
    <row r="12" spans="1:8" s="12" customFormat="1" x14ac:dyDescent="0.25">
      <c r="A12" s="8"/>
      <c r="B12" s="59"/>
      <c r="C12" s="67"/>
      <c r="D12" s="69"/>
      <c r="E12" s="70" t="s">
        <v>35</v>
      </c>
      <c r="F12" s="71" t="s">
        <v>36</v>
      </c>
      <c r="G12" s="150">
        <f>SUM(G13:G13)</f>
        <v>150000</v>
      </c>
      <c r="H12" s="25"/>
    </row>
    <row r="13" spans="1:8" s="12" customFormat="1" ht="45" x14ac:dyDescent="0.25">
      <c r="A13" s="8"/>
      <c r="B13" s="59"/>
      <c r="C13" s="67"/>
      <c r="D13" s="69"/>
      <c r="E13" s="70"/>
      <c r="F13" s="103" t="s">
        <v>133</v>
      </c>
      <c r="G13" s="150">
        <f>500000+100000-450000</f>
        <v>150000</v>
      </c>
      <c r="H13" s="25"/>
    </row>
    <row r="14" spans="1:8" s="2" customFormat="1" ht="28.5" x14ac:dyDescent="0.25">
      <c r="A14" s="7"/>
      <c r="B14" s="55"/>
      <c r="C14" s="55">
        <v>113</v>
      </c>
      <c r="D14" s="73"/>
      <c r="E14" s="74"/>
      <c r="F14" s="75" t="s">
        <v>25</v>
      </c>
      <c r="G14" s="66">
        <f t="shared" ref="G14:G15" si="1">G15</f>
        <v>925815.9</v>
      </c>
      <c r="H14" s="30"/>
    </row>
    <row r="15" spans="1:8" s="6" customFormat="1" ht="14.25" x14ac:dyDescent="0.2">
      <c r="A15" s="7"/>
      <c r="B15" s="59"/>
      <c r="C15" s="59"/>
      <c r="D15" s="60" t="s">
        <v>13</v>
      </c>
      <c r="E15" s="60"/>
      <c r="F15" s="61" t="s">
        <v>14</v>
      </c>
      <c r="G15" s="76">
        <f t="shared" si="1"/>
        <v>925815.9</v>
      </c>
      <c r="H15" s="31"/>
    </row>
    <row r="16" spans="1:8" s="6" customFormat="1" ht="30" x14ac:dyDescent="0.2">
      <c r="A16" s="7"/>
      <c r="B16" s="59"/>
      <c r="C16" s="59"/>
      <c r="D16" s="7"/>
      <c r="E16" s="70">
        <v>339</v>
      </c>
      <c r="F16" s="77" t="s">
        <v>26</v>
      </c>
      <c r="G16" s="149">
        <f>G17+G19+G22+G24+G27+G29+G33+G38+G40+G42+G45+G50+G52</f>
        <v>925815.9</v>
      </c>
      <c r="H16" s="31"/>
    </row>
    <row r="17" spans="1:8" s="6" customFormat="1" ht="14.25" x14ac:dyDescent="0.2">
      <c r="A17" s="7"/>
      <c r="B17" s="59"/>
      <c r="C17" s="59"/>
      <c r="D17" s="7"/>
      <c r="E17" s="69"/>
      <c r="F17" s="78" t="s">
        <v>30</v>
      </c>
      <c r="G17" s="80">
        <f>SUM(G18:G18)</f>
        <v>23365</v>
      </c>
      <c r="H17" s="31"/>
    </row>
    <row r="18" spans="1:8" s="6" customFormat="1" ht="45" x14ac:dyDescent="0.2">
      <c r="A18" s="7"/>
      <c r="B18" s="59"/>
      <c r="C18" s="70" t="s">
        <v>44</v>
      </c>
      <c r="D18" s="70" t="s">
        <v>42</v>
      </c>
      <c r="E18" s="70" t="s">
        <v>41</v>
      </c>
      <c r="F18" s="104" t="s">
        <v>85</v>
      </c>
      <c r="G18" s="151">
        <f>29060+51000-56695</f>
        <v>23365</v>
      </c>
      <c r="H18" s="31"/>
    </row>
    <row r="19" spans="1:8" s="9" customFormat="1" x14ac:dyDescent="0.2">
      <c r="A19" s="8"/>
      <c r="B19" s="59"/>
      <c r="C19" s="70"/>
      <c r="D19" s="70"/>
      <c r="E19" s="70"/>
      <c r="F19" s="86" t="s">
        <v>50</v>
      </c>
      <c r="G19" s="152">
        <f>SUM(G20:G21)</f>
        <v>99505.5</v>
      </c>
      <c r="H19" s="13"/>
    </row>
    <row r="20" spans="1:8" s="9" customFormat="1" x14ac:dyDescent="0.2">
      <c r="A20" s="8"/>
      <c r="B20" s="59"/>
      <c r="C20" s="70" t="s">
        <v>44</v>
      </c>
      <c r="D20" s="70" t="s">
        <v>42</v>
      </c>
      <c r="E20" s="70" t="s">
        <v>41</v>
      </c>
      <c r="F20" s="81" t="s">
        <v>62</v>
      </c>
      <c r="G20" s="150">
        <f>31022.5+10000</f>
        <v>41022.5</v>
      </c>
      <c r="H20" s="13"/>
    </row>
    <row r="21" spans="1:8" s="9" customFormat="1" ht="30" x14ac:dyDescent="0.2">
      <c r="A21" s="8"/>
      <c r="B21" s="59"/>
      <c r="C21" s="70" t="s">
        <v>44</v>
      </c>
      <c r="D21" s="70" t="s">
        <v>43</v>
      </c>
      <c r="E21" s="70" t="s">
        <v>41</v>
      </c>
      <c r="F21" s="81" t="s">
        <v>88</v>
      </c>
      <c r="G21" s="150">
        <v>58483</v>
      </c>
      <c r="H21" s="13"/>
    </row>
    <row r="22" spans="1:8" s="9" customFormat="1" x14ac:dyDescent="0.2">
      <c r="A22" s="8"/>
      <c r="B22" s="59"/>
      <c r="C22" s="62"/>
      <c r="D22" s="147"/>
      <c r="E22" s="70"/>
      <c r="F22" s="78" t="s">
        <v>38</v>
      </c>
      <c r="G22" s="153">
        <f>SUM(G23:G23)</f>
        <v>50000</v>
      </c>
      <c r="H22" s="13"/>
    </row>
    <row r="23" spans="1:8" s="9" customFormat="1" ht="30" x14ac:dyDescent="0.2">
      <c r="A23" s="8"/>
      <c r="B23" s="59"/>
      <c r="C23" s="70" t="s">
        <v>44</v>
      </c>
      <c r="D23" s="70" t="s">
        <v>43</v>
      </c>
      <c r="E23" s="70" t="s">
        <v>41</v>
      </c>
      <c r="F23" s="85" t="s">
        <v>95</v>
      </c>
      <c r="G23" s="150">
        <v>50000</v>
      </c>
      <c r="H23" s="13"/>
    </row>
    <row r="24" spans="1:8" s="9" customFormat="1" x14ac:dyDescent="0.2">
      <c r="A24" s="8"/>
      <c r="B24" s="59"/>
      <c r="C24" s="62"/>
      <c r="D24" s="147"/>
      <c r="E24" s="70"/>
      <c r="F24" s="78" t="s">
        <v>51</v>
      </c>
      <c r="G24" s="80">
        <f>SUM(G25:G26)</f>
        <v>37500</v>
      </c>
      <c r="H24" s="13"/>
    </row>
    <row r="25" spans="1:8" s="9" customFormat="1" ht="45" x14ac:dyDescent="0.2">
      <c r="A25" s="8"/>
      <c r="B25" s="59"/>
      <c r="C25" s="70" t="s">
        <v>44</v>
      </c>
      <c r="D25" s="70" t="s">
        <v>42</v>
      </c>
      <c r="E25" s="70" t="s">
        <v>41</v>
      </c>
      <c r="F25" s="104" t="s">
        <v>147</v>
      </c>
      <c r="G25" s="149">
        <f>40000-10000</f>
        <v>30000</v>
      </c>
      <c r="H25" s="13"/>
    </row>
    <row r="26" spans="1:8" s="9" customFormat="1" ht="30" x14ac:dyDescent="0.2">
      <c r="A26" s="8"/>
      <c r="B26" s="59"/>
      <c r="C26" s="70" t="s">
        <v>44</v>
      </c>
      <c r="D26" s="70" t="s">
        <v>43</v>
      </c>
      <c r="E26" s="70" t="s">
        <v>41</v>
      </c>
      <c r="F26" s="81" t="s">
        <v>97</v>
      </c>
      <c r="G26" s="84">
        <f>80000-72500</f>
        <v>7500</v>
      </c>
      <c r="H26" s="13"/>
    </row>
    <row r="27" spans="1:8" s="6" customFormat="1" x14ac:dyDescent="0.2">
      <c r="A27" s="7"/>
      <c r="B27" s="59"/>
      <c r="C27" s="62"/>
      <c r="D27" s="147"/>
      <c r="E27" s="70"/>
      <c r="F27" s="78" t="s">
        <v>31</v>
      </c>
      <c r="G27" s="80">
        <f>SUM(G28:G28)</f>
        <v>100000</v>
      </c>
      <c r="H27" s="31"/>
    </row>
    <row r="28" spans="1:8" s="9" customFormat="1" ht="45" x14ac:dyDescent="0.2">
      <c r="A28" s="8"/>
      <c r="B28" s="59"/>
      <c r="C28" s="70" t="s">
        <v>45</v>
      </c>
      <c r="D28" s="70" t="s">
        <v>42</v>
      </c>
      <c r="E28" s="70" t="s">
        <v>41</v>
      </c>
      <c r="F28" s="104" t="s">
        <v>100</v>
      </c>
      <c r="G28" s="50">
        <f>50000+50000</f>
        <v>100000</v>
      </c>
      <c r="H28" s="13"/>
    </row>
    <row r="29" spans="1:8" s="6" customFormat="1" x14ac:dyDescent="0.2">
      <c r="A29" s="7"/>
      <c r="B29" s="59"/>
      <c r="C29" s="62"/>
      <c r="D29" s="147"/>
      <c r="E29" s="70"/>
      <c r="F29" s="78" t="s">
        <v>27</v>
      </c>
      <c r="G29" s="80">
        <f>SUM(G30:G32)</f>
        <v>157387.6</v>
      </c>
      <c r="H29" s="31"/>
    </row>
    <row r="30" spans="1:8" s="9" customFormat="1" ht="60" x14ac:dyDescent="0.2">
      <c r="A30" s="8"/>
      <c r="B30" s="59"/>
      <c r="C30" s="62" t="s">
        <v>44</v>
      </c>
      <c r="D30" s="147" t="s">
        <v>42</v>
      </c>
      <c r="E30" s="70" t="s">
        <v>41</v>
      </c>
      <c r="F30" s="106" t="s">
        <v>101</v>
      </c>
      <c r="G30" s="149">
        <v>20000</v>
      </c>
      <c r="H30" s="13"/>
    </row>
    <row r="31" spans="1:8" s="9" customFormat="1" ht="45" x14ac:dyDescent="0.2">
      <c r="A31" s="8"/>
      <c r="B31" s="59"/>
      <c r="C31" s="62" t="s">
        <v>44</v>
      </c>
      <c r="D31" s="70" t="s">
        <v>42</v>
      </c>
      <c r="E31" s="70" t="s">
        <v>41</v>
      </c>
      <c r="F31" s="104" t="s">
        <v>102</v>
      </c>
      <c r="G31" s="149">
        <f>25000+50000</f>
        <v>75000</v>
      </c>
      <c r="H31" s="13"/>
    </row>
    <row r="32" spans="1:8" s="9" customFormat="1" ht="30" x14ac:dyDescent="0.2">
      <c r="A32" s="8"/>
      <c r="B32" s="59"/>
      <c r="C32" s="62" t="s">
        <v>44</v>
      </c>
      <c r="D32" s="70" t="s">
        <v>43</v>
      </c>
      <c r="E32" s="70" t="s">
        <v>41</v>
      </c>
      <c r="F32" s="81" t="s">
        <v>105</v>
      </c>
      <c r="G32" s="149">
        <f>40000-5960+28347.6</f>
        <v>62387.6</v>
      </c>
      <c r="H32" s="13"/>
    </row>
    <row r="33" spans="1:8" s="6" customFormat="1" x14ac:dyDescent="0.2">
      <c r="A33" s="7"/>
      <c r="B33" s="59"/>
      <c r="C33" s="70"/>
      <c r="D33" s="70"/>
      <c r="E33" s="70"/>
      <c r="F33" s="78" t="s">
        <v>40</v>
      </c>
      <c r="G33" s="80">
        <f>SUM(G34:G37)</f>
        <v>52351</v>
      </c>
      <c r="H33" s="31"/>
    </row>
    <row r="34" spans="1:8" s="9" customFormat="1" ht="75" x14ac:dyDescent="0.2">
      <c r="A34" s="8"/>
      <c r="B34" s="59"/>
      <c r="C34" s="70" t="s">
        <v>44</v>
      </c>
      <c r="D34" s="70" t="s">
        <v>42</v>
      </c>
      <c r="E34" s="70" t="s">
        <v>41</v>
      </c>
      <c r="F34" s="107" t="s">
        <v>189</v>
      </c>
      <c r="G34" s="149">
        <f>300+35000-20000</f>
        <v>15300</v>
      </c>
      <c r="H34" s="13"/>
    </row>
    <row r="35" spans="1:8" s="9" customFormat="1" x14ac:dyDescent="0.2">
      <c r="A35" s="8"/>
      <c r="B35" s="59"/>
      <c r="C35" s="70" t="s">
        <v>44</v>
      </c>
      <c r="D35" s="70" t="s">
        <v>68</v>
      </c>
      <c r="E35" s="70" t="s">
        <v>41</v>
      </c>
      <c r="F35" s="88" t="s">
        <v>70</v>
      </c>
      <c r="G35" s="149">
        <v>3000</v>
      </c>
      <c r="H35" s="13"/>
    </row>
    <row r="36" spans="1:8" s="9" customFormat="1" ht="30" x14ac:dyDescent="0.2">
      <c r="A36" s="8"/>
      <c r="B36" s="59"/>
      <c r="C36" s="70" t="s">
        <v>44</v>
      </c>
      <c r="D36" s="70" t="s">
        <v>43</v>
      </c>
      <c r="E36" s="70" t="s">
        <v>41</v>
      </c>
      <c r="F36" s="81" t="s">
        <v>64</v>
      </c>
      <c r="G36" s="154">
        <v>14051</v>
      </c>
      <c r="H36" s="13"/>
    </row>
    <row r="37" spans="1:8" s="9" customFormat="1" x14ac:dyDescent="0.2">
      <c r="A37" s="8"/>
      <c r="B37" s="59"/>
      <c r="C37" s="70" t="s">
        <v>44</v>
      </c>
      <c r="D37" s="70" t="s">
        <v>43</v>
      </c>
      <c r="E37" s="70" t="s">
        <v>41</v>
      </c>
      <c r="F37" s="81" t="s">
        <v>63</v>
      </c>
      <c r="G37" s="154">
        <f>35405.5-15405.5</f>
        <v>20000</v>
      </c>
      <c r="H37" s="13"/>
    </row>
    <row r="38" spans="1:8" s="6" customFormat="1" x14ac:dyDescent="0.2">
      <c r="A38" s="7"/>
      <c r="B38" s="59"/>
      <c r="C38" s="62"/>
      <c r="D38" s="147"/>
      <c r="E38" s="70"/>
      <c r="F38" s="78" t="s">
        <v>28</v>
      </c>
      <c r="G38" s="152">
        <f>SUM(G39:G39)</f>
        <v>20000</v>
      </c>
      <c r="H38" s="31"/>
    </row>
    <row r="39" spans="1:8" s="9" customFormat="1" ht="30" x14ac:dyDescent="0.2">
      <c r="A39" s="8"/>
      <c r="B39" s="59"/>
      <c r="C39" s="70" t="s">
        <v>44</v>
      </c>
      <c r="D39" s="70" t="s">
        <v>43</v>
      </c>
      <c r="E39" s="70" t="s">
        <v>41</v>
      </c>
      <c r="F39" s="81" t="s">
        <v>114</v>
      </c>
      <c r="G39" s="154">
        <v>20000</v>
      </c>
      <c r="H39" s="13"/>
    </row>
    <row r="40" spans="1:8" s="6" customFormat="1" x14ac:dyDescent="0.2">
      <c r="A40" s="7"/>
      <c r="B40" s="59"/>
      <c r="C40" s="62"/>
      <c r="D40" s="147"/>
      <c r="E40" s="70"/>
      <c r="F40" s="78" t="s">
        <v>32</v>
      </c>
      <c r="G40" s="153">
        <f>SUM(G41:G41)</f>
        <v>25000</v>
      </c>
      <c r="H40" s="31"/>
    </row>
    <row r="41" spans="1:8" s="9" customFormat="1" x14ac:dyDescent="0.2">
      <c r="A41" s="8"/>
      <c r="B41" s="59"/>
      <c r="C41" s="70" t="s">
        <v>44</v>
      </c>
      <c r="D41" s="70" t="s">
        <v>43</v>
      </c>
      <c r="E41" s="70" t="s">
        <v>41</v>
      </c>
      <c r="F41" s="81" t="s">
        <v>117</v>
      </c>
      <c r="G41" s="150">
        <v>25000</v>
      </c>
      <c r="H41" s="13"/>
    </row>
    <row r="42" spans="1:8" s="9" customFormat="1" x14ac:dyDescent="0.2">
      <c r="A42" s="8"/>
      <c r="B42" s="59"/>
      <c r="C42" s="62"/>
      <c r="D42" s="147"/>
      <c r="E42" s="70"/>
      <c r="F42" s="89" t="s">
        <v>56</v>
      </c>
      <c r="G42" s="153">
        <f>SUM(G43:G44)</f>
        <v>80549</v>
      </c>
      <c r="H42" s="13"/>
    </row>
    <row r="43" spans="1:8" s="9" customFormat="1" ht="30" x14ac:dyDescent="0.2">
      <c r="A43" s="8"/>
      <c r="B43" s="59"/>
      <c r="C43" s="70" t="s">
        <v>44</v>
      </c>
      <c r="D43" s="70" t="s">
        <v>42</v>
      </c>
      <c r="E43" s="70" t="s">
        <v>41</v>
      </c>
      <c r="F43" s="104" t="s">
        <v>119</v>
      </c>
      <c r="G43" s="151">
        <f>20870+15000-2900</f>
        <v>32970</v>
      </c>
      <c r="H43" s="13"/>
    </row>
    <row r="44" spans="1:8" s="9" customFormat="1" ht="30" x14ac:dyDescent="0.2">
      <c r="A44" s="8"/>
      <c r="B44" s="59"/>
      <c r="C44" s="70" t="s">
        <v>44</v>
      </c>
      <c r="D44" s="70" t="s">
        <v>43</v>
      </c>
      <c r="E44" s="70" t="s">
        <v>41</v>
      </c>
      <c r="F44" s="81" t="s">
        <v>121</v>
      </c>
      <c r="G44" s="151">
        <f>21000+28608-2029</f>
        <v>47579</v>
      </c>
      <c r="H44" s="13"/>
    </row>
    <row r="45" spans="1:8" s="6" customFormat="1" x14ac:dyDescent="0.2">
      <c r="A45" s="7"/>
      <c r="B45" s="59"/>
      <c r="C45" s="62"/>
      <c r="D45" s="147"/>
      <c r="E45" s="70"/>
      <c r="F45" s="89" t="s">
        <v>29</v>
      </c>
      <c r="G45" s="153">
        <f>SUM(G46:G49)</f>
        <v>181416.9</v>
      </c>
      <c r="H45" s="31"/>
    </row>
    <row r="46" spans="1:8" s="9" customFormat="1" ht="45" x14ac:dyDescent="0.2">
      <c r="A46" s="8"/>
      <c r="B46" s="59"/>
      <c r="C46" s="70" t="s">
        <v>44</v>
      </c>
      <c r="D46" s="70" t="s">
        <v>42</v>
      </c>
      <c r="E46" s="70" t="s">
        <v>41</v>
      </c>
      <c r="F46" s="104" t="s">
        <v>123</v>
      </c>
      <c r="G46" s="155">
        <f>30000+42960-40800</f>
        <v>32160</v>
      </c>
      <c r="H46" s="13"/>
    </row>
    <row r="47" spans="1:8" s="9" customFormat="1" ht="45" x14ac:dyDescent="0.2">
      <c r="A47" s="8"/>
      <c r="B47" s="59"/>
      <c r="C47" s="70" t="s">
        <v>44</v>
      </c>
      <c r="D47" s="70" t="s">
        <v>42</v>
      </c>
      <c r="E47" s="70" t="s">
        <v>41</v>
      </c>
      <c r="F47" s="104" t="s">
        <v>124</v>
      </c>
      <c r="G47" s="151">
        <f>52000-37742.6</f>
        <v>14257.400000000001</v>
      </c>
      <c r="H47" s="13"/>
    </row>
    <row r="48" spans="1:8" s="9" customFormat="1" ht="30" x14ac:dyDescent="0.2">
      <c r="A48" s="8"/>
      <c r="B48" s="59"/>
      <c r="C48" s="70" t="s">
        <v>44</v>
      </c>
      <c r="D48" s="70" t="s">
        <v>43</v>
      </c>
      <c r="E48" s="70" t="s">
        <v>41</v>
      </c>
      <c r="F48" s="81" t="s">
        <v>125</v>
      </c>
      <c r="G48" s="151">
        <v>80999.5</v>
      </c>
      <c r="H48" s="13"/>
    </row>
    <row r="49" spans="1:8" s="9" customFormat="1" ht="30" x14ac:dyDescent="0.2">
      <c r="A49" s="8"/>
      <c r="B49" s="59"/>
      <c r="C49" s="70" t="s">
        <v>44</v>
      </c>
      <c r="D49" s="70" t="s">
        <v>43</v>
      </c>
      <c r="E49" s="70" t="s">
        <v>41</v>
      </c>
      <c r="F49" s="81" t="s">
        <v>126</v>
      </c>
      <c r="G49" s="151">
        <f>10000+44000</f>
        <v>54000</v>
      </c>
      <c r="H49" s="13"/>
    </row>
    <row r="50" spans="1:8" s="6" customFormat="1" x14ac:dyDescent="0.2">
      <c r="A50" s="7"/>
      <c r="B50" s="59"/>
      <c r="C50" s="70"/>
      <c r="D50" s="70"/>
      <c r="E50" s="70"/>
      <c r="F50" s="78" t="s">
        <v>47</v>
      </c>
      <c r="G50" s="153">
        <f>SUM(G51:G51)</f>
        <v>85029.5</v>
      </c>
      <c r="H50" s="31"/>
    </row>
    <row r="51" spans="1:8" s="9" customFormat="1" ht="30" x14ac:dyDescent="0.2">
      <c r="A51" s="8"/>
      <c r="B51" s="59"/>
      <c r="C51" s="70" t="s">
        <v>44</v>
      </c>
      <c r="D51" s="70" t="s">
        <v>43</v>
      </c>
      <c r="E51" s="70" t="s">
        <v>41</v>
      </c>
      <c r="F51" s="81" t="s">
        <v>67</v>
      </c>
      <c r="G51" s="155">
        <f>27000+18029.5+40000</f>
        <v>85029.5</v>
      </c>
      <c r="H51" s="13"/>
    </row>
    <row r="52" spans="1:8" s="9" customFormat="1" x14ac:dyDescent="0.2">
      <c r="A52" s="8"/>
      <c r="B52" s="59"/>
      <c r="C52" s="70"/>
      <c r="D52" s="70"/>
      <c r="E52" s="70"/>
      <c r="F52" s="91" t="s">
        <v>60</v>
      </c>
      <c r="G52" s="153">
        <f>SUM(G53:G53)</f>
        <v>13711.399999999994</v>
      </c>
      <c r="H52" s="13"/>
    </row>
    <row r="53" spans="1:8" s="9" customFormat="1" x14ac:dyDescent="0.2">
      <c r="A53" s="8"/>
      <c r="B53" s="59"/>
      <c r="C53" s="70" t="s">
        <v>45</v>
      </c>
      <c r="D53" s="70" t="s">
        <v>42</v>
      </c>
      <c r="E53" s="70" t="s">
        <v>41</v>
      </c>
      <c r="F53" s="81" t="s">
        <v>71</v>
      </c>
      <c r="G53" s="151">
        <f>250000-236288.6</f>
        <v>13711.399999999994</v>
      </c>
      <c r="H53" s="13"/>
    </row>
    <row r="54" spans="1:8" s="9" customFormat="1" ht="57" x14ac:dyDescent="0.2">
      <c r="A54" s="8"/>
      <c r="B54" s="55"/>
      <c r="C54" s="56" t="s">
        <v>202</v>
      </c>
      <c r="D54" s="56"/>
      <c r="E54" s="56"/>
      <c r="F54" s="57" t="s">
        <v>203</v>
      </c>
      <c r="G54" s="58">
        <f t="shared" ref="G54:G56" si="2">G55</f>
        <v>27632.3</v>
      </c>
      <c r="H54" s="13"/>
    </row>
    <row r="55" spans="1:8" s="11" customFormat="1" ht="30" x14ac:dyDescent="0.25">
      <c r="A55" s="10"/>
      <c r="B55" s="62"/>
      <c r="C55" s="62"/>
      <c r="D55" s="147"/>
      <c r="E55" s="147">
        <v>441</v>
      </c>
      <c r="F55" s="63" t="s">
        <v>75</v>
      </c>
      <c r="G55" s="149">
        <f t="shared" si="2"/>
        <v>27632.3</v>
      </c>
      <c r="H55" s="23"/>
    </row>
    <row r="56" spans="1:8" s="11" customFormat="1" x14ac:dyDescent="0.25">
      <c r="A56" s="10"/>
      <c r="B56" s="62"/>
      <c r="C56" s="62"/>
      <c r="D56" s="147"/>
      <c r="E56" s="147"/>
      <c r="F56" s="97" t="s">
        <v>60</v>
      </c>
      <c r="G56" s="148">
        <f t="shared" si="2"/>
        <v>27632.3</v>
      </c>
      <c r="H56" s="23"/>
    </row>
    <row r="57" spans="1:8" s="11" customFormat="1" ht="45" x14ac:dyDescent="0.25">
      <c r="A57" s="10"/>
      <c r="B57" s="62"/>
      <c r="C57" s="62">
        <v>458</v>
      </c>
      <c r="D57" s="147">
        <v>107</v>
      </c>
      <c r="E57" s="147"/>
      <c r="F57" s="63" t="s">
        <v>204</v>
      </c>
      <c r="G57" s="149">
        <v>27632.3</v>
      </c>
      <c r="H57" s="23"/>
    </row>
  </sheetData>
  <mergeCells count="1"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платежи</vt:lpstr>
      <vt:lpstr>Лист1</vt:lpstr>
      <vt:lpstr>Лист2</vt:lpstr>
      <vt:lpstr>платежи!Заголовки_для_печати</vt:lpstr>
      <vt:lpstr>Лист1!Область_печати</vt:lpstr>
      <vt:lpstr>платежи!Область_печати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2026-08-10T05:20:03Z</dcterms:modified>
</cp:coreProperties>
</file>