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Работа\1-основной 2026\УЭ 2026\3. Пост 3843\"/>
    </mc:Choice>
  </mc:AlternateContent>
  <xr:revisionPtr revIDLastSave="0" documentId="13_ncr:1_{99741941-444C-443C-8279-164ACDECE0F2}" xr6:coauthVersionLast="47" xr6:coauthVersionMax="47" xr10:uidLastSave="{00000000-0000-0000-0000-000000000000}"/>
  <bookViews>
    <workbookView xWindow="-28920" yWindow="-120" windowWidth="29040" windowHeight="15720" tabRatio="835" xr2:uid="{00000000-000D-0000-FFFF-FFFF00000000}"/>
  </bookViews>
  <sheets>
    <sheet name="2026" sheetId="28" r:id="rId1"/>
    <sheet name="рус инв" sheetId="32" state="hidden" r:id="rId2"/>
    <sheet name="акиматы" sheetId="31" state="hidden" r:id="rId3"/>
  </sheets>
  <definedNames>
    <definedName name="_xlnm._FilterDatabase" localSheetId="0" hidden="1">'2026'!$C$146:$C$1018</definedName>
    <definedName name="_xlnm._FilterDatabase" localSheetId="1" hidden="1">'рус инв'!$C$10:$C$437</definedName>
    <definedName name="_xlnm.Print_Titles" localSheetId="0">'2026'!$19:$19</definedName>
    <definedName name="_xlnm.Print_Titles" localSheetId="2">акиматы!$17:$17</definedName>
    <definedName name="_xlnm.Print_Titles" localSheetId="1">'рус инв'!$17:$17</definedName>
    <definedName name="_xlnm.Print_Area" localSheetId="0">'2026'!$A$1:$I$963</definedName>
    <definedName name="_xlnm.Print_Area" localSheetId="2">акиматы!$A$1:$I$101</definedName>
    <definedName name="_xlnm.Print_Area" localSheetId="1">'рус инв'!$A$1:$U$438</definedName>
  </definedNames>
  <calcPr calcId="191029" refMode="R1C1"/>
</workbook>
</file>

<file path=xl/calcChain.xml><?xml version="1.0" encoding="utf-8"?>
<calcChain xmlns="http://schemas.openxmlformats.org/spreadsheetml/2006/main">
  <c r="I302" i="28" l="1"/>
  <c r="I303" i="28"/>
  <c r="I304" i="28"/>
  <c r="I305" i="28"/>
  <c r="I306" i="28"/>
  <c r="I307" i="28"/>
  <c r="I308" i="28"/>
  <c r="I309" i="28"/>
  <c r="I310" i="28"/>
  <c r="I311" i="28"/>
  <c r="I312" i="28"/>
  <c r="I313" i="28"/>
  <c r="I314" i="28"/>
  <c r="I315" i="28"/>
  <c r="I316" i="28"/>
  <c r="I317" i="28"/>
  <c r="I318" i="28"/>
  <c r="I319" i="28"/>
  <c r="I320" i="28"/>
  <c r="I321" i="28"/>
  <c r="I322" i="28"/>
  <c r="I323" i="28"/>
  <c r="I324" i="28"/>
  <c r="I325" i="28"/>
  <c r="I326" i="28"/>
  <c r="I327" i="28"/>
  <c r="I328" i="28"/>
  <c r="I329" i="28"/>
  <c r="I330" i="28"/>
  <c r="I331" i="28"/>
  <c r="I332" i="28"/>
  <c r="I333" i="28"/>
  <c r="I334" i="28"/>
  <c r="I335" i="28"/>
  <c r="I336" i="28"/>
  <c r="I337" i="28"/>
  <c r="I338" i="28"/>
  <c r="I339" i="28"/>
  <c r="I340" i="28"/>
  <c r="I341" i="28"/>
  <c r="I342" i="28"/>
  <c r="I343" i="28"/>
  <c r="I344" i="28"/>
  <c r="I345" i="28"/>
  <c r="I346" i="28"/>
  <c r="I347" i="28"/>
  <c r="I348" i="28"/>
  <c r="I349" i="28"/>
  <c r="I350" i="28"/>
  <c r="I351" i="28"/>
  <c r="I352" i="28"/>
  <c r="I353" i="28"/>
  <c r="I354" i="28"/>
  <c r="I355" i="28"/>
  <c r="I356" i="28"/>
  <c r="I357" i="28"/>
  <c r="I358" i="28"/>
  <c r="I359" i="28"/>
  <c r="I360" i="28"/>
  <c r="I361" i="28"/>
  <c r="I362" i="28"/>
  <c r="I363" i="28"/>
  <c r="I364" i="28"/>
  <c r="I365" i="28"/>
  <c r="I366" i="28"/>
  <c r="I367" i="28"/>
  <c r="I368" i="28"/>
  <c r="I369" i="28"/>
  <c r="I370" i="28"/>
  <c r="I371" i="28"/>
  <c r="I372" i="28"/>
  <c r="I373" i="28"/>
  <c r="I374" i="28"/>
  <c r="I375" i="28"/>
  <c r="I376" i="28"/>
  <c r="I377" i="28"/>
  <c r="I378" i="28"/>
  <c r="I379" i="28"/>
  <c r="I380" i="28"/>
  <c r="I381" i="28"/>
  <c r="I382" i="28"/>
  <c r="I383" i="28"/>
  <c r="I384" i="28"/>
  <c r="I385" i="28"/>
  <c r="I386" i="28"/>
  <c r="I387" i="28"/>
  <c r="I388" i="28"/>
  <c r="I389" i="28"/>
  <c r="I390" i="28"/>
  <c r="I391" i="28"/>
  <c r="I392" i="28"/>
  <c r="I393" i="28"/>
  <c r="I394" i="28"/>
  <c r="I395" i="28"/>
  <c r="I396" i="28"/>
  <c r="I397" i="28"/>
  <c r="I398" i="28"/>
  <c r="I399" i="28"/>
  <c r="I400" i="28"/>
  <c r="I401" i="28"/>
  <c r="I402" i="28"/>
  <c r="I403" i="28"/>
  <c r="I404" i="28"/>
  <c r="I405" i="28"/>
  <c r="I406" i="28"/>
  <c r="I407" i="28"/>
  <c r="I408" i="28"/>
  <c r="I409" i="28"/>
  <c r="I410" i="28"/>
  <c r="I411" i="28"/>
  <c r="I412" i="28"/>
  <c r="I413" i="28"/>
  <c r="I414" i="28"/>
  <c r="I415" i="28"/>
  <c r="I416" i="28"/>
  <c r="I417" i="28"/>
  <c r="I418" i="28"/>
  <c r="I419" i="28"/>
  <c r="I420" i="28"/>
  <c r="I421" i="28"/>
  <c r="I422" i="28"/>
  <c r="I423" i="28"/>
  <c r="I424" i="28"/>
  <c r="I425" i="28"/>
  <c r="I426" i="28"/>
  <c r="I427" i="28"/>
  <c r="I428" i="28"/>
  <c r="I429" i="28"/>
  <c r="I430" i="28"/>
  <c r="I431" i="28"/>
  <c r="I432" i="28"/>
  <c r="I433" i="28"/>
  <c r="I434" i="28"/>
  <c r="I435" i="28"/>
  <c r="I436" i="28"/>
  <c r="I437" i="28"/>
  <c r="I438" i="28"/>
  <c r="I439" i="28"/>
  <c r="I440" i="28"/>
  <c r="I441" i="28"/>
  <c r="I442" i="28"/>
  <c r="I443" i="28"/>
  <c r="I444" i="28"/>
  <c r="I445" i="28"/>
  <c r="I446" i="28"/>
  <c r="I447" i="28"/>
  <c r="I448" i="28"/>
  <c r="I449" i="28"/>
  <c r="I450" i="28"/>
  <c r="I451" i="28"/>
  <c r="I452" i="28"/>
  <c r="I453" i="28"/>
  <c r="I454" i="28"/>
  <c r="I455" i="28"/>
  <c r="I456" i="28"/>
  <c r="I457" i="28"/>
  <c r="I458" i="28"/>
  <c r="I459" i="28"/>
  <c r="I460" i="28"/>
  <c r="I461" i="28"/>
  <c r="I462" i="28"/>
  <c r="I463" i="28"/>
  <c r="I464" i="28"/>
  <c r="I465" i="28"/>
  <c r="I466" i="28"/>
  <c r="I467" i="28"/>
  <c r="I468" i="28"/>
  <c r="I469" i="28"/>
  <c r="I470" i="28"/>
  <c r="I471" i="28"/>
  <c r="I472" i="28"/>
  <c r="I473" i="28"/>
  <c r="I474" i="28"/>
  <c r="I475" i="28"/>
  <c r="I476" i="28"/>
  <c r="I477" i="28"/>
  <c r="I478" i="28"/>
  <c r="I479" i="28"/>
  <c r="I480" i="28"/>
  <c r="I481" i="28"/>
  <c r="I482" i="28"/>
  <c r="I483" i="28"/>
  <c r="I484" i="28"/>
  <c r="I485" i="28"/>
  <c r="I486" i="28"/>
  <c r="I487" i="28"/>
  <c r="I488" i="28"/>
  <c r="I489" i="28"/>
  <c r="I490" i="28"/>
  <c r="I491" i="28"/>
  <c r="I492" i="28"/>
  <c r="I493" i="28"/>
  <c r="I494" i="28"/>
  <c r="I495" i="28"/>
  <c r="I496" i="28"/>
  <c r="I497" i="28"/>
  <c r="I498" i="28"/>
  <c r="I499" i="28"/>
  <c r="I500" i="28"/>
  <c r="I501" i="28"/>
  <c r="I502" i="28"/>
  <c r="I503" i="28"/>
  <c r="I504" i="28"/>
  <c r="I505" i="28"/>
  <c r="I506" i="28"/>
  <c r="I507" i="28"/>
  <c r="I508" i="28"/>
  <c r="I509" i="28"/>
  <c r="I510" i="28"/>
  <c r="I511" i="28"/>
  <c r="I512" i="28"/>
  <c r="I513" i="28"/>
  <c r="I514" i="28"/>
  <c r="I515" i="28"/>
  <c r="I516" i="28"/>
  <c r="I517" i="28"/>
  <c r="I518" i="28"/>
  <c r="I519" i="28"/>
  <c r="I520" i="28"/>
  <c r="I521" i="28"/>
  <c r="I522" i="28"/>
  <c r="I523" i="28"/>
  <c r="I524" i="28"/>
  <c r="I525" i="28"/>
  <c r="I526" i="28"/>
  <c r="I527" i="28"/>
  <c r="I528" i="28"/>
  <c r="I529" i="28"/>
  <c r="I530" i="28"/>
  <c r="I531" i="28"/>
  <c r="I532" i="28"/>
  <c r="I533" i="28"/>
  <c r="I534" i="28"/>
  <c r="I535" i="28"/>
  <c r="I536" i="28"/>
  <c r="I537" i="28"/>
  <c r="I538" i="28"/>
  <c r="I539" i="28"/>
  <c r="I540" i="28"/>
  <c r="I541" i="28"/>
  <c r="I542" i="28"/>
  <c r="I543" i="28"/>
  <c r="I544" i="28"/>
  <c r="I545" i="28"/>
  <c r="I546" i="28"/>
  <c r="I547" i="28"/>
  <c r="I548" i="28"/>
  <c r="I549" i="28"/>
  <c r="I550" i="28"/>
  <c r="I551" i="28"/>
  <c r="I552" i="28"/>
  <c r="I553" i="28"/>
  <c r="I554" i="28"/>
  <c r="I555" i="28"/>
  <c r="I556" i="28"/>
  <c r="I557" i="28"/>
  <c r="I558" i="28"/>
  <c r="I559" i="28"/>
  <c r="I560" i="28"/>
  <c r="I561" i="28"/>
  <c r="I562" i="28"/>
  <c r="I563" i="28"/>
  <c r="I564" i="28"/>
  <c r="I565" i="28"/>
  <c r="I566" i="28"/>
  <c r="I567" i="28"/>
  <c r="I568" i="28"/>
  <c r="I569" i="28"/>
  <c r="I570" i="28"/>
  <c r="I571" i="28"/>
  <c r="I572" i="28"/>
  <c r="I573" i="28"/>
  <c r="I574" i="28"/>
  <c r="I575" i="28"/>
  <c r="I576" i="28"/>
  <c r="I577" i="28"/>
  <c r="I578" i="28"/>
  <c r="I579" i="28"/>
  <c r="I580" i="28"/>
  <c r="I581" i="28"/>
  <c r="I582" i="28"/>
  <c r="I583" i="28"/>
  <c r="I584" i="28"/>
  <c r="I585" i="28"/>
  <c r="I586" i="28"/>
  <c r="I587" i="28"/>
  <c r="I588" i="28"/>
  <c r="I589" i="28"/>
  <c r="I590" i="28"/>
  <c r="I591" i="28"/>
  <c r="I592" i="28"/>
  <c r="I593" i="28"/>
  <c r="I594" i="28"/>
  <c r="I595" i="28"/>
  <c r="I596" i="28"/>
  <c r="I597" i="28"/>
  <c r="I598" i="28"/>
  <c r="I599" i="28"/>
  <c r="I600" i="28"/>
  <c r="I601" i="28"/>
  <c r="I602" i="28"/>
  <c r="I603" i="28"/>
  <c r="I604" i="28"/>
  <c r="I605" i="28"/>
  <c r="I606" i="28"/>
  <c r="I607" i="28"/>
  <c r="I608" i="28"/>
  <c r="I609" i="28"/>
  <c r="I610" i="28"/>
  <c r="I611" i="28"/>
  <c r="I612" i="28"/>
  <c r="I613" i="28"/>
  <c r="I614" i="28"/>
  <c r="I615" i="28"/>
  <c r="I616" i="28"/>
  <c r="I617" i="28"/>
  <c r="I618" i="28"/>
  <c r="I619" i="28"/>
  <c r="I620" i="28"/>
  <c r="I621" i="28"/>
  <c r="I622" i="28"/>
  <c r="I623" i="28"/>
  <c r="I624" i="28"/>
  <c r="I625" i="28"/>
  <c r="I626" i="28"/>
  <c r="I627" i="28"/>
  <c r="I628" i="28"/>
  <c r="I629" i="28"/>
  <c r="I630" i="28"/>
  <c r="I631" i="28"/>
  <c r="I632" i="28"/>
  <c r="I633" i="28"/>
  <c r="I634" i="28"/>
  <c r="I635" i="28"/>
  <c r="I636" i="28"/>
  <c r="I637" i="28"/>
  <c r="I638" i="28"/>
  <c r="I639" i="28"/>
  <c r="I640" i="28"/>
  <c r="I641" i="28"/>
  <c r="I642" i="28"/>
  <c r="I643" i="28"/>
  <c r="I644" i="28"/>
  <c r="I645" i="28"/>
  <c r="I646" i="28"/>
  <c r="I647" i="28"/>
  <c r="I648" i="28"/>
  <c r="I649" i="28"/>
  <c r="I650" i="28"/>
  <c r="I651" i="28"/>
  <c r="I652" i="28"/>
  <c r="I653" i="28"/>
  <c r="I654" i="28"/>
  <c r="I655" i="28"/>
  <c r="I656" i="28"/>
  <c r="I657" i="28"/>
  <c r="I658" i="28"/>
  <c r="I659" i="28"/>
  <c r="I660" i="28"/>
  <c r="I661" i="28"/>
  <c r="I662" i="28"/>
  <c r="I663" i="28"/>
  <c r="I664" i="28"/>
  <c r="I665" i="28"/>
  <c r="I666" i="28"/>
  <c r="I667" i="28"/>
  <c r="I668" i="28"/>
  <c r="I669" i="28"/>
  <c r="I670" i="28"/>
  <c r="I671" i="28"/>
  <c r="I672" i="28"/>
  <c r="I673" i="28"/>
  <c r="I674" i="28"/>
  <c r="I675" i="28"/>
  <c r="I676" i="28"/>
  <c r="I677" i="28"/>
  <c r="I678" i="28"/>
  <c r="I679" i="28"/>
  <c r="I680" i="28"/>
  <c r="I681" i="28"/>
  <c r="I682" i="28"/>
  <c r="I683" i="28"/>
  <c r="I684" i="28"/>
  <c r="I685" i="28"/>
  <c r="I686" i="28"/>
  <c r="I687" i="28"/>
  <c r="I688" i="28"/>
  <c r="I689" i="28"/>
  <c r="I690" i="28"/>
  <c r="I691" i="28"/>
  <c r="I692" i="28"/>
  <c r="I693" i="28"/>
  <c r="I694" i="28"/>
  <c r="I695" i="28"/>
  <c r="I696" i="28"/>
  <c r="I697" i="28"/>
  <c r="I698" i="28"/>
  <c r="I699" i="28"/>
  <c r="I700" i="28"/>
  <c r="I701" i="28"/>
  <c r="I702" i="28"/>
  <c r="I703" i="28"/>
  <c r="I704" i="28"/>
  <c r="I705" i="28"/>
  <c r="I706" i="28"/>
  <c r="I707" i="28"/>
  <c r="I708" i="28"/>
  <c r="I709" i="28"/>
  <c r="I710" i="28"/>
  <c r="I711" i="28"/>
  <c r="I712" i="28"/>
  <c r="I713" i="28"/>
  <c r="I714" i="28"/>
  <c r="I715" i="28"/>
  <c r="I716" i="28"/>
  <c r="I717" i="28"/>
  <c r="I718" i="28"/>
  <c r="I719" i="28"/>
  <c r="I720" i="28"/>
  <c r="I721" i="28"/>
  <c r="I722" i="28"/>
  <c r="I723" i="28"/>
  <c r="I724" i="28"/>
  <c r="I725" i="28"/>
  <c r="I726" i="28"/>
  <c r="I727" i="28"/>
  <c r="I728" i="28"/>
  <c r="I729" i="28"/>
  <c r="I730" i="28"/>
  <c r="I731" i="28"/>
  <c r="I732" i="28"/>
  <c r="I733" i="28"/>
  <c r="I734" i="28"/>
  <c r="I735" i="28"/>
  <c r="I736" i="28"/>
  <c r="I737" i="28"/>
  <c r="I738" i="28"/>
  <c r="I739" i="28"/>
  <c r="I740" i="28"/>
  <c r="I741" i="28"/>
  <c r="I742" i="28"/>
  <c r="I743" i="28"/>
  <c r="I744" i="28"/>
  <c r="I745" i="28"/>
  <c r="I746" i="28"/>
  <c r="I747" i="28"/>
  <c r="I748" i="28"/>
  <c r="I749" i="28"/>
  <c r="I750" i="28"/>
  <c r="I751" i="28"/>
  <c r="I752" i="28"/>
  <c r="I753" i="28"/>
  <c r="I754" i="28"/>
  <c r="I755" i="28"/>
  <c r="I756" i="28"/>
  <c r="I757" i="28"/>
  <c r="I758" i="28"/>
  <c r="I759" i="28"/>
  <c r="I760" i="28"/>
  <c r="I761" i="28"/>
  <c r="I762" i="28"/>
  <c r="I763" i="28"/>
  <c r="I764" i="28"/>
  <c r="I765" i="28"/>
  <c r="I766" i="28"/>
  <c r="I767" i="28"/>
  <c r="I768" i="28"/>
  <c r="I769" i="28"/>
  <c r="I770" i="28"/>
  <c r="I771" i="28"/>
  <c r="I772" i="28"/>
  <c r="I773" i="28"/>
  <c r="I774" i="28"/>
  <c r="I775" i="28"/>
  <c r="I776" i="28"/>
  <c r="I777" i="28"/>
  <c r="I778" i="28"/>
  <c r="I779" i="28"/>
  <c r="I780" i="28"/>
  <c r="I781" i="28"/>
  <c r="I782" i="28"/>
  <c r="I783" i="28"/>
  <c r="I784" i="28"/>
  <c r="I785" i="28"/>
  <c r="I786" i="28"/>
  <c r="I787" i="28"/>
  <c r="I788" i="28"/>
  <c r="I789" i="28"/>
  <c r="I790" i="28"/>
  <c r="I791" i="28"/>
  <c r="I792" i="28"/>
  <c r="I793" i="28"/>
  <c r="I794" i="28"/>
  <c r="I795" i="28"/>
  <c r="I796" i="28"/>
  <c r="I797" i="28"/>
  <c r="I798" i="28"/>
  <c r="I799" i="28"/>
  <c r="I800" i="28"/>
  <c r="I801" i="28"/>
  <c r="I802" i="28"/>
  <c r="I803" i="28"/>
  <c r="I804" i="28"/>
  <c r="I805" i="28"/>
  <c r="I806" i="28"/>
  <c r="I807" i="28"/>
  <c r="I808" i="28"/>
  <c r="I809" i="28"/>
  <c r="I810" i="28"/>
  <c r="I811" i="28"/>
  <c r="I812" i="28"/>
  <c r="I813" i="28"/>
  <c r="I814" i="28"/>
  <c r="I815" i="28"/>
  <c r="I816" i="28"/>
  <c r="I817" i="28"/>
  <c r="I818" i="28"/>
  <c r="I819" i="28"/>
  <c r="I820" i="28"/>
  <c r="I821" i="28"/>
  <c r="I822" i="28"/>
  <c r="I823" i="28"/>
  <c r="I824" i="28"/>
  <c r="I825" i="28"/>
  <c r="I826" i="28"/>
  <c r="I827" i="28"/>
  <c r="I828" i="28"/>
  <c r="I301" i="28"/>
  <c r="I300" i="28" s="1"/>
  <c r="H300" i="28"/>
  <c r="G300" i="28"/>
  <c r="H302" i="28"/>
  <c r="H304" i="28"/>
  <c r="H307" i="28"/>
  <c r="H314" i="28"/>
  <c r="H318" i="28"/>
  <c r="H324" i="28"/>
  <c r="H326" i="28"/>
  <c r="H328" i="28"/>
  <c r="H347" i="28"/>
  <c r="H349" i="28"/>
  <c r="H353" i="28"/>
  <c r="H355" i="28"/>
  <c r="H366" i="28"/>
  <c r="H372" i="28"/>
  <c r="H374" i="28"/>
  <c r="H376" i="28"/>
  <c r="H378" i="28"/>
  <c r="H380" i="28"/>
  <c r="H379" i="28" s="1"/>
  <c r="H392" i="28"/>
  <c r="H407" i="28"/>
  <c r="H410" i="28"/>
  <c r="H415" i="28"/>
  <c r="H416" i="28"/>
  <c r="H423" i="28"/>
  <c r="H427" i="28"/>
  <c r="H430" i="28"/>
  <c r="H445" i="28"/>
  <c r="H453" i="28"/>
  <c r="H455" i="28"/>
  <c r="H456" i="28"/>
  <c r="H458" i="28"/>
  <c r="H460" i="28"/>
  <c r="H461" i="28"/>
  <c r="H462" i="28"/>
  <c r="H463" i="28"/>
  <c r="H470" i="28"/>
  <c r="H472" i="28"/>
  <c r="H474" i="28"/>
  <c r="H475" i="28"/>
  <c r="H478" i="28"/>
  <c r="H480" i="28"/>
  <c r="H482" i="28"/>
  <c r="H488" i="28"/>
  <c r="H490" i="28"/>
  <c r="H491" i="28"/>
  <c r="H492" i="28"/>
  <c r="H495" i="28"/>
  <c r="H497" i="28"/>
  <c r="H502" i="28"/>
  <c r="H504" i="28"/>
  <c r="H515" i="28"/>
  <c r="H517" i="28"/>
  <c r="H519" i="28"/>
  <c r="H521" i="28"/>
  <c r="H523" i="28"/>
  <c r="H527" i="28"/>
  <c r="H530" i="28"/>
  <c r="H531" i="28"/>
  <c r="H536" i="28"/>
  <c r="H544" i="28"/>
  <c r="H552" i="28"/>
  <c r="H558" i="28"/>
  <c r="H571" i="28"/>
  <c r="H573" i="28"/>
  <c r="H579" i="28"/>
  <c r="H581" i="28"/>
  <c r="H585" i="28"/>
  <c r="H601" i="28"/>
  <c r="H609" i="28"/>
  <c r="H614" i="28"/>
  <c r="H617" i="28"/>
  <c r="H623" i="28"/>
  <c r="H625" i="28"/>
  <c r="H627" i="28"/>
  <c r="H629" i="28"/>
  <c r="H637" i="28"/>
  <c r="H643" i="28"/>
  <c r="H644" i="28"/>
  <c r="H651" i="28"/>
  <c r="H663" i="28"/>
  <c r="H665" i="28"/>
  <c r="H667" i="28"/>
  <c r="H679" i="28"/>
  <c r="H681" i="28"/>
  <c r="H685" i="28"/>
  <c r="H687" i="28"/>
  <c r="H689" i="28"/>
  <c r="H691" i="28"/>
  <c r="H695" i="28"/>
  <c r="H697" i="28"/>
  <c r="H699" i="28"/>
  <c r="H701" i="28"/>
  <c r="H703" i="28"/>
  <c r="H705" i="28"/>
  <c r="H709" i="28"/>
  <c r="H721" i="28"/>
  <c r="H727" i="28"/>
  <c r="H729" i="28"/>
  <c r="H731" i="28"/>
  <c r="H733" i="28"/>
  <c r="H734" i="28"/>
  <c r="H738" i="28"/>
  <c r="H740" i="28"/>
  <c r="H745" i="28"/>
  <c r="H749" i="28"/>
  <c r="H751" i="28"/>
  <c r="H759" i="28"/>
  <c r="H761" i="28"/>
  <c r="H771" i="28"/>
  <c r="H774" i="28"/>
  <c r="H788" i="28"/>
  <c r="H790" i="28"/>
  <c r="H794" i="28"/>
  <c r="H802" i="28"/>
  <c r="H807" i="28"/>
  <c r="H810" i="28"/>
  <c r="H812" i="28"/>
  <c r="H814" i="28"/>
  <c r="H818" i="28"/>
  <c r="H825" i="28"/>
  <c r="H828" i="28"/>
  <c r="M438" i="32" l="1"/>
  <c r="P438" i="32" s="1"/>
  <c r="U437" i="32"/>
  <c r="T437" i="32"/>
  <c r="T436" i="32" s="1"/>
  <c r="T435" i="32" s="1"/>
  <c r="T434" i="32" s="1"/>
  <c r="R437" i="32"/>
  <c r="Q437" i="32"/>
  <c r="Q436" i="32" s="1"/>
  <c r="O437" i="32"/>
  <c r="O436" i="32" s="1"/>
  <c r="O435" i="32" s="1"/>
  <c r="O434" i="32" s="1"/>
  <c r="N437" i="32"/>
  <c r="N436" i="32" s="1"/>
  <c r="N435" i="32" s="1"/>
  <c r="N434" i="32" s="1"/>
  <c r="M437" i="32"/>
  <c r="M436" i="32" s="1"/>
  <c r="M435" i="32" s="1"/>
  <c r="L437" i="32"/>
  <c r="L436" i="32" s="1"/>
  <c r="L435" i="32" s="1"/>
  <c r="L434" i="32" s="1"/>
  <c r="K437" i="32"/>
  <c r="K436" i="32" s="1"/>
  <c r="K435" i="32" s="1"/>
  <c r="K434" i="32" s="1"/>
  <c r="J437" i="32"/>
  <c r="J436" i="32" s="1"/>
  <c r="J435" i="32" s="1"/>
  <c r="J434" i="32" s="1"/>
  <c r="U436" i="32"/>
  <c r="U435" i="32" s="1"/>
  <c r="U434" i="32" s="1"/>
  <c r="R436" i="32"/>
  <c r="R435" i="32" s="1"/>
  <c r="R434" i="32" s="1"/>
  <c r="Q435" i="32"/>
  <c r="Q434" i="32" s="1"/>
  <c r="M434" i="32"/>
  <c r="M432" i="32"/>
  <c r="P432" i="32" s="1"/>
  <c r="T431" i="32"/>
  <c r="Q431" i="32"/>
  <c r="N431" i="32"/>
  <c r="N430" i="32" s="1"/>
  <c r="N429" i="32" s="1"/>
  <c r="N428" i="32" s="1"/>
  <c r="K431" i="32"/>
  <c r="K430" i="32" s="1"/>
  <c r="K429" i="32" s="1"/>
  <c r="K428" i="32" s="1"/>
  <c r="T430" i="32"/>
  <c r="T429" i="32" s="1"/>
  <c r="T428" i="32" s="1"/>
  <c r="Q430" i="32"/>
  <c r="Q429" i="32" s="1"/>
  <c r="Q428" i="32" s="1"/>
  <c r="J427" i="32"/>
  <c r="M427" i="32" s="1"/>
  <c r="P427" i="32" s="1"/>
  <c r="S427" i="32" s="1"/>
  <c r="J426" i="32"/>
  <c r="M426" i="32" s="1"/>
  <c r="P426" i="32" s="1"/>
  <c r="S426" i="32" s="1"/>
  <c r="J425" i="32"/>
  <c r="M425" i="32" s="1"/>
  <c r="P425" i="32" s="1"/>
  <c r="S425" i="32" s="1"/>
  <c r="J424" i="32"/>
  <c r="M424" i="32" s="1"/>
  <c r="P424" i="32" s="1"/>
  <c r="S424" i="32" s="1"/>
  <c r="J423" i="32"/>
  <c r="M423" i="32" s="1"/>
  <c r="P423" i="32" s="1"/>
  <c r="S423" i="32" s="1"/>
  <c r="J422" i="32"/>
  <c r="M422" i="32" s="1"/>
  <c r="P422" i="32" s="1"/>
  <c r="S422" i="32" s="1"/>
  <c r="J421" i="32"/>
  <c r="M421" i="32" s="1"/>
  <c r="P421" i="32" s="1"/>
  <c r="S421" i="32" s="1"/>
  <c r="J420" i="32"/>
  <c r="M420" i="32" s="1"/>
  <c r="P420" i="32" s="1"/>
  <c r="S420" i="32" s="1"/>
  <c r="J419" i="32"/>
  <c r="M419" i="32" s="1"/>
  <c r="P419" i="32" s="1"/>
  <c r="S419" i="32" s="1"/>
  <c r="J418" i="32"/>
  <c r="M418" i="32" s="1"/>
  <c r="P418" i="32" s="1"/>
  <c r="S418" i="32" s="1"/>
  <c r="J417" i="32"/>
  <c r="J416" i="32"/>
  <c r="M416" i="32" s="1"/>
  <c r="P416" i="32" s="1"/>
  <c r="S416" i="32" s="1"/>
  <c r="J415" i="32"/>
  <c r="M415" i="32" s="1"/>
  <c r="U414" i="32"/>
  <c r="T414" i="32"/>
  <c r="R414" i="32"/>
  <c r="Q414" i="32"/>
  <c r="Q409" i="32" s="1"/>
  <c r="Q408" i="32" s="1"/>
  <c r="Q407" i="32" s="1"/>
  <c r="O414" i="32"/>
  <c r="N414" i="32"/>
  <c r="N409" i="32" s="1"/>
  <c r="N408" i="32" s="1"/>
  <c r="N407" i="32" s="1"/>
  <c r="L414" i="32"/>
  <c r="K414" i="32"/>
  <c r="K409" i="32" s="1"/>
  <c r="K408" i="32" s="1"/>
  <c r="K407" i="32" s="1"/>
  <c r="I414" i="32"/>
  <c r="H414" i="32"/>
  <c r="G414" i="32"/>
  <c r="J413" i="32"/>
  <c r="M413" i="32" s="1"/>
  <c r="P413" i="32" s="1"/>
  <c r="S413" i="32" s="1"/>
  <c r="J412" i="32"/>
  <c r="M412" i="32" s="1"/>
  <c r="P412" i="32" s="1"/>
  <c r="S412" i="32" s="1"/>
  <c r="J411" i="32"/>
  <c r="M411" i="32" s="1"/>
  <c r="U410" i="32"/>
  <c r="T410" i="32"/>
  <c r="R410" i="32"/>
  <c r="Q410" i="32"/>
  <c r="O410" i="32"/>
  <c r="N410" i="32"/>
  <c r="L410" i="32"/>
  <c r="K410" i="32"/>
  <c r="I410" i="32"/>
  <c r="H410" i="32"/>
  <c r="G410" i="32"/>
  <c r="J405" i="32"/>
  <c r="M405" i="32" s="1"/>
  <c r="J404" i="32"/>
  <c r="M404" i="32" s="1"/>
  <c r="P404" i="32" s="1"/>
  <c r="U403" i="32"/>
  <c r="U402" i="32" s="1"/>
  <c r="U401" i="32" s="1"/>
  <c r="U400" i="32" s="1"/>
  <c r="T403" i="32"/>
  <c r="T402" i="32" s="1"/>
  <c r="T401" i="32" s="1"/>
  <c r="T400" i="32" s="1"/>
  <c r="R403" i="32"/>
  <c r="Q403" i="32"/>
  <c r="Q402" i="32" s="1"/>
  <c r="Q401" i="32" s="1"/>
  <c r="Q400" i="32" s="1"/>
  <c r="O403" i="32"/>
  <c r="O402" i="32" s="1"/>
  <c r="O401" i="32" s="1"/>
  <c r="O400" i="32" s="1"/>
  <c r="N403" i="32"/>
  <c r="N402" i="32" s="1"/>
  <c r="N401" i="32" s="1"/>
  <c r="N400" i="32" s="1"/>
  <c r="L403" i="32"/>
  <c r="L402" i="32" s="1"/>
  <c r="L401" i="32" s="1"/>
  <c r="L400" i="32" s="1"/>
  <c r="K403" i="32"/>
  <c r="K402" i="32" s="1"/>
  <c r="K401" i="32" s="1"/>
  <c r="K400" i="32" s="1"/>
  <c r="I403" i="32"/>
  <c r="I402" i="32" s="1"/>
  <c r="I401" i="32" s="1"/>
  <c r="I400" i="32" s="1"/>
  <c r="H403" i="32"/>
  <c r="H402" i="32" s="1"/>
  <c r="H401" i="32" s="1"/>
  <c r="H400" i="32" s="1"/>
  <c r="G403" i="32"/>
  <c r="G402" i="32" s="1"/>
  <c r="G401" i="32" s="1"/>
  <c r="G400" i="32" s="1"/>
  <c r="R402" i="32"/>
  <c r="R401" i="32" s="1"/>
  <c r="R400" i="32" s="1"/>
  <c r="H399" i="32"/>
  <c r="H398" i="32" s="1"/>
  <c r="U398" i="32"/>
  <c r="T398" i="32"/>
  <c r="R398" i="32"/>
  <c r="Q398" i="32"/>
  <c r="O398" i="32"/>
  <c r="N398" i="32"/>
  <c r="L398" i="32"/>
  <c r="K398" i="32"/>
  <c r="I398" i="32"/>
  <c r="G398" i="32"/>
  <c r="H397" i="32"/>
  <c r="H396" i="32" s="1"/>
  <c r="U396" i="32"/>
  <c r="T396" i="32"/>
  <c r="R396" i="32"/>
  <c r="Q396" i="32"/>
  <c r="O396" i="32"/>
  <c r="N396" i="32"/>
  <c r="N395" i="32" s="1"/>
  <c r="N394" i="32" s="1"/>
  <c r="N393" i="32" s="1"/>
  <c r="L396" i="32"/>
  <c r="K396" i="32"/>
  <c r="I396" i="32"/>
  <c r="G396" i="32"/>
  <c r="J392" i="32"/>
  <c r="M392" i="32" s="1"/>
  <c r="P392" i="32" s="1"/>
  <c r="S392" i="32" s="1"/>
  <c r="J391" i="32"/>
  <c r="M391" i="32" s="1"/>
  <c r="P391" i="32" s="1"/>
  <c r="S391" i="32" s="1"/>
  <c r="J390" i="32"/>
  <c r="M390" i="32" s="1"/>
  <c r="P390" i="32" s="1"/>
  <c r="S390" i="32" s="1"/>
  <c r="J389" i="32"/>
  <c r="M389" i="32" s="1"/>
  <c r="P389" i="32" s="1"/>
  <c r="S389" i="32" s="1"/>
  <c r="J388" i="32"/>
  <c r="U387" i="32"/>
  <c r="U357" i="32" s="1"/>
  <c r="U356" i="32" s="1"/>
  <c r="U355" i="32" s="1"/>
  <c r="U354" i="32" s="1"/>
  <c r="T387" i="32"/>
  <c r="T357" i="32" s="1"/>
  <c r="T356" i="32" s="1"/>
  <c r="R387" i="32"/>
  <c r="R357" i="32" s="1"/>
  <c r="R356" i="32" s="1"/>
  <c r="Q387" i="32"/>
  <c r="Q357" i="32" s="1"/>
  <c r="Q356" i="32" s="1"/>
  <c r="O387" i="32"/>
  <c r="O357" i="32" s="1"/>
  <c r="O356" i="32" s="1"/>
  <c r="N387" i="32"/>
  <c r="N357" i="32" s="1"/>
  <c r="N356" i="32" s="1"/>
  <c r="L387" i="32"/>
  <c r="L357" i="32" s="1"/>
  <c r="L356" i="32" s="1"/>
  <c r="K387" i="32"/>
  <c r="K357" i="32" s="1"/>
  <c r="K356" i="32" s="1"/>
  <c r="I387" i="32"/>
  <c r="I357" i="32" s="1"/>
  <c r="I356" i="32" s="1"/>
  <c r="I355" i="32" s="1"/>
  <c r="I354" i="32" s="1"/>
  <c r="H387" i="32"/>
  <c r="H357" i="32" s="1"/>
  <c r="H356" i="32" s="1"/>
  <c r="G387" i="32"/>
  <c r="G357" i="32" s="1"/>
  <c r="G356" i="32" s="1"/>
  <c r="G355" i="32" s="1"/>
  <c r="G354" i="32" s="1"/>
  <c r="J386" i="32"/>
  <c r="M386" i="32" s="1"/>
  <c r="P386" i="32" s="1"/>
  <c r="S386" i="32" s="1"/>
  <c r="J385" i="32"/>
  <c r="M385" i="32" s="1"/>
  <c r="P385" i="32" s="1"/>
  <c r="S385" i="32" s="1"/>
  <c r="J384" i="32"/>
  <c r="M384" i="32" s="1"/>
  <c r="P384" i="32" s="1"/>
  <c r="S384" i="32" s="1"/>
  <c r="J383" i="32"/>
  <c r="M383" i="32" s="1"/>
  <c r="P383" i="32" s="1"/>
  <c r="S383" i="32" s="1"/>
  <c r="J382" i="32"/>
  <c r="M382" i="32" s="1"/>
  <c r="P382" i="32" s="1"/>
  <c r="S382" i="32" s="1"/>
  <c r="J381" i="32"/>
  <c r="M381" i="32" s="1"/>
  <c r="P381" i="32" s="1"/>
  <c r="S381" i="32" s="1"/>
  <c r="J380" i="32"/>
  <c r="M380" i="32" s="1"/>
  <c r="P380" i="32" s="1"/>
  <c r="S380" i="32" s="1"/>
  <c r="J379" i="32"/>
  <c r="M379" i="32" s="1"/>
  <c r="P379" i="32" s="1"/>
  <c r="S379" i="32" s="1"/>
  <c r="J378" i="32"/>
  <c r="M378" i="32" s="1"/>
  <c r="P378" i="32" s="1"/>
  <c r="S378" i="32" s="1"/>
  <c r="J377" i="32"/>
  <c r="M377" i="32" s="1"/>
  <c r="P377" i="32" s="1"/>
  <c r="S377" i="32" s="1"/>
  <c r="J376" i="32"/>
  <c r="M376" i="32" s="1"/>
  <c r="P376" i="32" s="1"/>
  <c r="S376" i="32" s="1"/>
  <c r="J375" i="32"/>
  <c r="M375" i="32" s="1"/>
  <c r="P375" i="32" s="1"/>
  <c r="S375" i="32" s="1"/>
  <c r="S374" i="32"/>
  <c r="S373" i="32"/>
  <c r="J372" i="32"/>
  <c r="M372" i="32" s="1"/>
  <c r="P372" i="32" s="1"/>
  <c r="S372" i="32" s="1"/>
  <c r="J371" i="32"/>
  <c r="M371" i="32" s="1"/>
  <c r="P371" i="32" s="1"/>
  <c r="S371" i="32" s="1"/>
  <c r="J370" i="32"/>
  <c r="M370" i="32" s="1"/>
  <c r="P370" i="32" s="1"/>
  <c r="S370" i="32" s="1"/>
  <c r="M369" i="32"/>
  <c r="P369" i="32" s="1"/>
  <c r="S369" i="32" s="1"/>
  <c r="M368" i="32"/>
  <c r="P368" i="32" s="1"/>
  <c r="S368" i="32" s="1"/>
  <c r="J367" i="32"/>
  <c r="M367" i="32" s="1"/>
  <c r="P367" i="32" s="1"/>
  <c r="S367" i="32" s="1"/>
  <c r="J366" i="32"/>
  <c r="M366" i="32" s="1"/>
  <c r="P366" i="32" s="1"/>
  <c r="S366" i="32" s="1"/>
  <c r="J365" i="32"/>
  <c r="M365" i="32" s="1"/>
  <c r="P365" i="32" s="1"/>
  <c r="S365" i="32" s="1"/>
  <c r="J364" i="32"/>
  <c r="M364" i="32" s="1"/>
  <c r="P364" i="32" s="1"/>
  <c r="S364" i="32" s="1"/>
  <c r="J363" i="32"/>
  <c r="M363" i="32" s="1"/>
  <c r="P363" i="32" s="1"/>
  <c r="S363" i="32" s="1"/>
  <c r="J362" i="32"/>
  <c r="M362" i="32" s="1"/>
  <c r="P362" i="32" s="1"/>
  <c r="S362" i="32" s="1"/>
  <c r="M361" i="32"/>
  <c r="P361" i="32" s="1"/>
  <c r="S361" i="32" s="1"/>
  <c r="J360" i="32"/>
  <c r="M360" i="32" s="1"/>
  <c r="P360" i="32" s="1"/>
  <c r="S360" i="32" s="1"/>
  <c r="J359" i="32"/>
  <c r="M359" i="32" s="1"/>
  <c r="P359" i="32" s="1"/>
  <c r="S359" i="32" s="1"/>
  <c r="J358" i="32"/>
  <c r="S352" i="32"/>
  <c r="S351" i="32" s="1"/>
  <c r="U351" i="32"/>
  <c r="U344" i="32" s="1"/>
  <c r="U343" i="32" s="1"/>
  <c r="U342" i="32" s="1"/>
  <c r="U341" i="32" s="1"/>
  <c r="T351" i="32"/>
  <c r="T344" i="32" s="1"/>
  <c r="T343" i="32" s="1"/>
  <c r="T342" i="32" s="1"/>
  <c r="T341" i="32" s="1"/>
  <c r="R351" i="32"/>
  <c r="R344" i="32" s="1"/>
  <c r="R343" i="32" s="1"/>
  <c r="R342" i="32" s="1"/>
  <c r="R341" i="32" s="1"/>
  <c r="Q351" i="32"/>
  <c r="Q344" i="32" s="1"/>
  <c r="Q343" i="32" s="1"/>
  <c r="Q342" i="32" s="1"/>
  <c r="Q341" i="32" s="1"/>
  <c r="P351" i="32"/>
  <c r="J350" i="32"/>
  <c r="M350" i="32" s="1"/>
  <c r="P350" i="32" s="1"/>
  <c r="S350" i="32" s="1"/>
  <c r="J349" i="32"/>
  <c r="M349" i="32" s="1"/>
  <c r="P349" i="32" s="1"/>
  <c r="S349" i="32" s="1"/>
  <c r="J348" i="32"/>
  <c r="M348" i="32" s="1"/>
  <c r="P348" i="32" s="1"/>
  <c r="S348" i="32" s="1"/>
  <c r="J347" i="32"/>
  <c r="J346" i="32"/>
  <c r="M346" i="32" s="1"/>
  <c r="P346" i="32" s="1"/>
  <c r="S346" i="32" s="1"/>
  <c r="J345" i="32"/>
  <c r="M345" i="32" s="1"/>
  <c r="O344" i="32"/>
  <c r="O343" i="32" s="1"/>
  <c r="O342" i="32" s="1"/>
  <c r="O341" i="32" s="1"/>
  <c r="N344" i="32"/>
  <c r="N343" i="32" s="1"/>
  <c r="N342" i="32" s="1"/>
  <c r="N341" i="32" s="1"/>
  <c r="L344" i="32"/>
  <c r="L343" i="32" s="1"/>
  <c r="L342" i="32" s="1"/>
  <c r="L341" i="32" s="1"/>
  <c r="K344" i="32"/>
  <c r="K343" i="32" s="1"/>
  <c r="K342" i="32" s="1"/>
  <c r="K341" i="32" s="1"/>
  <c r="I344" i="32"/>
  <c r="I343" i="32" s="1"/>
  <c r="I342" i="32" s="1"/>
  <c r="I341" i="32" s="1"/>
  <c r="H344" i="32"/>
  <c r="H343" i="32" s="1"/>
  <c r="H342" i="32" s="1"/>
  <c r="H341" i="32" s="1"/>
  <c r="G344" i="32"/>
  <c r="G343" i="32" s="1"/>
  <c r="G342" i="32" s="1"/>
  <c r="G341" i="32" s="1"/>
  <c r="S340" i="32"/>
  <c r="S339" i="32" s="1"/>
  <c r="U339" i="32"/>
  <c r="T339" i="32"/>
  <c r="R339" i="32"/>
  <c r="Q339" i="32"/>
  <c r="P339" i="32"/>
  <c r="J338" i="32"/>
  <c r="J337" i="32" s="1"/>
  <c r="U337" i="32"/>
  <c r="U325" i="32" s="1"/>
  <c r="T337" i="32"/>
  <c r="T325" i="32" s="1"/>
  <c r="R337" i="32"/>
  <c r="R325" i="32" s="1"/>
  <c r="Q337" i="32"/>
  <c r="Q325" i="32" s="1"/>
  <c r="O337" i="32"/>
  <c r="O325" i="32" s="1"/>
  <c r="O324" i="32" s="1"/>
  <c r="O323" i="32" s="1"/>
  <c r="O322" i="32" s="1"/>
  <c r="N337" i="32"/>
  <c r="L337" i="32"/>
  <c r="K337" i="32"/>
  <c r="I337" i="32"/>
  <c r="H337" i="32"/>
  <c r="H325" i="32" s="1"/>
  <c r="H324" i="32" s="1"/>
  <c r="H323" i="32" s="1"/>
  <c r="H322" i="32" s="1"/>
  <c r="G337" i="32"/>
  <c r="G325" i="32" s="1"/>
  <c r="G324" i="32" s="1"/>
  <c r="G323" i="32" s="1"/>
  <c r="G322" i="32" s="1"/>
  <c r="J336" i="32"/>
  <c r="M336" i="32" s="1"/>
  <c r="P336" i="32" s="1"/>
  <c r="S336" i="32" s="1"/>
  <c r="J335" i="32"/>
  <c r="M335" i="32" s="1"/>
  <c r="P335" i="32" s="1"/>
  <c r="S335" i="32" s="1"/>
  <c r="J334" i="32"/>
  <c r="M334" i="32" s="1"/>
  <c r="P334" i="32" s="1"/>
  <c r="S334" i="32" s="1"/>
  <c r="J333" i="32"/>
  <c r="M333" i="32" s="1"/>
  <c r="P333" i="32" s="1"/>
  <c r="S333" i="32" s="1"/>
  <c r="J332" i="32"/>
  <c r="M332" i="32" s="1"/>
  <c r="P332" i="32" s="1"/>
  <c r="S332" i="32" s="1"/>
  <c r="J331" i="32"/>
  <c r="M331" i="32" s="1"/>
  <c r="P331" i="32" s="1"/>
  <c r="S331" i="32" s="1"/>
  <c r="J330" i="32"/>
  <c r="M330" i="32" s="1"/>
  <c r="P330" i="32" s="1"/>
  <c r="S330" i="32" s="1"/>
  <c r="J329" i="32"/>
  <c r="M329" i="32" s="1"/>
  <c r="P329" i="32" s="1"/>
  <c r="S329" i="32" s="1"/>
  <c r="J328" i="32"/>
  <c r="J327" i="32"/>
  <c r="M327" i="32" s="1"/>
  <c r="P327" i="32" s="1"/>
  <c r="S327" i="32" s="1"/>
  <c r="J326" i="32"/>
  <c r="M326" i="32" s="1"/>
  <c r="P326" i="32" s="1"/>
  <c r="N325" i="32"/>
  <c r="N324" i="32" s="1"/>
  <c r="N323" i="32" s="1"/>
  <c r="N322" i="32" s="1"/>
  <c r="L325" i="32"/>
  <c r="L324" i="32" s="1"/>
  <c r="L323" i="32" s="1"/>
  <c r="L322" i="32" s="1"/>
  <c r="L321" i="32" s="1"/>
  <c r="K325" i="32"/>
  <c r="K324" i="32" s="1"/>
  <c r="K323" i="32" s="1"/>
  <c r="K322" i="32" s="1"/>
  <c r="I325" i="32"/>
  <c r="I324" i="32"/>
  <c r="I323" i="32" s="1"/>
  <c r="I322" i="32" s="1"/>
  <c r="J320" i="32"/>
  <c r="M320" i="32" s="1"/>
  <c r="P320" i="32" s="1"/>
  <c r="S320" i="32" s="1"/>
  <c r="J319" i="32"/>
  <c r="M319" i="32" s="1"/>
  <c r="P319" i="32" s="1"/>
  <c r="S319" i="32" s="1"/>
  <c r="J318" i="32"/>
  <c r="U317" i="32"/>
  <c r="U309" i="32" s="1"/>
  <c r="U308" i="32" s="1"/>
  <c r="U307" i="32" s="1"/>
  <c r="U306" i="32" s="1"/>
  <c r="T317" i="32"/>
  <c r="T309" i="32" s="1"/>
  <c r="T308" i="32" s="1"/>
  <c r="T307" i="32" s="1"/>
  <c r="T306" i="32" s="1"/>
  <c r="R317" i="32"/>
  <c r="Q317" i="32"/>
  <c r="Q309" i="32" s="1"/>
  <c r="Q308" i="32" s="1"/>
  <c r="Q307" i="32" s="1"/>
  <c r="Q306" i="32" s="1"/>
  <c r="O317" i="32"/>
  <c r="O309" i="32" s="1"/>
  <c r="O308" i="32" s="1"/>
  <c r="O307" i="32" s="1"/>
  <c r="O306" i="32" s="1"/>
  <c r="N317" i="32"/>
  <c r="N309" i="32" s="1"/>
  <c r="N308" i="32" s="1"/>
  <c r="N307" i="32" s="1"/>
  <c r="N306" i="32" s="1"/>
  <c r="L317" i="32"/>
  <c r="L309" i="32" s="1"/>
  <c r="L308" i="32" s="1"/>
  <c r="L307" i="32" s="1"/>
  <c r="L306" i="32" s="1"/>
  <c r="K317" i="32"/>
  <c r="I317" i="32"/>
  <c r="I309" i="32" s="1"/>
  <c r="I308" i="32" s="1"/>
  <c r="I307" i="32" s="1"/>
  <c r="I306" i="32" s="1"/>
  <c r="H317" i="32"/>
  <c r="H309" i="32" s="1"/>
  <c r="H308" i="32" s="1"/>
  <c r="H307" i="32" s="1"/>
  <c r="H306" i="32" s="1"/>
  <c r="G317" i="32"/>
  <c r="G309" i="32" s="1"/>
  <c r="G308" i="32" s="1"/>
  <c r="G307" i="32" s="1"/>
  <c r="G306" i="32" s="1"/>
  <c r="J316" i="32"/>
  <c r="M316" i="32" s="1"/>
  <c r="P316" i="32" s="1"/>
  <c r="S316" i="32" s="1"/>
  <c r="J315" i="32"/>
  <c r="M315" i="32" s="1"/>
  <c r="P315" i="32" s="1"/>
  <c r="S315" i="32" s="1"/>
  <c r="J314" i="32"/>
  <c r="M314" i="32" s="1"/>
  <c r="P314" i="32" s="1"/>
  <c r="S314" i="32" s="1"/>
  <c r="J313" i="32"/>
  <c r="J312" i="32"/>
  <c r="M312" i="32" s="1"/>
  <c r="P312" i="32" s="1"/>
  <c r="S312" i="32" s="1"/>
  <c r="J311" i="32"/>
  <c r="M311" i="32" s="1"/>
  <c r="P311" i="32" s="1"/>
  <c r="S311" i="32" s="1"/>
  <c r="J310" i="32"/>
  <c r="M310" i="32" s="1"/>
  <c r="R309" i="32"/>
  <c r="R308" i="32" s="1"/>
  <c r="R307" i="32" s="1"/>
  <c r="R306" i="32" s="1"/>
  <c r="K309" i="32"/>
  <c r="K308" i="32" s="1"/>
  <c r="K307" i="32" s="1"/>
  <c r="K306" i="32" s="1"/>
  <c r="J305" i="32"/>
  <c r="M305" i="32" s="1"/>
  <c r="U304" i="32"/>
  <c r="U285" i="32" s="1"/>
  <c r="U284" i="32" s="1"/>
  <c r="U283" i="32" s="1"/>
  <c r="U282" i="32" s="1"/>
  <c r="U281" i="32" s="1"/>
  <c r="T304" i="32"/>
  <c r="T285" i="32" s="1"/>
  <c r="T284" i="32" s="1"/>
  <c r="T283" i="32" s="1"/>
  <c r="T282" i="32" s="1"/>
  <c r="R304" i="32"/>
  <c r="R285" i="32" s="1"/>
  <c r="R284" i="32" s="1"/>
  <c r="R283" i="32" s="1"/>
  <c r="R282" i="32" s="1"/>
  <c r="Q304" i="32"/>
  <c r="Q285" i="32" s="1"/>
  <c r="Q284" i="32" s="1"/>
  <c r="Q283" i="32" s="1"/>
  <c r="Q282" i="32" s="1"/>
  <c r="O304" i="32"/>
  <c r="O285" i="32" s="1"/>
  <c r="O284" i="32" s="1"/>
  <c r="O283" i="32" s="1"/>
  <c r="O282" i="32" s="1"/>
  <c r="N304" i="32"/>
  <c r="N285" i="32" s="1"/>
  <c r="N284" i="32" s="1"/>
  <c r="N283" i="32" s="1"/>
  <c r="N282" i="32" s="1"/>
  <c r="L304" i="32"/>
  <c r="L285" i="32" s="1"/>
  <c r="L284" i="32" s="1"/>
  <c r="L283" i="32" s="1"/>
  <c r="L282" i="32" s="1"/>
  <c r="K304" i="32"/>
  <c r="K285" i="32" s="1"/>
  <c r="K284" i="32" s="1"/>
  <c r="K283" i="32" s="1"/>
  <c r="K282" i="32" s="1"/>
  <c r="I304" i="32"/>
  <c r="I285" i="32" s="1"/>
  <c r="I284" i="32" s="1"/>
  <c r="I283" i="32" s="1"/>
  <c r="I282" i="32" s="1"/>
  <c r="H304" i="32"/>
  <c r="H285" i="32" s="1"/>
  <c r="H284" i="32" s="1"/>
  <c r="H283" i="32" s="1"/>
  <c r="H282" i="32" s="1"/>
  <c r="G304" i="32"/>
  <c r="J303" i="32"/>
  <c r="M303" i="32" s="1"/>
  <c r="P303" i="32" s="1"/>
  <c r="S303" i="32" s="1"/>
  <c r="J302" i="32"/>
  <c r="M302" i="32" s="1"/>
  <c r="P302" i="32" s="1"/>
  <c r="S302" i="32" s="1"/>
  <c r="J301" i="32"/>
  <c r="M301" i="32" s="1"/>
  <c r="P301" i="32" s="1"/>
  <c r="S301" i="32" s="1"/>
  <c r="J300" i="32"/>
  <c r="M300" i="32" s="1"/>
  <c r="P300" i="32" s="1"/>
  <c r="S300" i="32" s="1"/>
  <c r="J299" i="32"/>
  <c r="M299" i="32" s="1"/>
  <c r="P299" i="32" s="1"/>
  <c r="S299" i="32" s="1"/>
  <c r="J298" i="32"/>
  <c r="M298" i="32" s="1"/>
  <c r="P298" i="32" s="1"/>
  <c r="S298" i="32" s="1"/>
  <c r="J297" i="32"/>
  <c r="M297" i="32" s="1"/>
  <c r="P297" i="32" s="1"/>
  <c r="S297" i="32" s="1"/>
  <c r="J296" i="32"/>
  <c r="M296" i="32" s="1"/>
  <c r="P296" i="32" s="1"/>
  <c r="S296" i="32" s="1"/>
  <c r="J295" i="32"/>
  <c r="M295" i="32" s="1"/>
  <c r="P295" i="32" s="1"/>
  <c r="S295" i="32" s="1"/>
  <c r="J294" i="32"/>
  <c r="M294" i="32" s="1"/>
  <c r="P294" i="32" s="1"/>
  <c r="S294" i="32" s="1"/>
  <c r="J293" i="32"/>
  <c r="M293" i="32" s="1"/>
  <c r="P293" i="32" s="1"/>
  <c r="S293" i="32" s="1"/>
  <c r="J292" i="32"/>
  <c r="M292" i="32" s="1"/>
  <c r="P292" i="32" s="1"/>
  <c r="S292" i="32" s="1"/>
  <c r="J291" i="32"/>
  <c r="M291" i="32" s="1"/>
  <c r="P291" i="32" s="1"/>
  <c r="S291" i="32" s="1"/>
  <c r="J290" i="32"/>
  <c r="M290" i="32" s="1"/>
  <c r="P290" i="32" s="1"/>
  <c r="S290" i="32" s="1"/>
  <c r="J289" i="32"/>
  <c r="M289" i="32" s="1"/>
  <c r="P289" i="32" s="1"/>
  <c r="S289" i="32" s="1"/>
  <c r="J288" i="32"/>
  <c r="M288" i="32" s="1"/>
  <c r="P288" i="32" s="1"/>
  <c r="S288" i="32" s="1"/>
  <c r="J287" i="32"/>
  <c r="M287" i="32" s="1"/>
  <c r="P287" i="32" s="1"/>
  <c r="S287" i="32" s="1"/>
  <c r="J286" i="32"/>
  <c r="G285" i="32"/>
  <c r="G284" i="32" s="1"/>
  <c r="G283" i="32" s="1"/>
  <c r="G282" i="32" s="1"/>
  <c r="J280" i="32"/>
  <c r="J279" i="32" s="1"/>
  <c r="J278" i="32" s="1"/>
  <c r="U279" i="32"/>
  <c r="U278" i="32" s="1"/>
  <c r="T279" i="32"/>
  <c r="T278" i="32" s="1"/>
  <c r="R279" i="32"/>
  <c r="R278" i="32" s="1"/>
  <c r="Q279" i="32"/>
  <c r="Q278" i="32" s="1"/>
  <c r="O279" i="32"/>
  <c r="O278" i="32" s="1"/>
  <c r="N279" i="32"/>
  <c r="N278" i="32" s="1"/>
  <c r="L279" i="32"/>
  <c r="L278" i="32" s="1"/>
  <c r="K279" i="32"/>
  <c r="K278" i="32" s="1"/>
  <c r="I279" i="32"/>
  <c r="I278" i="32" s="1"/>
  <c r="H279" i="32"/>
  <c r="H278" i="32" s="1"/>
  <c r="G279" i="32"/>
  <c r="G278" i="32" s="1"/>
  <c r="J277" i="32"/>
  <c r="M277" i="32" s="1"/>
  <c r="P277" i="32" s="1"/>
  <c r="S277" i="32" s="1"/>
  <c r="M276" i="32"/>
  <c r="P276" i="32" s="1"/>
  <c r="S276" i="32" s="1"/>
  <c r="J275" i="32"/>
  <c r="M275" i="32" s="1"/>
  <c r="U274" i="32"/>
  <c r="U273" i="32" s="1"/>
  <c r="T274" i="32"/>
  <c r="T273" i="32" s="1"/>
  <c r="R274" i="32"/>
  <c r="R273" i="32" s="1"/>
  <c r="Q274" i="32"/>
  <c r="Q273" i="32" s="1"/>
  <c r="O274" i="32"/>
  <c r="O273" i="32" s="1"/>
  <c r="N274" i="32"/>
  <c r="N273" i="32" s="1"/>
  <c r="L274" i="32"/>
  <c r="L273" i="32" s="1"/>
  <c r="L272" i="32" s="1"/>
  <c r="K274" i="32"/>
  <c r="K273" i="32" s="1"/>
  <c r="I274" i="32"/>
  <c r="I273" i="32" s="1"/>
  <c r="H274" i="32"/>
  <c r="G274" i="32"/>
  <c r="H273" i="32"/>
  <c r="G273" i="32"/>
  <c r="J271" i="32"/>
  <c r="M271" i="32" s="1"/>
  <c r="U270" i="32"/>
  <c r="U245" i="32" s="1"/>
  <c r="T270" i="32"/>
  <c r="T245" i="32" s="1"/>
  <c r="R270" i="32"/>
  <c r="Q270" i="32"/>
  <c r="O270" i="32"/>
  <c r="O245" i="32" s="1"/>
  <c r="N270" i="32"/>
  <c r="L270" i="32"/>
  <c r="K270" i="32"/>
  <c r="I270" i="32"/>
  <c r="I245" i="32" s="1"/>
  <c r="H270" i="32"/>
  <c r="G270" i="32"/>
  <c r="J269" i="32"/>
  <c r="M269" i="32" s="1"/>
  <c r="P269" i="32" s="1"/>
  <c r="S269" i="32" s="1"/>
  <c r="J268" i="32"/>
  <c r="M268" i="32" s="1"/>
  <c r="P268" i="32" s="1"/>
  <c r="S268" i="32" s="1"/>
  <c r="J267" i="32"/>
  <c r="M267" i="32" s="1"/>
  <c r="P267" i="32" s="1"/>
  <c r="S267" i="32" s="1"/>
  <c r="J266" i="32"/>
  <c r="M266" i="32" s="1"/>
  <c r="P266" i="32" s="1"/>
  <c r="S266" i="32" s="1"/>
  <c r="J265" i="32"/>
  <c r="M265" i="32" s="1"/>
  <c r="P265" i="32" s="1"/>
  <c r="S265" i="32" s="1"/>
  <c r="J264" i="32"/>
  <c r="M264" i="32" s="1"/>
  <c r="P264" i="32" s="1"/>
  <c r="S264" i="32" s="1"/>
  <c r="J263" i="32"/>
  <c r="M263" i="32" s="1"/>
  <c r="P263" i="32" s="1"/>
  <c r="S263" i="32" s="1"/>
  <c r="J262" i="32"/>
  <c r="M262" i="32" s="1"/>
  <c r="P262" i="32" s="1"/>
  <c r="S262" i="32" s="1"/>
  <c r="J261" i="32"/>
  <c r="M261" i="32" s="1"/>
  <c r="P261" i="32" s="1"/>
  <c r="S261" i="32" s="1"/>
  <c r="J260" i="32"/>
  <c r="M260" i="32" s="1"/>
  <c r="P260" i="32" s="1"/>
  <c r="S260" i="32" s="1"/>
  <c r="J259" i="32"/>
  <c r="M259" i="32" s="1"/>
  <c r="P259" i="32" s="1"/>
  <c r="S259" i="32" s="1"/>
  <c r="J258" i="32"/>
  <c r="M258" i="32" s="1"/>
  <c r="P258" i="32" s="1"/>
  <c r="S258" i="32" s="1"/>
  <c r="J257" i="32"/>
  <c r="M257" i="32" s="1"/>
  <c r="P257" i="32" s="1"/>
  <c r="S257" i="32" s="1"/>
  <c r="J256" i="32"/>
  <c r="M256" i="32" s="1"/>
  <c r="P256" i="32" s="1"/>
  <c r="S256" i="32" s="1"/>
  <c r="J255" i="32"/>
  <c r="M255" i="32" s="1"/>
  <c r="P255" i="32" s="1"/>
  <c r="S255" i="32" s="1"/>
  <c r="J254" i="32"/>
  <c r="M254" i="32" s="1"/>
  <c r="P254" i="32" s="1"/>
  <c r="S254" i="32" s="1"/>
  <c r="J253" i="32"/>
  <c r="M253" i="32" s="1"/>
  <c r="P253" i="32" s="1"/>
  <c r="S253" i="32" s="1"/>
  <c r="J252" i="32"/>
  <c r="M252" i="32" s="1"/>
  <c r="P252" i="32" s="1"/>
  <c r="S252" i="32" s="1"/>
  <c r="J251" i="32"/>
  <c r="M251" i="32" s="1"/>
  <c r="P251" i="32" s="1"/>
  <c r="S251" i="32" s="1"/>
  <c r="J250" i="32"/>
  <c r="M250" i="32" s="1"/>
  <c r="P250" i="32" s="1"/>
  <c r="S250" i="32" s="1"/>
  <c r="J249" i="32"/>
  <c r="M249" i="32" s="1"/>
  <c r="P249" i="32" s="1"/>
  <c r="S249" i="32" s="1"/>
  <c r="J248" i="32"/>
  <c r="J247" i="32"/>
  <c r="M247" i="32" s="1"/>
  <c r="P247" i="32" s="1"/>
  <c r="S247" i="32" s="1"/>
  <c r="J246" i="32"/>
  <c r="M246" i="32" s="1"/>
  <c r="R245" i="32"/>
  <c r="Q245" i="32"/>
  <c r="N245" i="32"/>
  <c r="L245" i="32"/>
  <c r="K245" i="32"/>
  <c r="H245" i="32"/>
  <c r="G245" i="32"/>
  <c r="M244" i="32"/>
  <c r="P244" i="32" s="1"/>
  <c r="S244" i="32" s="1"/>
  <c r="J243" i="32"/>
  <c r="M243" i="32" s="1"/>
  <c r="P243" i="32" s="1"/>
  <c r="S243" i="32" s="1"/>
  <c r="J242" i="32"/>
  <c r="M242" i="32" s="1"/>
  <c r="P242" i="32" s="1"/>
  <c r="S242" i="32" s="1"/>
  <c r="J241" i="32"/>
  <c r="M241" i="32" s="1"/>
  <c r="P241" i="32" s="1"/>
  <c r="S241" i="32" s="1"/>
  <c r="J240" i="32"/>
  <c r="U239" i="32"/>
  <c r="T239" i="32"/>
  <c r="R239" i="32"/>
  <c r="Q239" i="32"/>
  <c r="O239" i="32"/>
  <c r="O238" i="32" s="1"/>
  <c r="O237" i="32" s="1"/>
  <c r="N239" i="32"/>
  <c r="L239" i="32"/>
  <c r="K239" i="32"/>
  <c r="K238" i="32" s="1"/>
  <c r="K237" i="32" s="1"/>
  <c r="I239" i="32"/>
  <c r="H239" i="32"/>
  <c r="G239" i="32"/>
  <c r="G238" i="32" s="1"/>
  <c r="G237" i="32" s="1"/>
  <c r="J236" i="32"/>
  <c r="M236" i="32" s="1"/>
  <c r="P236" i="32" s="1"/>
  <c r="S236" i="32" s="1"/>
  <c r="J235" i="32"/>
  <c r="M235" i="32" s="1"/>
  <c r="P235" i="32" s="1"/>
  <c r="S235" i="32" s="1"/>
  <c r="J234" i="32"/>
  <c r="M234" i="32" s="1"/>
  <c r="P234" i="32" s="1"/>
  <c r="S234" i="32" s="1"/>
  <c r="J233" i="32"/>
  <c r="M233" i="32" s="1"/>
  <c r="P233" i="32" s="1"/>
  <c r="S233" i="32" s="1"/>
  <c r="J232" i="32"/>
  <c r="U231" i="32"/>
  <c r="U230" i="32" s="1"/>
  <c r="T231" i="32"/>
  <c r="T230" i="32" s="1"/>
  <c r="R231" i="32"/>
  <c r="R230" i="32" s="1"/>
  <c r="Q231" i="32"/>
  <c r="Q230" i="32" s="1"/>
  <c r="O231" i="32"/>
  <c r="O230" i="32" s="1"/>
  <c r="N231" i="32"/>
  <c r="L231" i="32"/>
  <c r="L230" i="32" s="1"/>
  <c r="K231" i="32"/>
  <c r="K230" i="32" s="1"/>
  <c r="I231" i="32"/>
  <c r="I230" i="32" s="1"/>
  <c r="H231" i="32"/>
  <c r="H230" i="32" s="1"/>
  <c r="G231" i="32"/>
  <c r="G230" i="32" s="1"/>
  <c r="G229" i="32" s="1"/>
  <c r="N230" i="32"/>
  <c r="M228" i="32"/>
  <c r="M227" i="32" s="1"/>
  <c r="M226" i="32" s="1"/>
  <c r="U227" i="32"/>
  <c r="U226" i="32" s="1"/>
  <c r="T227" i="32"/>
  <c r="T226" i="32" s="1"/>
  <c r="R227" i="32"/>
  <c r="R226" i="32" s="1"/>
  <c r="Q227" i="32"/>
  <c r="Q226" i="32" s="1"/>
  <c r="O227" i="32"/>
  <c r="O226" i="32" s="1"/>
  <c r="N227" i="32"/>
  <c r="N226" i="32" s="1"/>
  <c r="L227" i="32"/>
  <c r="L226" i="32" s="1"/>
  <c r="K227" i="32"/>
  <c r="K226" i="32" s="1"/>
  <c r="J227" i="32"/>
  <c r="J226" i="32"/>
  <c r="M224" i="32"/>
  <c r="P224" i="32" s="1"/>
  <c r="S224" i="32" s="1"/>
  <c r="P223" i="32"/>
  <c r="S223" i="32" s="1"/>
  <c r="M223" i="32"/>
  <c r="M222" i="32"/>
  <c r="M221" i="32"/>
  <c r="P221" i="32" s="1"/>
  <c r="S221" i="32" s="1"/>
  <c r="M220" i="32"/>
  <c r="P220" i="32" s="1"/>
  <c r="R219" i="32"/>
  <c r="Q219" i="32"/>
  <c r="O219" i="32"/>
  <c r="N219" i="32"/>
  <c r="L219" i="32"/>
  <c r="K219" i="32"/>
  <c r="R218" i="32"/>
  <c r="R217" i="32" s="1"/>
  <c r="Q218" i="32"/>
  <c r="Q217" i="32" s="1"/>
  <c r="O218" i="32"/>
  <c r="O217" i="32" s="1"/>
  <c r="N218" i="32"/>
  <c r="N217" i="32" s="1"/>
  <c r="L218" i="32"/>
  <c r="L217" i="32" s="1"/>
  <c r="K218" i="32"/>
  <c r="K217" i="32" s="1"/>
  <c r="M216" i="32"/>
  <c r="P216" i="32" s="1"/>
  <c r="S216" i="32" s="1"/>
  <c r="M215" i="32"/>
  <c r="P215" i="32" s="1"/>
  <c r="S215" i="32" s="1"/>
  <c r="M214" i="32"/>
  <c r="P214" i="32" s="1"/>
  <c r="R213" i="32"/>
  <c r="Q213" i="32"/>
  <c r="O213" i="32"/>
  <c r="O199" i="32" s="1"/>
  <c r="N213" i="32"/>
  <c r="L213" i="32"/>
  <c r="K213" i="32"/>
  <c r="J213" i="32"/>
  <c r="M212" i="32"/>
  <c r="P212" i="32" s="1"/>
  <c r="S212" i="32" s="1"/>
  <c r="M211" i="32"/>
  <c r="P211" i="32" s="1"/>
  <c r="R210" i="32"/>
  <c r="Q210" i="32"/>
  <c r="O210" i="32"/>
  <c r="N210" i="32"/>
  <c r="N200" i="32" s="1"/>
  <c r="L210" i="32"/>
  <c r="K210" i="32"/>
  <c r="K200" i="32" s="1"/>
  <c r="K199" i="32" s="1"/>
  <c r="J210" i="32"/>
  <c r="J207" i="32"/>
  <c r="M207" i="32" s="1"/>
  <c r="P207" i="32" s="1"/>
  <c r="S207" i="32" s="1"/>
  <c r="J206" i="32"/>
  <c r="M206" i="32" s="1"/>
  <c r="P206" i="32" s="1"/>
  <c r="S206" i="32" s="1"/>
  <c r="J205" i="32"/>
  <c r="M205" i="32" s="1"/>
  <c r="P205" i="32" s="1"/>
  <c r="S205" i="32" s="1"/>
  <c r="J204" i="32"/>
  <c r="M204" i="32" s="1"/>
  <c r="P204" i="32" s="1"/>
  <c r="S204" i="32" s="1"/>
  <c r="J203" i="32"/>
  <c r="M203" i="32" s="1"/>
  <c r="P203" i="32" s="1"/>
  <c r="S203" i="32" s="1"/>
  <c r="J202" i="32"/>
  <c r="M202" i="32" s="1"/>
  <c r="P202" i="32" s="1"/>
  <c r="S202" i="32" s="1"/>
  <c r="J201" i="32"/>
  <c r="U200" i="32"/>
  <c r="U199" i="32" s="1"/>
  <c r="T200" i="32"/>
  <c r="T199" i="32" s="1"/>
  <c r="R200" i="32"/>
  <c r="Q200" i="32"/>
  <c r="O200" i="32"/>
  <c r="L200" i="32"/>
  <c r="I200" i="32"/>
  <c r="I199" i="32" s="1"/>
  <c r="H200" i="32"/>
  <c r="G200" i="32"/>
  <c r="G199" i="32" s="1"/>
  <c r="Q199" i="32"/>
  <c r="H199" i="32"/>
  <c r="M198" i="32"/>
  <c r="P198" i="32" s="1"/>
  <c r="S198" i="32" s="1"/>
  <c r="M197" i="32"/>
  <c r="P197" i="32" s="1"/>
  <c r="S197" i="32" s="1"/>
  <c r="M196" i="32"/>
  <c r="P196" i="32" s="1"/>
  <c r="S196" i="32" s="1"/>
  <c r="M195" i="32"/>
  <c r="P195" i="32" s="1"/>
  <c r="S195" i="32" s="1"/>
  <c r="M194" i="32"/>
  <c r="P194" i="32" s="1"/>
  <c r="S194" i="32" s="1"/>
  <c r="M193" i="32"/>
  <c r="M192" i="32"/>
  <c r="P192" i="32" s="1"/>
  <c r="S192" i="32" s="1"/>
  <c r="M191" i="32"/>
  <c r="P191" i="32" s="1"/>
  <c r="S191" i="32" s="1"/>
  <c r="M190" i="32"/>
  <c r="P190" i="32" s="1"/>
  <c r="S190" i="32" s="1"/>
  <c r="M189" i="32"/>
  <c r="P189" i="32" s="1"/>
  <c r="S189" i="32" s="1"/>
  <c r="M188" i="32"/>
  <c r="P188" i="32" s="1"/>
  <c r="S188" i="32" s="1"/>
  <c r="M187" i="32"/>
  <c r="P187" i="32" s="1"/>
  <c r="S187" i="32" s="1"/>
  <c r="R186" i="32"/>
  <c r="Q186" i="32"/>
  <c r="O186" i="32"/>
  <c r="N186" i="32"/>
  <c r="L186" i="32"/>
  <c r="K186" i="32"/>
  <c r="J185" i="32"/>
  <c r="M185" i="32" s="1"/>
  <c r="P185" i="32" s="1"/>
  <c r="S185" i="32" s="1"/>
  <c r="J184" i="32"/>
  <c r="M184" i="32" s="1"/>
  <c r="P184" i="32" s="1"/>
  <c r="S184" i="32" s="1"/>
  <c r="J183" i="32"/>
  <c r="M183" i="32" s="1"/>
  <c r="P183" i="32" s="1"/>
  <c r="S183" i="32" s="1"/>
  <c r="J182" i="32"/>
  <c r="M182" i="32" s="1"/>
  <c r="P182" i="32" s="1"/>
  <c r="S182" i="32" s="1"/>
  <c r="J181" i="32"/>
  <c r="M181" i="32" s="1"/>
  <c r="P181" i="32" s="1"/>
  <c r="S181" i="32" s="1"/>
  <c r="J180" i="32"/>
  <c r="M180" i="32" s="1"/>
  <c r="P180" i="32" s="1"/>
  <c r="S180" i="32" s="1"/>
  <c r="J179" i="32"/>
  <c r="M179" i="32" s="1"/>
  <c r="P179" i="32" s="1"/>
  <c r="S179" i="32" s="1"/>
  <c r="J178" i="32"/>
  <c r="M178" i="32" s="1"/>
  <c r="P178" i="32" s="1"/>
  <c r="S178" i="32" s="1"/>
  <c r="J177" i="32"/>
  <c r="M177" i="32" s="1"/>
  <c r="P177" i="32" s="1"/>
  <c r="S177" i="32" s="1"/>
  <c r="J176" i="32"/>
  <c r="M176" i="32" s="1"/>
  <c r="P176" i="32" s="1"/>
  <c r="S176" i="32" s="1"/>
  <c r="J175" i="32"/>
  <c r="M175" i="32" s="1"/>
  <c r="P175" i="32" s="1"/>
  <c r="S175" i="32" s="1"/>
  <c r="J174" i="32"/>
  <c r="M174" i="32" s="1"/>
  <c r="P174" i="32" s="1"/>
  <c r="S174" i="32" s="1"/>
  <c r="J173" i="32"/>
  <c r="M173" i="32" s="1"/>
  <c r="P173" i="32" s="1"/>
  <c r="S173" i="32" s="1"/>
  <c r="J172" i="32"/>
  <c r="M172" i="32" s="1"/>
  <c r="P172" i="32" s="1"/>
  <c r="S172" i="32" s="1"/>
  <c r="J171" i="32"/>
  <c r="M171" i="32" s="1"/>
  <c r="P171" i="32" s="1"/>
  <c r="S171" i="32" s="1"/>
  <c r="J170" i="32"/>
  <c r="M170" i="32" s="1"/>
  <c r="P170" i="32" s="1"/>
  <c r="S170" i="32" s="1"/>
  <c r="J169" i="32"/>
  <c r="M169" i="32" s="1"/>
  <c r="P169" i="32" s="1"/>
  <c r="S169" i="32" s="1"/>
  <c r="J168" i="32"/>
  <c r="M168" i="32" s="1"/>
  <c r="P168" i="32" s="1"/>
  <c r="S168" i="32" s="1"/>
  <c r="J167" i="32"/>
  <c r="M167" i="32" s="1"/>
  <c r="P167" i="32" s="1"/>
  <c r="S167" i="32" s="1"/>
  <c r="J166" i="32"/>
  <c r="M166" i="32" s="1"/>
  <c r="P166" i="32" s="1"/>
  <c r="S166" i="32" s="1"/>
  <c r="J165" i="32"/>
  <c r="M165" i="32" s="1"/>
  <c r="P165" i="32" s="1"/>
  <c r="S165" i="32" s="1"/>
  <c r="J164" i="32"/>
  <c r="M164" i="32" s="1"/>
  <c r="P164" i="32" s="1"/>
  <c r="S164" i="32" s="1"/>
  <c r="J163" i="32"/>
  <c r="M163" i="32" s="1"/>
  <c r="P163" i="32" s="1"/>
  <c r="S163" i="32" s="1"/>
  <c r="J162" i="32"/>
  <c r="M162" i="32" s="1"/>
  <c r="P162" i="32" s="1"/>
  <c r="S162" i="32" s="1"/>
  <c r="J161" i="32"/>
  <c r="M161" i="32" s="1"/>
  <c r="P161" i="32" s="1"/>
  <c r="S161" i="32" s="1"/>
  <c r="J160" i="32"/>
  <c r="M160" i="32" s="1"/>
  <c r="P160" i="32" s="1"/>
  <c r="S160" i="32" s="1"/>
  <c r="J159" i="32"/>
  <c r="M159" i="32" s="1"/>
  <c r="P159" i="32" s="1"/>
  <c r="S159" i="32" s="1"/>
  <c r="J158" i="32"/>
  <c r="M158" i="32" s="1"/>
  <c r="P158" i="32" s="1"/>
  <c r="S158" i="32" s="1"/>
  <c r="J157" i="32"/>
  <c r="M157" i="32" s="1"/>
  <c r="P157" i="32" s="1"/>
  <c r="S157" i="32" s="1"/>
  <c r="J156" i="32"/>
  <c r="M156" i="32" s="1"/>
  <c r="P156" i="32" s="1"/>
  <c r="S156" i="32" s="1"/>
  <c r="J155" i="32"/>
  <c r="U154" i="32"/>
  <c r="U153" i="32" s="1"/>
  <c r="T154" i="32"/>
  <c r="T153" i="32" s="1"/>
  <c r="R154" i="32"/>
  <c r="Q154" i="32"/>
  <c r="O154" i="32"/>
  <c r="N154" i="32"/>
  <c r="L154" i="32"/>
  <c r="K154" i="32"/>
  <c r="I154" i="32"/>
  <c r="I153" i="32" s="1"/>
  <c r="H154" i="32"/>
  <c r="H153" i="32" s="1"/>
  <c r="G154" i="32"/>
  <c r="G153" i="32" s="1"/>
  <c r="J151" i="32"/>
  <c r="M151" i="32" s="1"/>
  <c r="P151" i="32" s="1"/>
  <c r="S151" i="32" s="1"/>
  <c r="J150" i="32"/>
  <c r="M150" i="32" s="1"/>
  <c r="U149" i="32"/>
  <c r="T149" i="32"/>
  <c r="T136" i="32" s="1"/>
  <c r="R149" i="32"/>
  <c r="R136" i="32" s="1"/>
  <c r="R135" i="32" s="1"/>
  <c r="R134" i="32" s="1"/>
  <c r="Q149" i="32"/>
  <c r="O149" i="32"/>
  <c r="O136" i="32" s="1"/>
  <c r="O135" i="32" s="1"/>
  <c r="O134" i="32" s="1"/>
  <c r="N149" i="32"/>
  <c r="N136" i="32" s="1"/>
  <c r="N135" i="32" s="1"/>
  <c r="N134" i="32" s="1"/>
  <c r="L149" i="32"/>
  <c r="L136" i="32" s="1"/>
  <c r="L135" i="32" s="1"/>
  <c r="L134" i="32" s="1"/>
  <c r="K149" i="32"/>
  <c r="K136" i="32" s="1"/>
  <c r="K135" i="32" s="1"/>
  <c r="K134" i="32" s="1"/>
  <c r="I149" i="32"/>
  <c r="I136" i="32" s="1"/>
  <c r="I135" i="32" s="1"/>
  <c r="I134" i="32" s="1"/>
  <c r="H149" i="32"/>
  <c r="H136" i="32" s="1"/>
  <c r="H135" i="32" s="1"/>
  <c r="H134" i="32" s="1"/>
  <c r="G149" i="32"/>
  <c r="G136" i="32" s="1"/>
  <c r="G135" i="32" s="1"/>
  <c r="G134" i="32" s="1"/>
  <c r="J147" i="32"/>
  <c r="M147" i="32" s="1"/>
  <c r="P147" i="32" s="1"/>
  <c r="S147" i="32" s="1"/>
  <c r="J146" i="32"/>
  <c r="M146" i="32" s="1"/>
  <c r="P146" i="32" s="1"/>
  <c r="S146" i="32" s="1"/>
  <c r="J145" i="32"/>
  <c r="J144" i="32"/>
  <c r="M144" i="32" s="1"/>
  <c r="P144" i="32" s="1"/>
  <c r="S144" i="32" s="1"/>
  <c r="J143" i="32"/>
  <c r="M143" i="32" s="1"/>
  <c r="P143" i="32" s="1"/>
  <c r="S143" i="32" s="1"/>
  <c r="M142" i="32"/>
  <c r="P142" i="32" s="1"/>
  <c r="S142" i="32" s="1"/>
  <c r="M141" i="32"/>
  <c r="P141" i="32" s="1"/>
  <c r="S141" i="32" s="1"/>
  <c r="M140" i="32"/>
  <c r="P140" i="32" s="1"/>
  <c r="S140" i="32" s="1"/>
  <c r="M139" i="32"/>
  <c r="P139" i="32" s="1"/>
  <c r="S139" i="32" s="1"/>
  <c r="M138" i="32"/>
  <c r="P138" i="32" s="1"/>
  <c r="S138" i="32" s="1"/>
  <c r="M137" i="32"/>
  <c r="Q136" i="32"/>
  <c r="Q135" i="32" s="1"/>
  <c r="Q134" i="32" s="1"/>
  <c r="M131" i="32"/>
  <c r="P131" i="32" s="1"/>
  <c r="U130" i="32"/>
  <c r="T130" i="32"/>
  <c r="T125" i="32" s="1"/>
  <c r="R130" i="32"/>
  <c r="R125" i="32" s="1"/>
  <c r="Q130" i="32"/>
  <c r="Q125" i="32" s="1"/>
  <c r="O130" i="32"/>
  <c r="O125" i="32" s="1"/>
  <c r="N130" i="32"/>
  <c r="N125" i="32" s="1"/>
  <c r="L130" i="32"/>
  <c r="L125" i="32" s="1"/>
  <c r="K130" i="32"/>
  <c r="K125" i="32" s="1"/>
  <c r="J130" i="32"/>
  <c r="J128" i="32"/>
  <c r="M128" i="32" s="1"/>
  <c r="P128" i="32" s="1"/>
  <c r="S128" i="32" s="1"/>
  <c r="U127" i="32"/>
  <c r="J127" i="32"/>
  <c r="M127" i="32" s="1"/>
  <c r="P127" i="32" s="1"/>
  <c r="S127" i="32" s="1"/>
  <c r="J126" i="32"/>
  <c r="I125" i="32"/>
  <c r="H125" i="32"/>
  <c r="G125" i="32"/>
  <c r="G122" i="32" s="1"/>
  <c r="G121" i="32" s="1"/>
  <c r="G120" i="32" s="1"/>
  <c r="G119" i="32" s="1"/>
  <c r="J124" i="32"/>
  <c r="J123" i="32" s="1"/>
  <c r="U123" i="32"/>
  <c r="T123" i="32"/>
  <c r="R123" i="32"/>
  <c r="Q123" i="32"/>
  <c r="O123" i="32"/>
  <c r="N123" i="32"/>
  <c r="L123" i="32"/>
  <c r="K123" i="32"/>
  <c r="I123" i="32"/>
  <c r="H123" i="32"/>
  <c r="H122" i="32" s="1"/>
  <c r="H121" i="32" s="1"/>
  <c r="H120" i="32" s="1"/>
  <c r="H119" i="32" s="1"/>
  <c r="G123" i="32"/>
  <c r="P118" i="32"/>
  <c r="S118" i="32" s="1"/>
  <c r="S117" i="32"/>
  <c r="S116" i="32"/>
  <c r="S115" i="32"/>
  <c r="J114" i="32"/>
  <c r="M114" i="32" s="1"/>
  <c r="P114" i="32" s="1"/>
  <c r="S114" i="32" s="1"/>
  <c r="J113" i="32"/>
  <c r="J112" i="32" s="1"/>
  <c r="U112" i="32"/>
  <c r="T112" i="32"/>
  <c r="R112" i="32"/>
  <c r="R99" i="32" s="1"/>
  <c r="R98" i="32" s="1"/>
  <c r="R97" i="32" s="1"/>
  <c r="R96" i="32" s="1"/>
  <c r="R95" i="32" s="1"/>
  <c r="Q112" i="32"/>
  <c r="Q99" i="32" s="1"/>
  <c r="Q98" i="32" s="1"/>
  <c r="Q97" i="32" s="1"/>
  <c r="Q96" i="32" s="1"/>
  <c r="Q95" i="32" s="1"/>
  <c r="O112" i="32"/>
  <c r="O99" i="32" s="1"/>
  <c r="O98" i="32" s="1"/>
  <c r="O97" i="32" s="1"/>
  <c r="O96" i="32" s="1"/>
  <c r="O95" i="32" s="1"/>
  <c r="N112" i="32"/>
  <c r="N99" i="32" s="1"/>
  <c r="N98" i="32" s="1"/>
  <c r="N97" i="32" s="1"/>
  <c r="N96" i="32" s="1"/>
  <c r="N95" i="32" s="1"/>
  <c r="L112" i="32"/>
  <c r="L99" i="32" s="1"/>
  <c r="L98" i="32" s="1"/>
  <c r="L97" i="32" s="1"/>
  <c r="L96" i="32" s="1"/>
  <c r="L95" i="32" s="1"/>
  <c r="K112" i="32"/>
  <c r="K99" i="32" s="1"/>
  <c r="K98" i="32" s="1"/>
  <c r="K97" i="32" s="1"/>
  <c r="K96" i="32" s="1"/>
  <c r="K95" i="32" s="1"/>
  <c r="I112" i="32"/>
  <c r="H112" i="32"/>
  <c r="H99" i="32" s="1"/>
  <c r="H98" i="32" s="1"/>
  <c r="H97" i="32" s="1"/>
  <c r="H96" i="32" s="1"/>
  <c r="H95" i="32" s="1"/>
  <c r="G112" i="32"/>
  <c r="J111" i="32"/>
  <c r="M111" i="32" s="1"/>
  <c r="P111" i="32" s="1"/>
  <c r="S111" i="32" s="1"/>
  <c r="J108" i="32"/>
  <c r="M108" i="32" s="1"/>
  <c r="P108" i="32" s="1"/>
  <c r="S108" i="32" s="1"/>
  <c r="J107" i="32"/>
  <c r="M107" i="32" s="1"/>
  <c r="P107" i="32" s="1"/>
  <c r="S107" i="32" s="1"/>
  <c r="J106" i="32"/>
  <c r="M106" i="32" s="1"/>
  <c r="P106" i="32" s="1"/>
  <c r="S106" i="32" s="1"/>
  <c r="J105" i="32"/>
  <c r="M105" i="32" s="1"/>
  <c r="P105" i="32" s="1"/>
  <c r="S105" i="32" s="1"/>
  <c r="J104" i="32"/>
  <c r="M104" i="32" s="1"/>
  <c r="P104" i="32" s="1"/>
  <c r="S104" i="32" s="1"/>
  <c r="S103" i="32"/>
  <c r="S102" i="32"/>
  <c r="J101" i="32"/>
  <c r="M101" i="32" s="1"/>
  <c r="P101" i="32" s="1"/>
  <c r="S101" i="32" s="1"/>
  <c r="J100" i="32"/>
  <c r="M100" i="32" s="1"/>
  <c r="P100" i="32" s="1"/>
  <c r="S100" i="32" s="1"/>
  <c r="U99" i="32"/>
  <c r="U98" i="32" s="1"/>
  <c r="U97" i="32" s="1"/>
  <c r="U96" i="32" s="1"/>
  <c r="U95" i="32" s="1"/>
  <c r="T99" i="32"/>
  <c r="T98" i="32" s="1"/>
  <c r="T97" i="32" s="1"/>
  <c r="T96" i="32" s="1"/>
  <c r="T95" i="32" s="1"/>
  <c r="I99" i="32"/>
  <c r="I98" i="32" s="1"/>
  <c r="I97" i="32" s="1"/>
  <c r="I96" i="32" s="1"/>
  <c r="I95" i="32" s="1"/>
  <c r="G99" i="32"/>
  <c r="G98" i="32" s="1"/>
  <c r="G97" i="32" s="1"/>
  <c r="G96" i="32" s="1"/>
  <c r="G95" i="32" s="1"/>
  <c r="M94" i="32"/>
  <c r="P94" i="32" s="1"/>
  <c r="S94" i="32" s="1"/>
  <c r="M93" i="32"/>
  <c r="U92" i="32"/>
  <c r="U69" i="32" s="1"/>
  <c r="U68" i="32" s="1"/>
  <c r="U67" i="32" s="1"/>
  <c r="U66" i="32" s="1"/>
  <c r="U59" i="32" s="1"/>
  <c r="T92" i="32"/>
  <c r="T69" i="32" s="1"/>
  <c r="T68" i="32" s="1"/>
  <c r="T67" i="32" s="1"/>
  <c r="T66" i="32" s="1"/>
  <c r="T59" i="32" s="1"/>
  <c r="R92" i="32"/>
  <c r="R69" i="32" s="1"/>
  <c r="R68" i="32" s="1"/>
  <c r="R67" i="32" s="1"/>
  <c r="R66" i="32" s="1"/>
  <c r="Q92" i="32"/>
  <c r="Q69" i="32" s="1"/>
  <c r="Q68" i="32" s="1"/>
  <c r="Q67" i="32" s="1"/>
  <c r="Q66" i="32" s="1"/>
  <c r="O92" i="32"/>
  <c r="O69" i="32" s="1"/>
  <c r="O68" i="32" s="1"/>
  <c r="O67" i="32" s="1"/>
  <c r="O66" i="32" s="1"/>
  <c r="N92" i="32"/>
  <c r="N69" i="32" s="1"/>
  <c r="N68" i="32" s="1"/>
  <c r="N67" i="32" s="1"/>
  <c r="N66" i="32" s="1"/>
  <c r="L92" i="32"/>
  <c r="L69" i="32" s="1"/>
  <c r="L68" i="32" s="1"/>
  <c r="L67" i="32" s="1"/>
  <c r="L66" i="32" s="1"/>
  <c r="K92" i="32"/>
  <c r="K69" i="32" s="1"/>
  <c r="K68" i="32" s="1"/>
  <c r="K67" i="32" s="1"/>
  <c r="K66" i="32" s="1"/>
  <c r="J92" i="32"/>
  <c r="J89" i="32"/>
  <c r="M89" i="32" s="1"/>
  <c r="P89" i="32" s="1"/>
  <c r="S89" i="32" s="1"/>
  <c r="J88" i="32"/>
  <c r="M88" i="32" s="1"/>
  <c r="P88" i="32" s="1"/>
  <c r="S88" i="32" s="1"/>
  <c r="J87" i="32"/>
  <c r="M87" i="32" s="1"/>
  <c r="P87" i="32" s="1"/>
  <c r="S87" i="32" s="1"/>
  <c r="J86" i="32"/>
  <c r="M86" i="32" s="1"/>
  <c r="P86" i="32" s="1"/>
  <c r="S86" i="32" s="1"/>
  <c r="J85" i="32"/>
  <c r="M85" i="32" s="1"/>
  <c r="P85" i="32" s="1"/>
  <c r="S85" i="32" s="1"/>
  <c r="J84" i="32"/>
  <c r="M84" i="32" s="1"/>
  <c r="P84" i="32" s="1"/>
  <c r="S84" i="32" s="1"/>
  <c r="J83" i="32"/>
  <c r="M83" i="32" s="1"/>
  <c r="P83" i="32" s="1"/>
  <c r="S83" i="32" s="1"/>
  <c r="J82" i="32"/>
  <c r="M82" i="32" s="1"/>
  <c r="P82" i="32" s="1"/>
  <c r="S82" i="32" s="1"/>
  <c r="J81" i="32"/>
  <c r="M81" i="32" s="1"/>
  <c r="P81" i="32" s="1"/>
  <c r="S81" i="32" s="1"/>
  <c r="J80" i="32"/>
  <c r="M80" i="32" s="1"/>
  <c r="P80" i="32" s="1"/>
  <c r="S80" i="32" s="1"/>
  <c r="J79" i="32"/>
  <c r="M79" i="32" s="1"/>
  <c r="P79" i="32" s="1"/>
  <c r="S79" i="32" s="1"/>
  <c r="J78" i="32"/>
  <c r="M78" i="32" s="1"/>
  <c r="P78" i="32" s="1"/>
  <c r="S78" i="32" s="1"/>
  <c r="J77" i="32"/>
  <c r="M77" i="32" s="1"/>
  <c r="P77" i="32" s="1"/>
  <c r="S77" i="32" s="1"/>
  <c r="P76" i="32"/>
  <c r="S76" i="32" s="1"/>
  <c r="J75" i="32"/>
  <c r="M75" i="32" s="1"/>
  <c r="P75" i="32" s="1"/>
  <c r="S75" i="32" s="1"/>
  <c r="M74" i="32"/>
  <c r="P74" i="32" s="1"/>
  <c r="S74" i="32" s="1"/>
  <c r="J73" i="32"/>
  <c r="M73" i="32" s="1"/>
  <c r="P73" i="32" s="1"/>
  <c r="S73" i="32" s="1"/>
  <c r="J72" i="32"/>
  <c r="M72" i="32" s="1"/>
  <c r="P72" i="32" s="1"/>
  <c r="S72" i="32" s="1"/>
  <c r="J71" i="32"/>
  <c r="M71" i="32" s="1"/>
  <c r="P71" i="32" s="1"/>
  <c r="S71" i="32" s="1"/>
  <c r="J70" i="32"/>
  <c r="I69" i="32"/>
  <c r="I68" i="32" s="1"/>
  <c r="I67" i="32" s="1"/>
  <c r="I66" i="32" s="1"/>
  <c r="I59" i="32" s="1"/>
  <c r="H69" i="32"/>
  <c r="H68" i="32" s="1"/>
  <c r="H67" i="32" s="1"/>
  <c r="H66" i="32" s="1"/>
  <c r="H59" i="32" s="1"/>
  <c r="G69" i="32"/>
  <c r="G68" i="32" s="1"/>
  <c r="G67" i="32" s="1"/>
  <c r="G66" i="32" s="1"/>
  <c r="G59" i="32" s="1"/>
  <c r="M65" i="32"/>
  <c r="P65" i="32" s="1"/>
  <c r="R64" i="32"/>
  <c r="R63" i="32" s="1"/>
  <c r="R62" i="32" s="1"/>
  <c r="R61" i="32" s="1"/>
  <c r="R60" i="32" s="1"/>
  <c r="R59" i="32" s="1"/>
  <c r="Q64" i="32"/>
  <c r="Q63" i="32" s="1"/>
  <c r="Q62" i="32" s="1"/>
  <c r="Q61" i="32" s="1"/>
  <c r="Q60" i="32" s="1"/>
  <c r="O64" i="32"/>
  <c r="O63" i="32" s="1"/>
  <c r="O62" i="32" s="1"/>
  <c r="O61" i="32" s="1"/>
  <c r="O60" i="32" s="1"/>
  <c r="N64" i="32"/>
  <c r="N63" i="32" s="1"/>
  <c r="N62" i="32" s="1"/>
  <c r="N61" i="32" s="1"/>
  <c r="N60" i="32" s="1"/>
  <c r="L64" i="32"/>
  <c r="L63" i="32" s="1"/>
  <c r="L62" i="32" s="1"/>
  <c r="L61" i="32" s="1"/>
  <c r="L60" i="32" s="1"/>
  <c r="K64" i="32"/>
  <c r="K63" i="32" s="1"/>
  <c r="K62" i="32" s="1"/>
  <c r="K61" i="32" s="1"/>
  <c r="K60" i="32" s="1"/>
  <c r="S58" i="32"/>
  <c r="S57" i="32" s="1"/>
  <c r="U57" i="32"/>
  <c r="U53" i="32" s="1"/>
  <c r="U52" i="32" s="1"/>
  <c r="U51" i="32" s="1"/>
  <c r="U50" i="32" s="1"/>
  <c r="U49" i="32" s="1"/>
  <c r="T57" i="32"/>
  <c r="T53" i="32" s="1"/>
  <c r="T52" i="32" s="1"/>
  <c r="T51" i="32" s="1"/>
  <c r="T50" i="32" s="1"/>
  <c r="T49" i="32" s="1"/>
  <c r="R57" i="32"/>
  <c r="R53" i="32" s="1"/>
  <c r="R52" i="32" s="1"/>
  <c r="R51" i="32" s="1"/>
  <c r="R50" i="32" s="1"/>
  <c r="R49" i="32" s="1"/>
  <c r="Q57" i="32"/>
  <c r="P57" i="32"/>
  <c r="O57" i="32"/>
  <c r="O53" i="32" s="1"/>
  <c r="O52" i="32" s="1"/>
  <c r="O51" i="32" s="1"/>
  <c r="O50" i="32" s="1"/>
  <c r="O49" i="32" s="1"/>
  <c r="N57" i="32"/>
  <c r="N53" i="32" s="1"/>
  <c r="N52" i="32" s="1"/>
  <c r="N51" i="32" s="1"/>
  <c r="N50" i="32" s="1"/>
  <c r="N49" i="32" s="1"/>
  <c r="M57" i="32"/>
  <c r="L57" i="32"/>
  <c r="L53" i="32" s="1"/>
  <c r="L52" i="32" s="1"/>
  <c r="L51" i="32" s="1"/>
  <c r="L50" i="32" s="1"/>
  <c r="L49" i="32" s="1"/>
  <c r="K57" i="32"/>
  <c r="K53" i="32" s="1"/>
  <c r="K52" i="32" s="1"/>
  <c r="K51" i="32" s="1"/>
  <c r="K50" i="32" s="1"/>
  <c r="K49" i="32" s="1"/>
  <c r="J57" i="32"/>
  <c r="S56" i="32"/>
  <c r="J54" i="32"/>
  <c r="M54" i="32" s="1"/>
  <c r="Q53" i="32"/>
  <c r="Q52" i="32" s="1"/>
  <c r="Q51" i="32" s="1"/>
  <c r="Q50" i="32" s="1"/>
  <c r="Q49" i="32" s="1"/>
  <c r="I53" i="32"/>
  <c r="I52" i="32" s="1"/>
  <c r="I51" i="32" s="1"/>
  <c r="I50" i="32" s="1"/>
  <c r="I49" i="32" s="1"/>
  <c r="H53" i="32"/>
  <c r="H52" i="32" s="1"/>
  <c r="H51" i="32" s="1"/>
  <c r="H50" i="32" s="1"/>
  <c r="H49" i="32" s="1"/>
  <c r="G53" i="32"/>
  <c r="G52" i="32" s="1"/>
  <c r="G51" i="32" s="1"/>
  <c r="G50" i="32" s="1"/>
  <c r="G49" i="32" s="1"/>
  <c r="M48" i="32"/>
  <c r="M47" i="32" s="1"/>
  <c r="R47" i="32"/>
  <c r="Q47" i="32"/>
  <c r="O47" i="32"/>
  <c r="O36" i="32" s="1"/>
  <c r="O35" i="32" s="1"/>
  <c r="O34" i="32" s="1"/>
  <c r="O33" i="32" s="1"/>
  <c r="O32" i="32" s="1"/>
  <c r="N47" i="32"/>
  <c r="N36" i="32" s="1"/>
  <c r="N35" i="32" s="1"/>
  <c r="N34" i="32" s="1"/>
  <c r="N33" i="32" s="1"/>
  <c r="N32" i="32" s="1"/>
  <c r="L47" i="32"/>
  <c r="L36" i="32" s="1"/>
  <c r="L35" i="32" s="1"/>
  <c r="L34" i="32" s="1"/>
  <c r="L33" i="32" s="1"/>
  <c r="L32" i="32" s="1"/>
  <c r="K47" i="32"/>
  <c r="K36" i="32" s="1"/>
  <c r="K35" i="32" s="1"/>
  <c r="K34" i="32" s="1"/>
  <c r="K33" i="32" s="1"/>
  <c r="K32" i="32" s="1"/>
  <c r="J47" i="32"/>
  <c r="J46" i="32"/>
  <c r="M46" i="32" s="1"/>
  <c r="P46" i="32" s="1"/>
  <c r="S46" i="32" s="1"/>
  <c r="J45" i="32"/>
  <c r="M45" i="32" s="1"/>
  <c r="P45" i="32" s="1"/>
  <c r="S45" i="32" s="1"/>
  <c r="J44" i="32"/>
  <c r="M44" i="32" s="1"/>
  <c r="P44" i="32" s="1"/>
  <c r="S44" i="32" s="1"/>
  <c r="J43" i="32"/>
  <c r="M43" i="32" s="1"/>
  <c r="P43" i="32" s="1"/>
  <c r="S43" i="32" s="1"/>
  <c r="J42" i="32"/>
  <c r="J41" i="32"/>
  <c r="M41" i="32" s="1"/>
  <c r="P41" i="32" s="1"/>
  <c r="S41" i="32" s="1"/>
  <c r="J40" i="32"/>
  <c r="M40" i="32" s="1"/>
  <c r="P40" i="32" s="1"/>
  <c r="S40" i="32" s="1"/>
  <c r="J37" i="32"/>
  <c r="M37" i="32" s="1"/>
  <c r="U36" i="32"/>
  <c r="U35" i="32" s="1"/>
  <c r="U34" i="32" s="1"/>
  <c r="U33" i="32" s="1"/>
  <c r="U32" i="32" s="1"/>
  <c r="T36" i="32"/>
  <c r="T35" i="32" s="1"/>
  <c r="T34" i="32" s="1"/>
  <c r="T33" i="32" s="1"/>
  <c r="T32" i="32" s="1"/>
  <c r="R36" i="32"/>
  <c r="R35" i="32" s="1"/>
  <c r="R34" i="32" s="1"/>
  <c r="R33" i="32" s="1"/>
  <c r="R32" i="32" s="1"/>
  <c r="Q36" i="32"/>
  <c r="Q35" i="32" s="1"/>
  <c r="Q34" i="32" s="1"/>
  <c r="Q33" i="32" s="1"/>
  <c r="Q32" i="32" s="1"/>
  <c r="I36" i="32"/>
  <c r="H36" i="32"/>
  <c r="H35" i="32" s="1"/>
  <c r="H34" i="32" s="1"/>
  <c r="H33" i="32" s="1"/>
  <c r="H32" i="32" s="1"/>
  <c r="G36" i="32"/>
  <c r="G35" i="32" s="1"/>
  <c r="G34" i="32" s="1"/>
  <c r="G33" i="32" s="1"/>
  <c r="G32" i="32" s="1"/>
  <c r="I35" i="32"/>
  <c r="I34" i="32" s="1"/>
  <c r="I33" i="32" s="1"/>
  <c r="I32" i="32" s="1"/>
  <c r="J31" i="32"/>
  <c r="M31" i="32" s="1"/>
  <c r="P31" i="32" s="1"/>
  <c r="S31" i="32" s="1"/>
  <c r="J30" i="32"/>
  <c r="M30" i="32" s="1"/>
  <c r="P30" i="32" s="1"/>
  <c r="S30" i="32" s="1"/>
  <c r="J29" i="32"/>
  <c r="U28" i="32"/>
  <c r="U23" i="32" s="1"/>
  <c r="U22" i="32" s="1"/>
  <c r="U21" i="32" s="1"/>
  <c r="U20" i="32" s="1"/>
  <c r="U19" i="32" s="1"/>
  <c r="T28" i="32"/>
  <c r="T23" i="32" s="1"/>
  <c r="T22" i="32" s="1"/>
  <c r="T21" i="32" s="1"/>
  <c r="T20" i="32" s="1"/>
  <c r="T19" i="32" s="1"/>
  <c r="R28" i="32"/>
  <c r="R23" i="32" s="1"/>
  <c r="R22" i="32" s="1"/>
  <c r="R21" i="32" s="1"/>
  <c r="R20" i="32" s="1"/>
  <c r="R19" i="32" s="1"/>
  <c r="Q28" i="32"/>
  <c r="O28" i="32"/>
  <c r="O23" i="32" s="1"/>
  <c r="O22" i="32" s="1"/>
  <c r="O21" i="32" s="1"/>
  <c r="O20" i="32" s="1"/>
  <c r="O19" i="32" s="1"/>
  <c r="N28" i="32"/>
  <c r="N23" i="32" s="1"/>
  <c r="N22" i="32" s="1"/>
  <c r="N21" i="32" s="1"/>
  <c r="N20" i="32" s="1"/>
  <c r="N19" i="32" s="1"/>
  <c r="L28" i="32"/>
  <c r="L23" i="32" s="1"/>
  <c r="L22" i="32" s="1"/>
  <c r="L21" i="32" s="1"/>
  <c r="L20" i="32" s="1"/>
  <c r="L19" i="32" s="1"/>
  <c r="K28" i="32"/>
  <c r="K23" i="32" s="1"/>
  <c r="K22" i="32" s="1"/>
  <c r="K21" i="32" s="1"/>
  <c r="K20" i="32" s="1"/>
  <c r="K19" i="32" s="1"/>
  <c r="I28" i="32"/>
  <c r="I23" i="32" s="1"/>
  <c r="I22" i="32" s="1"/>
  <c r="I21" i="32" s="1"/>
  <c r="I20" i="32" s="1"/>
  <c r="I19" i="32" s="1"/>
  <c r="H28" i="32"/>
  <c r="H23" i="32" s="1"/>
  <c r="H22" i="32" s="1"/>
  <c r="H21" i="32" s="1"/>
  <c r="H20" i="32" s="1"/>
  <c r="H19" i="32" s="1"/>
  <c r="G28" i="32"/>
  <c r="G23" i="32" s="1"/>
  <c r="G22" i="32" s="1"/>
  <c r="G21" i="32" s="1"/>
  <c r="G20" i="32" s="1"/>
  <c r="G19" i="32" s="1"/>
  <c r="J27" i="32"/>
  <c r="M27" i="32" s="1"/>
  <c r="P27" i="32" s="1"/>
  <c r="S27" i="32" s="1"/>
  <c r="J26" i="32"/>
  <c r="M26" i="32" s="1"/>
  <c r="P26" i="32" s="1"/>
  <c r="S26" i="32" s="1"/>
  <c r="J25" i="32"/>
  <c r="M25" i="32" s="1"/>
  <c r="P25" i="32" s="1"/>
  <c r="S25" i="32" s="1"/>
  <c r="J24" i="32"/>
  <c r="Q23" i="32"/>
  <c r="Q22" i="32" s="1"/>
  <c r="Q21" i="32" s="1"/>
  <c r="Q20" i="32" s="1"/>
  <c r="Q19" i="32" s="1"/>
  <c r="N238" i="32" l="1"/>
  <c r="N237" i="32" s="1"/>
  <c r="K153" i="32"/>
  <c r="K152" i="32" s="1"/>
  <c r="J387" i="32"/>
  <c r="U136" i="32"/>
  <c r="U135" i="32" s="1"/>
  <c r="U134" i="32" s="1"/>
  <c r="U133" i="32" s="1"/>
  <c r="L199" i="32"/>
  <c r="N199" i="32"/>
  <c r="K122" i="32"/>
  <c r="K121" i="32" s="1"/>
  <c r="K120" i="32" s="1"/>
  <c r="K119" i="32" s="1"/>
  <c r="J53" i="32"/>
  <c r="J52" i="32" s="1"/>
  <c r="J51" i="32" s="1"/>
  <c r="J50" i="32" s="1"/>
  <c r="J49" i="32" s="1"/>
  <c r="L122" i="32"/>
  <c r="L121" i="32" s="1"/>
  <c r="L120" i="32" s="1"/>
  <c r="L119" i="32" s="1"/>
  <c r="Q238" i="32"/>
  <c r="Q237" i="32" s="1"/>
  <c r="Q229" i="32" s="1"/>
  <c r="Q225" i="32" s="1"/>
  <c r="Q132" i="32" s="1"/>
  <c r="H152" i="32"/>
  <c r="H133" i="32" s="1"/>
  <c r="Q133" i="32"/>
  <c r="N153" i="32"/>
  <c r="N152" i="32" s="1"/>
  <c r="N133" i="32" s="1"/>
  <c r="N272" i="32"/>
  <c r="N406" i="32"/>
  <c r="O153" i="32"/>
  <c r="O152" i="32" s="1"/>
  <c r="O133" i="32" s="1"/>
  <c r="Q324" i="32"/>
  <c r="Q323" i="32" s="1"/>
  <c r="Q322" i="32" s="1"/>
  <c r="Q321" i="32" s="1"/>
  <c r="M338" i="32"/>
  <c r="M337" i="32" s="1"/>
  <c r="N281" i="32"/>
  <c r="T122" i="32"/>
  <c r="T121" i="32" s="1"/>
  <c r="T120" i="32" s="1"/>
  <c r="T119" i="32" s="1"/>
  <c r="U272" i="32"/>
  <c r="Q153" i="32"/>
  <c r="Q152" i="32" s="1"/>
  <c r="R199" i="32"/>
  <c r="R324" i="32"/>
  <c r="R323" i="32" s="1"/>
  <c r="R322" i="32" s="1"/>
  <c r="R321" i="32" s="1"/>
  <c r="L395" i="32"/>
  <c r="L394" i="32" s="1"/>
  <c r="L393" i="32" s="1"/>
  <c r="I238" i="32"/>
  <c r="I237" i="32" s="1"/>
  <c r="I229" i="32" s="1"/>
  <c r="J344" i="32"/>
  <c r="J343" i="32" s="1"/>
  <c r="J342" i="32" s="1"/>
  <c r="J341" i="32" s="1"/>
  <c r="L238" i="32"/>
  <c r="L237" i="32" s="1"/>
  <c r="L229" i="32" s="1"/>
  <c r="L225" i="32" s="1"/>
  <c r="G281" i="32"/>
  <c r="U125" i="32"/>
  <c r="U122" i="32" s="1"/>
  <c r="U121" i="32" s="1"/>
  <c r="U120" i="32" s="1"/>
  <c r="U119" i="32" s="1"/>
  <c r="T324" i="32"/>
  <c r="T323" i="32" s="1"/>
  <c r="T322" i="32" s="1"/>
  <c r="T281" i="32"/>
  <c r="U324" i="32"/>
  <c r="U323" i="32" s="1"/>
  <c r="U322" i="32" s="1"/>
  <c r="J28" i="32"/>
  <c r="J399" i="32"/>
  <c r="G409" i="32"/>
  <c r="G408" i="32" s="1"/>
  <c r="G407" i="32" s="1"/>
  <c r="G406" i="32" s="1"/>
  <c r="I122" i="32"/>
  <c r="I121" i="32" s="1"/>
  <c r="I120" i="32" s="1"/>
  <c r="I119" i="32" s="1"/>
  <c r="T321" i="32"/>
  <c r="M388" i="32"/>
  <c r="P388" i="32" s="1"/>
  <c r="U395" i="32"/>
  <c r="U394" i="32" s="1"/>
  <c r="U393" i="32" s="1"/>
  <c r="U353" i="32" s="1"/>
  <c r="H409" i="32"/>
  <c r="H408" i="32" s="1"/>
  <c r="H407" i="32" s="1"/>
  <c r="H406" i="32" s="1"/>
  <c r="U152" i="32"/>
  <c r="O229" i="32"/>
  <c r="O225" i="32" s="1"/>
  <c r="H238" i="32"/>
  <c r="H237" i="32" s="1"/>
  <c r="H229" i="32" s="1"/>
  <c r="J410" i="32"/>
  <c r="L409" i="32"/>
  <c r="L408" i="32" s="1"/>
  <c r="L407" i="32" s="1"/>
  <c r="L406" i="32" s="1"/>
  <c r="R281" i="32"/>
  <c r="L153" i="32"/>
  <c r="L152" i="32" s="1"/>
  <c r="L133" i="32" s="1"/>
  <c r="L132" i="32" s="1"/>
  <c r="J270" i="32"/>
  <c r="J245" i="32" s="1"/>
  <c r="R238" i="32"/>
  <c r="R237" i="32" s="1"/>
  <c r="N321" i="32"/>
  <c r="O122" i="32"/>
  <c r="O121" i="32" s="1"/>
  <c r="O120" i="32" s="1"/>
  <c r="O119" i="32" s="1"/>
  <c r="U238" i="32"/>
  <c r="U237" i="32" s="1"/>
  <c r="U229" i="32" s="1"/>
  <c r="U225" i="32" s="1"/>
  <c r="Q122" i="32"/>
  <c r="Q121" i="32" s="1"/>
  <c r="Q120" i="32" s="1"/>
  <c r="Q119" i="32" s="1"/>
  <c r="T135" i="32"/>
  <c r="T134" i="32" s="1"/>
  <c r="J239" i="32"/>
  <c r="O272" i="32"/>
  <c r="M92" i="32"/>
  <c r="K59" i="32"/>
  <c r="M29" i="32"/>
  <c r="P29" i="32" s="1"/>
  <c r="Q59" i="32"/>
  <c r="S131" i="32"/>
  <c r="S130" i="32" s="1"/>
  <c r="P130" i="32"/>
  <c r="U321" i="32"/>
  <c r="R153" i="32"/>
  <c r="J149" i="32"/>
  <c r="M218" i="32"/>
  <c r="M217" i="32" s="1"/>
  <c r="R272" i="32"/>
  <c r="K133" i="32"/>
  <c r="L59" i="32"/>
  <c r="I152" i="32"/>
  <c r="I133" i="32" s="1"/>
  <c r="K229" i="32"/>
  <c r="M124" i="32"/>
  <c r="M130" i="32"/>
  <c r="O409" i="32"/>
  <c r="O408" i="32" s="1"/>
  <c r="O407" i="32" s="1"/>
  <c r="O406" i="32" s="1"/>
  <c r="N122" i="32"/>
  <c r="N121" i="32" s="1"/>
  <c r="N120" i="32" s="1"/>
  <c r="N119" i="32" s="1"/>
  <c r="O395" i="32"/>
  <c r="O394" i="32" s="1"/>
  <c r="O393" i="32" s="1"/>
  <c r="J274" i="32"/>
  <c r="J273" i="32" s="1"/>
  <c r="J272" i="32" s="1"/>
  <c r="J304" i="32"/>
  <c r="J285" i="32" s="1"/>
  <c r="J284" i="32" s="1"/>
  <c r="J283" i="32" s="1"/>
  <c r="J282" i="32" s="1"/>
  <c r="J281" i="32" s="1"/>
  <c r="Q395" i="32"/>
  <c r="Q394" i="32" s="1"/>
  <c r="Q393" i="32" s="1"/>
  <c r="R409" i="32"/>
  <c r="R408" i="32" s="1"/>
  <c r="R407" i="32" s="1"/>
  <c r="R406" i="32" s="1"/>
  <c r="J36" i="32"/>
  <c r="J35" i="32" s="1"/>
  <c r="J34" i="32" s="1"/>
  <c r="J33" i="32" s="1"/>
  <c r="J32" i="32" s="1"/>
  <c r="T238" i="32"/>
  <c r="T237" i="32" s="1"/>
  <c r="T229" i="32" s="1"/>
  <c r="T272" i="32"/>
  <c r="R395" i="32"/>
  <c r="R394" i="32" s="1"/>
  <c r="R393" i="32" s="1"/>
  <c r="T409" i="32"/>
  <c r="T408" i="32" s="1"/>
  <c r="T407" i="32" s="1"/>
  <c r="T406" i="32" s="1"/>
  <c r="I321" i="32"/>
  <c r="G272" i="32"/>
  <c r="G225" i="32" s="1"/>
  <c r="K281" i="32"/>
  <c r="N355" i="32"/>
  <c r="N354" i="32" s="1"/>
  <c r="N353" i="32" s="1"/>
  <c r="T395" i="32"/>
  <c r="T394" i="32" s="1"/>
  <c r="T393" i="32" s="1"/>
  <c r="U409" i="32"/>
  <c r="U408" i="32" s="1"/>
  <c r="U407" i="32" s="1"/>
  <c r="U406" i="32" s="1"/>
  <c r="R122" i="32"/>
  <c r="R121" i="32" s="1"/>
  <c r="R120" i="32" s="1"/>
  <c r="R119" i="32" s="1"/>
  <c r="H272" i="32"/>
  <c r="I409" i="32"/>
  <c r="I408" i="32" s="1"/>
  <c r="I407" i="32" s="1"/>
  <c r="I406" i="32" s="1"/>
  <c r="J136" i="32"/>
  <c r="J135" i="32" s="1"/>
  <c r="J134" i="32" s="1"/>
  <c r="T152" i="32"/>
  <c r="N229" i="32"/>
  <c r="N225" i="32" s="1"/>
  <c r="M431" i="32"/>
  <c r="M430" i="32" s="1"/>
  <c r="M429" i="32" s="1"/>
  <c r="M428" i="32" s="1"/>
  <c r="M113" i="32"/>
  <c r="M112" i="32" s="1"/>
  <c r="M99" i="32" s="1"/>
  <c r="M98" i="32" s="1"/>
  <c r="M97" i="32" s="1"/>
  <c r="M96" i="32" s="1"/>
  <c r="M95" i="32" s="1"/>
  <c r="J125" i="32"/>
  <c r="J122" i="32" s="1"/>
  <c r="J121" i="32" s="1"/>
  <c r="J120" i="32" s="1"/>
  <c r="J119" i="32" s="1"/>
  <c r="Q272" i="32"/>
  <c r="K272" i="32"/>
  <c r="G353" i="32"/>
  <c r="J414" i="32"/>
  <c r="J409" i="32" s="1"/>
  <c r="J408" i="32" s="1"/>
  <c r="J407" i="32" s="1"/>
  <c r="J406" i="32" s="1"/>
  <c r="M126" i="32"/>
  <c r="J154" i="32"/>
  <c r="J153" i="32" s="1"/>
  <c r="J317" i="32"/>
  <c r="J309" i="32" s="1"/>
  <c r="J308" i="32" s="1"/>
  <c r="J307" i="32" s="1"/>
  <c r="J306" i="32" s="1"/>
  <c r="G152" i="32"/>
  <c r="G133" i="32" s="1"/>
  <c r="I272" i="32"/>
  <c r="I353" i="32"/>
  <c r="M219" i="32"/>
  <c r="K395" i="32"/>
  <c r="K394" i="32" s="1"/>
  <c r="K393" i="32" s="1"/>
  <c r="J69" i="32"/>
  <c r="J68" i="32" s="1"/>
  <c r="J67" i="32" s="1"/>
  <c r="J66" i="32" s="1"/>
  <c r="J59" i="32" s="1"/>
  <c r="J23" i="32"/>
  <c r="J22" i="32" s="1"/>
  <c r="J21" i="32" s="1"/>
  <c r="J20" i="32" s="1"/>
  <c r="J19" i="32" s="1"/>
  <c r="J99" i="32"/>
  <c r="J98" i="32" s="1"/>
  <c r="J97" i="32" s="1"/>
  <c r="J96" i="32" s="1"/>
  <c r="J95" i="32" s="1"/>
  <c r="S65" i="32"/>
  <c r="S64" i="32" s="1"/>
  <c r="S63" i="32" s="1"/>
  <c r="S62" i="32" s="1"/>
  <c r="S61" i="32" s="1"/>
  <c r="S60" i="32" s="1"/>
  <c r="P64" i="32"/>
  <c r="P63" i="32" s="1"/>
  <c r="P62" i="32" s="1"/>
  <c r="P61" i="32" s="1"/>
  <c r="P60" i="32" s="1"/>
  <c r="P37" i="32"/>
  <c r="P150" i="32"/>
  <c r="M149" i="32"/>
  <c r="P54" i="32"/>
  <c r="M53" i="32"/>
  <c r="M52" i="32" s="1"/>
  <c r="M51" i="32" s="1"/>
  <c r="M50" i="32" s="1"/>
  <c r="M49" i="32" s="1"/>
  <c r="N59" i="32"/>
  <c r="O59" i="32"/>
  <c r="M24" i="32"/>
  <c r="P48" i="32"/>
  <c r="M270" i="32"/>
  <c r="P271" i="32"/>
  <c r="H281" i="32"/>
  <c r="M387" i="32"/>
  <c r="M42" i="32"/>
  <c r="P42" i="32" s="1"/>
  <c r="S42" i="32" s="1"/>
  <c r="M145" i="32"/>
  <c r="P145" i="32" s="1"/>
  <c r="S145" i="32" s="1"/>
  <c r="M155" i="32"/>
  <c r="M186" i="32"/>
  <c r="P193" i="32"/>
  <c r="S193" i="32" s="1"/>
  <c r="S186" i="32" s="1"/>
  <c r="I281" i="32"/>
  <c r="Q355" i="32"/>
  <c r="Q354" i="32" s="1"/>
  <c r="Q353" i="32" s="1"/>
  <c r="Q406" i="32"/>
  <c r="M64" i="32"/>
  <c r="M63" i="32" s="1"/>
  <c r="M62" i="32" s="1"/>
  <c r="M61" i="32" s="1"/>
  <c r="M60" i="32" s="1"/>
  <c r="P93" i="32"/>
  <c r="L281" i="32"/>
  <c r="O281" i="32"/>
  <c r="P310" i="32"/>
  <c r="H395" i="32"/>
  <c r="H355" i="32" s="1"/>
  <c r="H354" i="32" s="1"/>
  <c r="H353" i="32" s="1"/>
  <c r="S404" i="32"/>
  <c r="P246" i="32"/>
  <c r="Q281" i="32"/>
  <c r="J357" i="32"/>
  <c r="J356" i="32" s="1"/>
  <c r="M403" i="32"/>
  <c r="M402" i="32" s="1"/>
  <c r="M401" i="32" s="1"/>
  <c r="M400" i="32" s="1"/>
  <c r="P405" i="32"/>
  <c r="S405" i="32" s="1"/>
  <c r="P415" i="32"/>
  <c r="M274" i="32"/>
  <c r="M273" i="32" s="1"/>
  <c r="P275" i="32"/>
  <c r="M286" i="32"/>
  <c r="P137" i="32"/>
  <c r="S214" i="32"/>
  <c r="S213" i="32" s="1"/>
  <c r="P213" i="32"/>
  <c r="R229" i="32"/>
  <c r="R225" i="32" s="1"/>
  <c r="M248" i="32"/>
  <c r="P248" i="32" s="1"/>
  <c r="S248" i="32" s="1"/>
  <c r="O321" i="32"/>
  <c r="G321" i="32"/>
  <c r="M410" i="32"/>
  <c r="P411" i="32"/>
  <c r="H321" i="32"/>
  <c r="M304" i="32"/>
  <c r="P305" i="32"/>
  <c r="S326" i="32"/>
  <c r="K406" i="32"/>
  <c r="M70" i="32"/>
  <c r="J231" i="32"/>
  <c r="J230" i="32" s="1"/>
  <c r="J403" i="32"/>
  <c r="J402" i="32" s="1"/>
  <c r="J401" i="32" s="1"/>
  <c r="J400" i="32" s="1"/>
  <c r="P345" i="32"/>
  <c r="J200" i="32"/>
  <c r="J199" i="32" s="1"/>
  <c r="S211" i="32"/>
  <c r="S210" i="32" s="1"/>
  <c r="P210" i="32"/>
  <c r="S220" i="32"/>
  <c r="J325" i="32"/>
  <c r="J324" i="32" s="1"/>
  <c r="J323" i="32" s="1"/>
  <c r="J322" i="32" s="1"/>
  <c r="K321" i="32"/>
  <c r="S432" i="32"/>
  <c r="S431" i="32" s="1"/>
  <c r="S430" i="32" s="1"/>
  <c r="S429" i="32" s="1"/>
  <c r="S428" i="32" s="1"/>
  <c r="P431" i="32"/>
  <c r="P430" i="32" s="1"/>
  <c r="P429" i="32" s="1"/>
  <c r="P428" i="32" s="1"/>
  <c r="S438" i="32"/>
  <c r="S437" i="32" s="1"/>
  <c r="S436" i="32" s="1"/>
  <c r="S435" i="32" s="1"/>
  <c r="S434" i="32" s="1"/>
  <c r="P437" i="32"/>
  <c r="P436" i="32" s="1"/>
  <c r="P435" i="32" s="1"/>
  <c r="P434" i="32" s="1"/>
  <c r="M280" i="32"/>
  <c r="M328" i="32"/>
  <c r="M318" i="32"/>
  <c r="M417" i="32"/>
  <c r="P417" i="32" s="1"/>
  <c r="S417" i="32" s="1"/>
  <c r="M210" i="32"/>
  <c r="M213" i="32"/>
  <c r="M313" i="32"/>
  <c r="P313" i="32" s="1"/>
  <c r="S313" i="32" s="1"/>
  <c r="M347" i="32"/>
  <c r="P347" i="32" s="1"/>
  <c r="S347" i="32" s="1"/>
  <c r="M201" i="32"/>
  <c r="P222" i="32"/>
  <c r="S222" i="32" s="1"/>
  <c r="P228" i="32"/>
  <c r="M232" i="32"/>
  <c r="P338" i="32"/>
  <c r="M358" i="32"/>
  <c r="M240" i="32"/>
  <c r="J397" i="32"/>
  <c r="O132" i="32" l="1"/>
  <c r="K225" i="32"/>
  <c r="J238" i="32"/>
  <c r="J237" i="32" s="1"/>
  <c r="T225" i="32"/>
  <c r="M414" i="32"/>
  <c r="M409" i="32" s="1"/>
  <c r="M408" i="32" s="1"/>
  <c r="M407" i="32" s="1"/>
  <c r="M406" i="32" s="1"/>
  <c r="L355" i="32"/>
  <c r="L354" i="32" s="1"/>
  <c r="L353" i="32" s="1"/>
  <c r="R152" i="32"/>
  <c r="R133" i="32" s="1"/>
  <c r="M125" i="32"/>
  <c r="J321" i="32"/>
  <c r="M28" i="32"/>
  <c r="M23" i="32" s="1"/>
  <c r="M22" i="32" s="1"/>
  <c r="M21" i="32" s="1"/>
  <c r="M20" i="32" s="1"/>
  <c r="M19" i="32" s="1"/>
  <c r="T133" i="32"/>
  <c r="K355" i="32"/>
  <c r="K354" i="32" s="1"/>
  <c r="K353" i="32" s="1"/>
  <c r="J398" i="32"/>
  <c r="M399" i="32"/>
  <c r="G132" i="32"/>
  <c r="G18" i="32" s="1"/>
  <c r="T132" i="32"/>
  <c r="J152" i="32"/>
  <c r="J133" i="32" s="1"/>
  <c r="P113" i="32"/>
  <c r="Q18" i="32"/>
  <c r="O355" i="32"/>
  <c r="O354" i="32" s="1"/>
  <c r="O353" i="32" s="1"/>
  <c r="O18" i="32" s="1"/>
  <c r="P219" i="32"/>
  <c r="P126" i="32"/>
  <c r="P125" i="32" s="1"/>
  <c r="N132" i="32"/>
  <c r="N18" i="32" s="1"/>
  <c r="K132" i="32"/>
  <c r="L18" i="32"/>
  <c r="M136" i="32"/>
  <c r="M135" i="32" s="1"/>
  <c r="M134" i="32" s="1"/>
  <c r="M123" i="32"/>
  <c r="M122" i="32" s="1"/>
  <c r="M121" i="32" s="1"/>
  <c r="M120" i="32" s="1"/>
  <c r="M119" i="32" s="1"/>
  <c r="P124" i="32"/>
  <c r="I225" i="32"/>
  <c r="I132" i="32" s="1"/>
  <c r="I18" i="32" s="1"/>
  <c r="R355" i="32"/>
  <c r="R354" i="32" s="1"/>
  <c r="R353" i="32" s="1"/>
  <c r="H225" i="32"/>
  <c r="H132" i="32" s="1"/>
  <c r="T355" i="32"/>
  <c r="T354" i="32" s="1"/>
  <c r="T353" i="32" s="1"/>
  <c r="H18" i="32"/>
  <c r="P410" i="32"/>
  <c r="S411" i="32"/>
  <c r="S410" i="32" s="1"/>
  <c r="S37" i="32"/>
  <c r="M36" i="32"/>
  <c r="M35" i="32" s="1"/>
  <c r="M34" i="32" s="1"/>
  <c r="M33" i="32" s="1"/>
  <c r="M32" i="32" s="1"/>
  <c r="P387" i="32"/>
  <c r="S388" i="32"/>
  <c r="S387" i="32" s="1"/>
  <c r="P337" i="32"/>
  <c r="S338" i="32"/>
  <c r="S337" i="32" s="1"/>
  <c r="M245" i="32"/>
  <c r="P53" i="32"/>
  <c r="P52" i="32" s="1"/>
  <c r="P51" i="32" s="1"/>
  <c r="P50" i="32" s="1"/>
  <c r="P49" i="32" s="1"/>
  <c r="S54" i="32"/>
  <c r="S53" i="32" s="1"/>
  <c r="S52" i="32" s="1"/>
  <c r="S51" i="32" s="1"/>
  <c r="S50" i="32" s="1"/>
  <c r="S49" i="32" s="1"/>
  <c r="U132" i="32"/>
  <c r="U18" i="32" s="1"/>
  <c r="S305" i="32"/>
  <c r="S304" i="32" s="1"/>
  <c r="P304" i="32"/>
  <c r="S403" i="32"/>
  <c r="S402" i="32" s="1"/>
  <c r="S401" i="32" s="1"/>
  <c r="S400" i="32" s="1"/>
  <c r="P47" i="32"/>
  <c r="P36" i="32" s="1"/>
  <c r="P35" i="32" s="1"/>
  <c r="P34" i="32" s="1"/>
  <c r="P33" i="32" s="1"/>
  <c r="P32" i="32" s="1"/>
  <c r="S48" i="32"/>
  <c r="S47" i="32" s="1"/>
  <c r="S113" i="32"/>
  <c r="S112" i="32" s="1"/>
  <c r="S99" i="32" s="1"/>
  <c r="S98" i="32" s="1"/>
  <c r="S97" i="32" s="1"/>
  <c r="S96" i="32" s="1"/>
  <c r="S95" i="32" s="1"/>
  <c r="P112" i="32"/>
  <c r="P99" i="32" s="1"/>
  <c r="P98" i="32" s="1"/>
  <c r="P97" i="32" s="1"/>
  <c r="P96" i="32" s="1"/>
  <c r="P95" i="32" s="1"/>
  <c r="S271" i="32"/>
  <c r="S270" i="32" s="1"/>
  <c r="P270" i="32"/>
  <c r="P245" i="32" s="1"/>
  <c r="M285" i="32"/>
  <c r="M284" i="32" s="1"/>
  <c r="M283" i="32" s="1"/>
  <c r="M282" i="32" s="1"/>
  <c r="P286" i="32"/>
  <c r="P28" i="32"/>
  <c r="S29" i="32"/>
  <c r="S28" i="32" s="1"/>
  <c r="P328" i="32"/>
  <c r="M325" i="32"/>
  <c r="M324" i="32" s="1"/>
  <c r="M323" i="32" s="1"/>
  <c r="M322" i="32" s="1"/>
  <c r="J229" i="32"/>
  <c r="J225" i="32" s="1"/>
  <c r="P227" i="32"/>
  <c r="P226" i="32" s="1"/>
  <c r="S228" i="32"/>
  <c r="S227" i="32" s="1"/>
  <c r="S226" i="32" s="1"/>
  <c r="M200" i="32"/>
  <c r="M199" i="32" s="1"/>
  <c r="P201" i="32"/>
  <c r="P24" i="32"/>
  <c r="P149" i="32"/>
  <c r="P136" i="32" s="1"/>
  <c r="P135" i="32" s="1"/>
  <c r="P134" i="32" s="1"/>
  <c r="S150" i="32"/>
  <c r="S149" i="32" s="1"/>
  <c r="M279" i="32"/>
  <c r="M278" i="32" s="1"/>
  <c r="M272" i="32" s="1"/>
  <c r="P280" i="32"/>
  <c r="M357" i="32"/>
  <c r="M356" i="32" s="1"/>
  <c r="P358" i="32"/>
  <c r="P403" i="32"/>
  <c r="P402" i="32" s="1"/>
  <c r="P401" i="32" s="1"/>
  <c r="P400" i="32" s="1"/>
  <c r="M344" i="32"/>
  <c r="M343" i="32" s="1"/>
  <c r="M342" i="32" s="1"/>
  <c r="M341" i="32" s="1"/>
  <c r="S275" i="32"/>
  <c r="S274" i="32" s="1"/>
  <c r="S273" i="32" s="1"/>
  <c r="P274" i="32"/>
  <c r="P273" i="32" s="1"/>
  <c r="S310" i="32"/>
  <c r="M154" i="32"/>
  <c r="M153" i="32" s="1"/>
  <c r="P155" i="32"/>
  <c r="J396" i="32"/>
  <c r="M397" i="32"/>
  <c r="M239" i="32"/>
  <c r="P240" i="32"/>
  <c r="M231" i="32"/>
  <c r="M230" i="32" s="1"/>
  <c r="P232" i="32"/>
  <c r="S246" i="32"/>
  <c r="S219" i="32"/>
  <c r="S218" i="32"/>
  <c r="S217" i="32" s="1"/>
  <c r="S137" i="32"/>
  <c r="S136" i="32" s="1"/>
  <c r="S345" i="32"/>
  <c r="S344" i="32" s="1"/>
  <c r="S343" i="32" s="1"/>
  <c r="S342" i="32" s="1"/>
  <c r="S341" i="32" s="1"/>
  <c r="P344" i="32"/>
  <c r="P343" i="32" s="1"/>
  <c r="P342" i="32" s="1"/>
  <c r="P341" i="32" s="1"/>
  <c r="R132" i="32"/>
  <c r="P92" i="32"/>
  <c r="S93" i="32"/>
  <c r="S92" i="32" s="1"/>
  <c r="S415" i="32"/>
  <c r="S414" i="32" s="1"/>
  <c r="P414" i="32"/>
  <c r="P70" i="32"/>
  <c r="M69" i="32"/>
  <c r="M68" i="32" s="1"/>
  <c r="M67" i="32" s="1"/>
  <c r="M66" i="32" s="1"/>
  <c r="M59" i="32" s="1"/>
  <c r="M317" i="32"/>
  <c r="M309" i="32" s="1"/>
  <c r="M308" i="32" s="1"/>
  <c r="M307" i="32" s="1"/>
  <c r="M306" i="32" s="1"/>
  <c r="P318" i="32"/>
  <c r="P218" i="32"/>
  <c r="P217" i="32" s="1"/>
  <c r="P186" i="32"/>
  <c r="K18" i="32" l="1"/>
  <c r="M238" i="32"/>
  <c r="M237" i="32" s="1"/>
  <c r="M229" i="32"/>
  <c r="J395" i="32"/>
  <c r="J394" i="32" s="1"/>
  <c r="J393" i="32" s="1"/>
  <c r="T18" i="32"/>
  <c r="J132" i="32"/>
  <c r="P409" i="32"/>
  <c r="P408" i="32" s="1"/>
  <c r="P407" i="32" s="1"/>
  <c r="P406" i="32" s="1"/>
  <c r="P399" i="32"/>
  <c r="M398" i="32"/>
  <c r="R18" i="32"/>
  <c r="S135" i="32"/>
  <c r="S134" i="32" s="1"/>
  <c r="R11" i="32"/>
  <c r="O11" i="32"/>
  <c r="N11" i="32" s="1"/>
  <c r="L11" i="32"/>
  <c r="K11" i="32" s="1"/>
  <c r="M281" i="32"/>
  <c r="M152" i="32"/>
  <c r="M133" i="32" s="1"/>
  <c r="P123" i="32"/>
  <c r="P122" i="32" s="1"/>
  <c r="P121" i="32" s="1"/>
  <c r="P120" i="32" s="1"/>
  <c r="P119" i="32" s="1"/>
  <c r="S124" i="32"/>
  <c r="S123" i="32" s="1"/>
  <c r="S409" i="32"/>
  <c r="S408" i="32" s="1"/>
  <c r="S407" i="32" s="1"/>
  <c r="S406" i="32" s="1"/>
  <c r="S126" i="32"/>
  <c r="S125" i="32" s="1"/>
  <c r="S122" i="32" s="1"/>
  <c r="S121" i="32" s="1"/>
  <c r="S120" i="32" s="1"/>
  <c r="S119" i="32" s="1"/>
  <c r="M225" i="32"/>
  <c r="P279" i="32"/>
  <c r="P278" i="32" s="1"/>
  <c r="P272" i="32" s="1"/>
  <c r="S280" i="32"/>
  <c r="S279" i="32" s="1"/>
  <c r="S278" i="32" s="1"/>
  <c r="S240" i="32"/>
  <c r="S239" i="32" s="1"/>
  <c r="P239" i="32"/>
  <c r="P238" i="32" s="1"/>
  <c r="P237" i="32" s="1"/>
  <c r="P285" i="32"/>
  <c r="P284" i="32" s="1"/>
  <c r="P283" i="32" s="1"/>
  <c r="P282" i="32" s="1"/>
  <c r="S286" i="32"/>
  <c r="S285" i="32" s="1"/>
  <c r="S284" i="32" s="1"/>
  <c r="S283" i="32" s="1"/>
  <c r="S282" i="32" s="1"/>
  <c r="M396" i="32"/>
  <c r="M395" i="32" s="1"/>
  <c r="M394" i="32" s="1"/>
  <c r="M393" i="32" s="1"/>
  <c r="P397" i="32"/>
  <c r="P23" i="32"/>
  <c r="P22" i="32" s="1"/>
  <c r="P21" i="32" s="1"/>
  <c r="P20" i="32" s="1"/>
  <c r="P19" i="32" s="1"/>
  <c r="S24" i="32"/>
  <c r="S23" i="32" s="1"/>
  <c r="S22" i="32" s="1"/>
  <c r="S21" i="32" s="1"/>
  <c r="S20" i="32" s="1"/>
  <c r="S19" i="32" s="1"/>
  <c r="P231" i="32"/>
  <c r="P230" i="32" s="1"/>
  <c r="S232" i="32"/>
  <c r="S231" i="32" s="1"/>
  <c r="S230" i="32" s="1"/>
  <c r="P154" i="32"/>
  <c r="P153" i="32" s="1"/>
  <c r="S155" i="32"/>
  <c r="S154" i="32" s="1"/>
  <c r="S153" i="32" s="1"/>
  <c r="P200" i="32"/>
  <c r="P199" i="32" s="1"/>
  <c r="S201" i="32"/>
  <c r="S200" i="32" s="1"/>
  <c r="S199" i="32" s="1"/>
  <c r="S36" i="32"/>
  <c r="S35" i="32" s="1"/>
  <c r="S34" i="32" s="1"/>
  <c r="S33" i="32" s="1"/>
  <c r="S32" i="32" s="1"/>
  <c r="J355" i="32"/>
  <c r="J354" i="32" s="1"/>
  <c r="J353" i="32" s="1"/>
  <c r="J18" i="32" s="1"/>
  <c r="P317" i="32"/>
  <c r="P309" i="32" s="1"/>
  <c r="P308" i="32" s="1"/>
  <c r="P307" i="32" s="1"/>
  <c r="P306" i="32" s="1"/>
  <c r="S318" i="32"/>
  <c r="S317" i="32" s="1"/>
  <c r="S309" i="32" s="1"/>
  <c r="S308" i="32" s="1"/>
  <c r="S307" i="32" s="1"/>
  <c r="S306" i="32" s="1"/>
  <c r="S272" i="32"/>
  <c r="M321" i="32"/>
  <c r="S328" i="32"/>
  <c r="S325" i="32" s="1"/>
  <c r="S324" i="32" s="1"/>
  <c r="S323" i="32" s="1"/>
  <c r="S322" i="32" s="1"/>
  <c r="S321" i="32" s="1"/>
  <c r="P325" i="32"/>
  <c r="P324" i="32" s="1"/>
  <c r="P323" i="32" s="1"/>
  <c r="P322" i="32" s="1"/>
  <c r="P321" i="32" s="1"/>
  <c r="P357" i="32"/>
  <c r="P356" i="32" s="1"/>
  <c r="S358" i="32"/>
  <c r="S357" i="32" s="1"/>
  <c r="S356" i="32" s="1"/>
  <c r="S70" i="32"/>
  <c r="S69" i="32" s="1"/>
  <c r="S68" i="32" s="1"/>
  <c r="S67" i="32" s="1"/>
  <c r="S66" i="32" s="1"/>
  <c r="S59" i="32" s="1"/>
  <c r="P69" i="32"/>
  <c r="P68" i="32" s="1"/>
  <c r="P67" i="32" s="1"/>
  <c r="P66" i="32" s="1"/>
  <c r="P59" i="32" s="1"/>
  <c r="S245" i="32"/>
  <c r="M132" i="32" l="1"/>
  <c r="S399" i="32"/>
  <c r="S398" i="32" s="1"/>
  <c r="P398" i="32"/>
  <c r="P229" i="32"/>
  <c r="P225" i="32" s="1"/>
  <c r="S397" i="32"/>
  <c r="S396" i="32" s="1"/>
  <c r="S395" i="32" s="1"/>
  <c r="S394" i="32" s="1"/>
  <c r="S393" i="32" s="1"/>
  <c r="P396" i="32"/>
  <c r="P395" i="32" s="1"/>
  <c r="P394" i="32" s="1"/>
  <c r="P393" i="32" s="1"/>
  <c r="S281" i="32"/>
  <c r="P281" i="32"/>
  <c r="M355" i="32"/>
  <c r="M354" i="32" s="1"/>
  <c r="M353" i="32" s="1"/>
  <c r="M18" i="32" s="1"/>
  <c r="S238" i="32"/>
  <c r="S237" i="32" s="1"/>
  <c r="S355" i="32"/>
  <c r="S354" i="32" s="1"/>
  <c r="S353" i="32" s="1"/>
  <c r="P355" i="32"/>
  <c r="P354" i="32" s="1"/>
  <c r="P353" i="32" s="1"/>
  <c r="S152" i="32"/>
  <c r="S133" i="32" s="1"/>
  <c r="P152" i="32"/>
  <c r="P133" i="32" s="1"/>
  <c r="P132" i="32" s="1"/>
  <c r="P18" i="32" s="1"/>
  <c r="S229" i="32"/>
  <c r="S225" i="32" s="1"/>
  <c r="S132" i="32" l="1"/>
  <c r="S18" i="32" s="1"/>
  <c r="V18" i="32" s="1"/>
  <c r="G832" i="28"/>
  <c r="G831" i="28"/>
  <c r="G845" i="28" l="1"/>
  <c r="G844" i="28"/>
  <c r="G822" i="28"/>
  <c r="H822" i="28" s="1"/>
  <c r="G821" i="28"/>
  <c r="H821" i="28" s="1"/>
  <c r="G750" i="28"/>
  <c r="H750" i="28" s="1"/>
  <c r="G693" i="28"/>
  <c r="H693" i="28" s="1"/>
  <c r="G692" i="28"/>
  <c r="H692" i="28" s="1"/>
  <c r="G690" i="28"/>
  <c r="H690" i="28" s="1"/>
  <c r="G688" i="28"/>
  <c r="H688" i="28" s="1"/>
  <c r="G686" i="28"/>
  <c r="H686" i="28" s="1"/>
  <c r="G684" i="28"/>
  <c r="H684" i="28" s="1"/>
  <c r="G683" i="28"/>
  <c r="H683" i="28" s="1"/>
  <c r="G682" i="28"/>
  <c r="H682" i="28" s="1"/>
  <c r="G680" i="28"/>
  <c r="H680" i="28" s="1"/>
  <c r="G678" i="28"/>
  <c r="H678" i="28" s="1"/>
  <c r="G677" i="28"/>
  <c r="G675" i="28"/>
  <c r="H675" i="28" s="1"/>
  <c r="G674" i="28"/>
  <c r="H674" i="28" s="1"/>
  <c r="G673" i="28"/>
  <c r="H673" i="28" s="1"/>
  <c r="G672" i="28"/>
  <c r="H672" i="28" s="1"/>
  <c r="G599" i="28"/>
  <c r="H599" i="28" s="1"/>
  <c r="G598" i="28"/>
  <c r="H598" i="28" s="1"/>
  <c r="G546" i="28"/>
  <c r="H546" i="28" s="1"/>
  <c r="G545" i="28"/>
  <c r="H545" i="28" s="1"/>
  <c r="G528" i="28"/>
  <c r="H528" i="28" s="1"/>
  <c r="G526" i="28"/>
  <c r="H526" i="28" s="1"/>
  <c r="G459" i="28"/>
  <c r="H459" i="28" s="1"/>
  <c r="G406" i="28"/>
  <c r="H406" i="28" s="1"/>
  <c r="G405" i="28"/>
  <c r="H405" i="28" s="1"/>
  <c r="G404" i="28"/>
  <c r="H404" i="28" s="1"/>
  <c r="G403" i="28"/>
  <c r="H403" i="28" s="1"/>
  <c r="G402" i="28"/>
  <c r="H402" i="28" s="1"/>
  <c r="G401" i="28"/>
  <c r="H401" i="28" s="1"/>
  <c r="G358" i="28"/>
  <c r="G342" i="28"/>
  <c r="G340" i="28"/>
  <c r="H340" i="28" s="1"/>
  <c r="G339" i="28"/>
  <c r="H339" i="28" s="1"/>
  <c r="G338" i="28"/>
  <c r="H338" i="28" s="1"/>
  <c r="G337" i="28"/>
  <c r="H337" i="28" s="1"/>
  <c r="G336" i="28"/>
  <c r="G334" i="28"/>
  <c r="H334" i="28" s="1"/>
  <c r="G297" i="28"/>
  <c r="G296" i="28"/>
  <c r="G254" i="28"/>
  <c r="G253" i="28" s="1"/>
  <c r="G72" i="31"/>
  <c r="G335" i="28" l="1"/>
  <c r="H335" i="28" s="1"/>
  <c r="H336" i="28"/>
  <c r="G357" i="28"/>
  <c r="H357" i="28" s="1"/>
  <c r="H358" i="28"/>
  <c r="G676" i="28"/>
  <c r="H676" i="28" s="1"/>
  <c r="H677" i="28"/>
  <c r="G333" i="28"/>
  <c r="H333" i="28" s="1"/>
  <c r="G341" i="28"/>
  <c r="H341" i="28" s="1"/>
  <c r="H342" i="28"/>
  <c r="G400" i="28"/>
  <c r="H400" i="28" s="1"/>
  <c r="G399" i="28"/>
  <c r="H399" i="28" s="1"/>
  <c r="G760" i="28"/>
  <c r="H760" i="28" s="1"/>
  <c r="G758" i="28"/>
  <c r="H758" i="28" s="1"/>
  <c r="G757" i="28"/>
  <c r="G756" i="28" l="1"/>
  <c r="H756" i="28" s="1"/>
  <c r="H757" i="28"/>
  <c r="G755" i="28"/>
  <c r="H755" i="28" s="1"/>
  <c r="G766" i="28"/>
  <c r="G764" i="28"/>
  <c r="H764" i="28" s="1"/>
  <c r="G763" i="28"/>
  <c r="H763" i="28" s="1"/>
  <c r="G661" i="28"/>
  <c r="H661" i="28" s="1"/>
  <c r="G660" i="28"/>
  <c r="H660" i="28" s="1"/>
  <c r="G765" i="28" l="1"/>
  <c r="H765" i="28" s="1"/>
  <c r="H766" i="28"/>
  <c r="G713" i="28"/>
  <c r="G83" i="31"/>
  <c r="G82" i="31"/>
  <c r="G81" i="31"/>
  <c r="G80" i="31"/>
  <c r="G79" i="31"/>
  <c r="G73" i="31"/>
  <c r="G71" i="31"/>
  <c r="G70" i="31"/>
  <c r="G69" i="31"/>
  <c r="G33" i="31"/>
  <c r="G31" i="31"/>
  <c r="G28" i="31"/>
  <c r="G27" i="31"/>
  <c r="G26" i="31"/>
  <c r="G25" i="31"/>
  <c r="G24" i="31"/>
  <c r="G59" i="31"/>
  <c r="G58" i="31"/>
  <c r="G57" i="31"/>
  <c r="G56" i="31"/>
  <c r="G55" i="31"/>
  <c r="G712" i="28" l="1"/>
  <c r="H712" i="28" s="1"/>
  <c r="H713" i="28"/>
  <c r="G938" i="28"/>
  <c r="G860" i="28"/>
  <c r="G858" i="28"/>
  <c r="G853" i="28"/>
  <c r="G852" i="28"/>
  <c r="G851" i="28" s="1"/>
  <c r="G846" i="28"/>
  <c r="G841" i="28"/>
  <c r="G840" i="28" s="1"/>
  <c r="G838" i="28"/>
  <c r="G837" i="28" s="1"/>
  <c r="G835" i="28"/>
  <c r="G834" i="28" s="1"/>
  <c r="G830" i="28"/>
  <c r="G829" i="28" s="1"/>
  <c r="G827" i="28"/>
  <c r="H827" i="28" s="1"/>
  <c r="G826" i="28"/>
  <c r="H826" i="28" s="1"/>
  <c r="G824" i="28"/>
  <c r="G820" i="28"/>
  <c r="H820" i="28" s="1"/>
  <c r="G817" i="28"/>
  <c r="H817" i="28" s="1"/>
  <c r="G816" i="28"/>
  <c r="G813" i="28"/>
  <c r="H813" i="28" s="1"/>
  <c r="G811" i="28"/>
  <c r="H811" i="28" s="1"/>
  <c r="G809" i="28"/>
  <c r="H809" i="28" s="1"/>
  <c r="G806" i="28"/>
  <c r="G803" i="28"/>
  <c r="G797" i="28"/>
  <c r="G793" i="28"/>
  <c r="H793" i="28" s="1"/>
  <c r="G792" i="28"/>
  <c r="G789" i="28"/>
  <c r="H789" i="28" s="1"/>
  <c r="G787" i="28"/>
  <c r="H787" i="28" s="1"/>
  <c r="G784" i="28"/>
  <c r="H784" i="28" s="1"/>
  <c r="G783" i="28"/>
  <c r="H783" i="28" s="1"/>
  <c r="G779" i="28"/>
  <c r="H779" i="28" s="1"/>
  <c r="G778" i="28"/>
  <c r="H778" i="28" s="1"/>
  <c r="G777" i="28"/>
  <c r="G775" i="28"/>
  <c r="G770" i="28"/>
  <c r="G762" i="28"/>
  <c r="H762" i="28" s="1"/>
  <c r="G752" i="28"/>
  <c r="H752" i="28" s="1"/>
  <c r="G748" i="28"/>
  <c r="H748" i="28" s="1"/>
  <c r="G744" i="28"/>
  <c r="H744" i="28" s="1"/>
  <c r="G743" i="28"/>
  <c r="G739" i="28"/>
  <c r="H739" i="28" s="1"/>
  <c r="G737" i="28"/>
  <c r="H737" i="28" s="1"/>
  <c r="G732" i="28"/>
  <c r="H732" i="28" s="1"/>
  <c r="G730" i="28"/>
  <c r="H730" i="28" s="1"/>
  <c r="G728" i="28"/>
  <c r="H728" i="28" s="1"/>
  <c r="G726" i="28"/>
  <c r="H726" i="28" s="1"/>
  <c r="G725" i="28"/>
  <c r="H725" i="28" s="1"/>
  <c r="G724" i="28"/>
  <c r="G720" i="28"/>
  <c r="G717" i="28"/>
  <c r="G711" i="28"/>
  <c r="G708" i="28"/>
  <c r="H708" i="28" s="1"/>
  <c r="G707" i="28"/>
  <c r="G704" i="28"/>
  <c r="H704" i="28" s="1"/>
  <c r="G702" i="28"/>
  <c r="H702" i="28" s="1"/>
  <c r="G700" i="28"/>
  <c r="H700" i="28" s="1"/>
  <c r="G698" i="28"/>
  <c r="H698" i="28" s="1"/>
  <c r="G696" i="28"/>
  <c r="H696" i="28" s="1"/>
  <c r="G694" i="28"/>
  <c r="H694" i="28" s="1"/>
  <c r="G671" i="28"/>
  <c r="H671" i="28" s="1"/>
  <c r="G670" i="28"/>
  <c r="H670" i="28" s="1"/>
  <c r="G669" i="28"/>
  <c r="H669" i="28" s="1"/>
  <c r="G668" i="28"/>
  <c r="H668" i="28" s="1"/>
  <c r="G666" i="28"/>
  <c r="H666" i="28" s="1"/>
  <c r="G664" i="28"/>
  <c r="H664" i="28" s="1"/>
  <c r="G662" i="28"/>
  <c r="H662" i="28" s="1"/>
  <c r="G656" i="28"/>
  <c r="H656" i="28" s="1"/>
  <c r="G655" i="28"/>
  <c r="G652" i="28"/>
  <c r="G646" i="28"/>
  <c r="G642" i="28"/>
  <c r="G639" i="28"/>
  <c r="G636" i="28"/>
  <c r="H636" i="28" s="1"/>
  <c r="G635" i="28"/>
  <c r="H635" i="28" s="1"/>
  <c r="G634" i="28"/>
  <c r="H634" i="28" s="1"/>
  <c r="G633" i="28"/>
  <c r="H633" i="28" s="1"/>
  <c r="G632" i="28"/>
  <c r="H632" i="28" s="1"/>
  <c r="G628" i="28"/>
  <c r="H628" i="28" s="1"/>
  <c r="G626" i="28"/>
  <c r="H626" i="28" s="1"/>
  <c r="G624" i="28"/>
  <c r="H624" i="28" s="1"/>
  <c r="G622" i="28"/>
  <c r="H622" i="28" s="1"/>
  <c r="G621" i="28"/>
  <c r="G616" i="28"/>
  <c r="G613" i="28"/>
  <c r="H613" i="28" s="1"/>
  <c r="G612" i="28"/>
  <c r="G608" i="28"/>
  <c r="H608" i="28" s="1"/>
  <c r="G607" i="28"/>
  <c r="H607" i="28" s="1"/>
  <c r="G606" i="28"/>
  <c r="H606" i="28" s="1"/>
  <c r="G603" i="28"/>
  <c r="G600" i="28"/>
  <c r="H600" i="28" s="1"/>
  <c r="G597" i="28"/>
  <c r="G595" i="28"/>
  <c r="H595" i="28" s="1"/>
  <c r="G594" i="28"/>
  <c r="H594" i="28" s="1"/>
  <c r="G592" i="28"/>
  <c r="H592" i="28" s="1"/>
  <c r="G591" i="28"/>
  <c r="G588" i="28"/>
  <c r="G584" i="28"/>
  <c r="H584" i="28" s="1"/>
  <c r="G583" i="28"/>
  <c r="G580" i="28"/>
  <c r="H580" i="28" s="1"/>
  <c r="G578" i="28"/>
  <c r="H578" i="28" s="1"/>
  <c r="G577" i="28"/>
  <c r="H577" i="28" s="1"/>
  <c r="G576" i="28"/>
  <c r="H576" i="28" s="1"/>
  <c r="G575" i="28"/>
  <c r="G572" i="28"/>
  <c r="H572" i="28" s="1"/>
  <c r="G570" i="28"/>
  <c r="H570" i="28" s="1"/>
  <c r="G569" i="28"/>
  <c r="H569" i="28" s="1"/>
  <c r="G568" i="28"/>
  <c r="H568" i="28" s="1"/>
  <c r="G566" i="28"/>
  <c r="H566" i="28" s="1"/>
  <c r="G565" i="28"/>
  <c r="G563" i="28"/>
  <c r="G557" i="28"/>
  <c r="G555" i="28"/>
  <c r="G551" i="28"/>
  <c r="G549" i="28"/>
  <c r="G543" i="28"/>
  <c r="H543" i="28" s="1"/>
  <c r="G542" i="28"/>
  <c r="G540" i="28"/>
  <c r="H540" i="28" s="1"/>
  <c r="G539" i="28"/>
  <c r="H539" i="28" s="1"/>
  <c r="G535" i="28"/>
  <c r="H535" i="28" s="1"/>
  <c r="G534" i="28"/>
  <c r="G529" i="28"/>
  <c r="H529" i="28" s="1"/>
  <c r="G525" i="28"/>
  <c r="G522" i="28"/>
  <c r="H522" i="28" s="1"/>
  <c r="G520" i="28"/>
  <c r="H520" i="28" s="1"/>
  <c r="G518" i="28"/>
  <c r="G514" i="28"/>
  <c r="H514" i="28" s="1"/>
  <c r="G513" i="28"/>
  <c r="G511" i="28"/>
  <c r="G508" i="28"/>
  <c r="G503" i="28"/>
  <c r="H503" i="28" s="1"/>
  <c r="G501" i="28"/>
  <c r="H501" i="28" s="1"/>
  <c r="G499" i="28"/>
  <c r="G496" i="28"/>
  <c r="H496" i="28" s="1"/>
  <c r="G494" i="28"/>
  <c r="H494" i="28" s="1"/>
  <c r="G489" i="28"/>
  <c r="H489" i="28" s="1"/>
  <c r="G487" i="28"/>
  <c r="H487" i="28" s="1"/>
  <c r="G485" i="28"/>
  <c r="H485" i="28" s="1"/>
  <c r="G484" i="28"/>
  <c r="G481" i="28"/>
  <c r="H481" i="28" s="1"/>
  <c r="G479" i="28"/>
  <c r="H479" i="28" s="1"/>
  <c r="G477" i="28"/>
  <c r="H477" i="28" s="1"/>
  <c r="G473" i="28"/>
  <c r="H473" i="28" s="1"/>
  <c r="G471" i="28"/>
  <c r="H471" i="28" s="1"/>
  <c r="G469" i="28"/>
  <c r="H469" i="28" s="1"/>
  <c r="G468" i="28"/>
  <c r="G1012" i="28"/>
  <c r="G457" i="28"/>
  <c r="H457" i="28" s="1"/>
  <c r="G454" i="28"/>
  <c r="H454" i="28" s="1"/>
  <c r="G452" i="28"/>
  <c r="H452" i="28" s="1"/>
  <c r="G451" i="28"/>
  <c r="G449" i="28"/>
  <c r="G447" i="28"/>
  <c r="G444" i="28"/>
  <c r="H444" i="28" s="1"/>
  <c r="G443" i="28"/>
  <c r="H443" i="28" s="1"/>
  <c r="G442" i="28"/>
  <c r="H442" i="28" s="1"/>
  <c r="G441" i="28"/>
  <c r="G438" i="28"/>
  <c r="G435" i="28"/>
  <c r="G433" i="28"/>
  <c r="G431" i="28"/>
  <c r="H431" i="28" s="1"/>
  <c r="G429" i="28"/>
  <c r="H429" i="28" s="1"/>
  <c r="G428" i="28"/>
  <c r="G425" i="28"/>
  <c r="H425" i="28" s="1"/>
  <c r="G424" i="28"/>
  <c r="H424" i="28" s="1"/>
  <c r="G422" i="28"/>
  <c r="H422" i="28" s="1"/>
  <c r="G421" i="28"/>
  <c r="G419" i="28"/>
  <c r="H419" i="28" s="1"/>
  <c r="G418" i="28"/>
  <c r="H418" i="28" s="1"/>
  <c r="G417" i="28"/>
  <c r="G411" i="28"/>
  <c r="G398" i="28"/>
  <c r="H398" i="28" s="1"/>
  <c r="G397" i="28"/>
  <c r="H397" i="28" s="1"/>
  <c r="G396" i="28"/>
  <c r="G394" i="28"/>
  <c r="G391" i="28"/>
  <c r="H391" i="28" s="1"/>
  <c r="G390" i="28"/>
  <c r="G388" i="28"/>
  <c r="G386" i="28"/>
  <c r="G381" i="28"/>
  <c r="G379" i="28" s="1"/>
  <c r="G377" i="28"/>
  <c r="H377" i="28" s="1"/>
  <c r="G375" i="28"/>
  <c r="H375" i="28" s="1"/>
  <c r="G373" i="28"/>
  <c r="H373" i="28" s="1"/>
  <c r="G371" i="28"/>
  <c r="H371" i="28" s="1"/>
  <c r="G370" i="28"/>
  <c r="G365" i="28"/>
  <c r="G362" i="28"/>
  <c r="G361" i="28" s="1"/>
  <c r="G360" i="28" s="1"/>
  <c r="G359" i="28" s="1"/>
  <c r="H359" i="28" s="1"/>
  <c r="G356" i="28"/>
  <c r="H356" i="28" s="1"/>
  <c r="G354" i="28"/>
  <c r="H354" i="28" s="1"/>
  <c r="G352" i="28"/>
  <c r="H352" i="28" s="1"/>
  <c r="G351" i="28"/>
  <c r="G348" i="28"/>
  <c r="H348" i="28" s="1"/>
  <c r="G346" i="28"/>
  <c r="H346" i="28" s="1"/>
  <c r="G332" i="28"/>
  <c r="G330" i="28"/>
  <c r="G327" i="28"/>
  <c r="H327" i="28" s="1"/>
  <c r="G325" i="28"/>
  <c r="H325" i="28" s="1"/>
  <c r="G323" i="28"/>
  <c r="H323" i="28" s="1"/>
  <c r="G322" i="28"/>
  <c r="G317" i="28"/>
  <c r="G313" i="28"/>
  <c r="G311" i="28"/>
  <c r="G306" i="28"/>
  <c r="G303" i="28"/>
  <c r="H303" i="28" s="1"/>
  <c r="G301" i="28"/>
  <c r="G295" i="28"/>
  <c r="G292" i="28"/>
  <c r="G291" i="28"/>
  <c r="G290" i="28" s="1"/>
  <c r="G288" i="28"/>
  <c r="G287" i="28" s="1"/>
  <c r="G286" i="28"/>
  <c r="G285" i="28" s="1"/>
  <c r="G283" i="28"/>
  <c r="G282" i="28"/>
  <c r="G281" i="28" s="1"/>
  <c r="G279" i="28"/>
  <c r="G277" i="28"/>
  <c r="G276" i="28"/>
  <c r="G275" i="28"/>
  <c r="G271" i="28"/>
  <c r="G270" i="28" s="1"/>
  <c r="G269" i="28"/>
  <c r="G268" i="28" s="1"/>
  <c r="G267" i="28" s="1"/>
  <c r="G264" i="28"/>
  <c r="G263" i="28" s="1"/>
  <c r="G262" i="28" s="1"/>
  <c r="G261" i="28" s="1"/>
  <c r="G260" i="28"/>
  <c r="G259" i="28"/>
  <c r="G257" i="28"/>
  <c r="G256" i="28" s="1"/>
  <c r="G255" i="28" s="1"/>
  <c r="G251" i="28"/>
  <c r="G250" i="28"/>
  <c r="G249" i="28" s="1"/>
  <c r="G244" i="28"/>
  <c r="G243" i="28" s="1"/>
  <c r="G241" i="28"/>
  <c r="G240" i="28" s="1"/>
  <c r="G238" i="28"/>
  <c r="G237" i="28"/>
  <c r="G236" i="28" s="1"/>
  <c r="G234" i="28"/>
  <c r="G233" i="28" s="1"/>
  <c r="G232" i="28" s="1"/>
  <c r="G231" i="28"/>
  <c r="G230" i="28"/>
  <c r="G229" i="28" s="1"/>
  <c r="G227" i="28"/>
  <c r="G226" i="28" s="1"/>
  <c r="G224" i="28"/>
  <c r="G223" i="28"/>
  <c r="G222" i="28" s="1"/>
  <c r="G218" i="28"/>
  <c r="G217" i="28" s="1"/>
  <c r="G215" i="28"/>
  <c r="G214" i="28" s="1"/>
  <c r="G212" i="28"/>
  <c r="G211" i="28"/>
  <c r="G210" i="28"/>
  <c r="G209" i="28"/>
  <c r="G208" i="28" s="1"/>
  <c r="G205" i="28"/>
  <c r="G204" i="28"/>
  <c r="G203" i="28" s="1"/>
  <c r="G199" i="28"/>
  <c r="G197" i="28"/>
  <c r="G195" i="28"/>
  <c r="G191" i="28"/>
  <c r="G189" i="28"/>
  <c r="G186" i="28"/>
  <c r="G184" i="28"/>
  <c r="G182" i="28"/>
  <c r="G181" i="28"/>
  <c r="G180" i="28" s="1"/>
  <c r="G179" i="28"/>
  <c r="G178" i="28"/>
  <c r="G174" i="28"/>
  <c r="G172" i="28"/>
  <c r="G169" i="28"/>
  <c r="G168" i="28" s="1"/>
  <c r="G167" i="28"/>
  <c r="G166" i="28"/>
  <c r="G165" i="28"/>
  <c r="G164" i="28" s="1"/>
  <c r="G161" i="28"/>
  <c r="G159" i="28"/>
  <c r="G158" i="28"/>
  <c r="G157" i="28"/>
  <c r="G154" i="28"/>
  <c r="G153" i="28"/>
  <c r="G152" i="28" s="1"/>
  <c r="G823" i="28" l="1"/>
  <c r="H823" i="28" s="1"/>
  <c r="H824" i="28"/>
  <c r="G389" i="28"/>
  <c r="H389" i="28" s="1"/>
  <c r="H390" i="28"/>
  <c r="G510" i="28"/>
  <c r="H511" i="28"/>
  <c r="G437" i="28"/>
  <c r="H437" i="28" s="1"/>
  <c r="H438" i="28"/>
  <c r="G440" i="28"/>
  <c r="H440" i="28" s="1"/>
  <c r="H441" i="28"/>
  <c r="G512" i="28"/>
  <c r="H512" i="28" s="1"/>
  <c r="H513" i="28"/>
  <c r="H301" i="28"/>
  <c r="G723" i="28"/>
  <c r="H723" i="28" s="1"/>
  <c r="H724" i="28"/>
  <c r="G305" i="28"/>
  <c r="H305" i="28" s="1"/>
  <c r="H306" i="28"/>
  <c r="G590" i="28"/>
  <c r="H590" i="28" s="1"/>
  <c r="H591" i="28"/>
  <c r="G596" i="28"/>
  <c r="H596" i="28" s="1"/>
  <c r="H597" i="28"/>
  <c r="G524" i="28"/>
  <c r="H524" i="28" s="1"/>
  <c r="H525" i="28"/>
  <c r="G554" i="28"/>
  <c r="H555" i="28"/>
  <c r="G414" i="28"/>
  <c r="H414" i="28" s="1"/>
  <c r="H417" i="28"/>
  <c r="G641" i="28"/>
  <c r="H641" i="28" s="1"/>
  <c r="H642" i="28"/>
  <c r="G801" i="28"/>
  <c r="H803" i="28"/>
  <c r="G432" i="28"/>
  <c r="H432" i="28" s="1"/>
  <c r="H433" i="28"/>
  <c r="G393" i="28"/>
  <c r="H393" i="28" s="1"/>
  <c r="H394" i="28"/>
  <c r="G516" i="28"/>
  <c r="H516" i="28" s="1"/>
  <c r="H518" i="28"/>
  <c r="G409" i="28"/>
  <c r="H411" i="28"/>
  <c r="G446" i="28"/>
  <c r="H446" i="28" s="1"/>
  <c r="H447" i="28"/>
  <c r="G316" i="28"/>
  <c r="H317" i="28"/>
  <c r="G574" i="28"/>
  <c r="H574" i="28" s="1"/>
  <c r="H575" i="28"/>
  <c r="G450" i="28"/>
  <c r="H450" i="28" s="1"/>
  <c r="H451" i="28"/>
  <c r="G645" i="28"/>
  <c r="H645" i="28" s="1"/>
  <c r="H646" i="28"/>
  <c r="G805" i="28"/>
  <c r="H805" i="28" s="1"/>
  <c r="H806" i="28"/>
  <c r="G556" i="28"/>
  <c r="H556" i="28" s="1"/>
  <c r="H557" i="28"/>
  <c r="G369" i="28"/>
  <c r="H369" i="28" s="1"/>
  <c r="H370" i="28"/>
  <c r="G533" i="28"/>
  <c r="H533" i="28" s="1"/>
  <c r="H534" i="28"/>
  <c r="G796" i="28"/>
  <c r="H797" i="28"/>
  <c r="G321" i="28"/>
  <c r="H321" i="28" s="1"/>
  <c r="H322" i="28"/>
  <c r="G611" i="28"/>
  <c r="H611" i="28" s="1"/>
  <c r="H612" i="28"/>
  <c r="G650" i="28"/>
  <c r="H652" i="28"/>
  <c r="G706" i="28"/>
  <c r="H706" i="28" s="1"/>
  <c r="H707" i="28"/>
  <c r="G434" i="28"/>
  <c r="H434" i="28" s="1"/>
  <c r="H435" i="28"/>
  <c r="G395" i="28"/>
  <c r="H395" i="28" s="1"/>
  <c r="H396" i="28"/>
  <c r="G564" i="28"/>
  <c r="H564" i="28" s="1"/>
  <c r="H565" i="28"/>
  <c r="G310" i="28"/>
  <c r="H311" i="28"/>
  <c r="G602" i="28"/>
  <c r="H602" i="28" s="1"/>
  <c r="H603" i="28"/>
  <c r="G638" i="28"/>
  <c r="H638" i="28" s="1"/>
  <c r="H639" i="28"/>
  <c r="G541" i="28"/>
  <c r="H541" i="28" s="1"/>
  <c r="H542" i="28"/>
  <c r="G654" i="28"/>
  <c r="H655" i="28"/>
  <c r="G562" i="28"/>
  <c r="H563" i="28"/>
  <c r="G312" i="28"/>
  <c r="H312" i="28" s="1"/>
  <c r="H313" i="28"/>
  <c r="G742" i="28"/>
  <c r="H743" i="28"/>
  <c r="G448" i="28"/>
  <c r="H448" i="28" s="1"/>
  <c r="H449" i="28"/>
  <c r="G498" i="28"/>
  <c r="H498" i="28" s="1"/>
  <c r="H499" i="28"/>
  <c r="G615" i="28"/>
  <c r="H615" i="28" s="1"/>
  <c r="H616" i="28"/>
  <c r="G710" i="28"/>
  <c r="H710" i="28" s="1"/>
  <c r="H711" i="28"/>
  <c r="G769" i="28"/>
  <c r="H769" i="28" s="1"/>
  <c r="H770" i="28"/>
  <c r="G587" i="28"/>
  <c r="H588" i="28"/>
  <c r="G350" i="28"/>
  <c r="H350" i="28" s="1"/>
  <c r="H351" i="28"/>
  <c r="G483" i="28"/>
  <c r="H483" i="28" s="1"/>
  <c r="H484" i="28"/>
  <c r="G791" i="28"/>
  <c r="H791" i="28" s="1"/>
  <c r="H792" i="28"/>
  <c r="G364" i="28"/>
  <c r="H365" i="28"/>
  <c r="G420" i="28"/>
  <c r="H420" i="28" s="1"/>
  <c r="H421" i="28"/>
  <c r="G329" i="28"/>
  <c r="H329" i="28" s="1"/>
  <c r="H330" i="28"/>
  <c r="G385" i="28"/>
  <c r="H385" i="28" s="1"/>
  <c r="H386" i="28"/>
  <c r="G426" i="28"/>
  <c r="H426" i="28" s="1"/>
  <c r="H428" i="28"/>
  <c r="G548" i="28"/>
  <c r="H549" i="28"/>
  <c r="G582" i="28"/>
  <c r="H582" i="28" s="1"/>
  <c r="H583" i="28"/>
  <c r="G620" i="28"/>
  <c r="H620" i="28" s="1"/>
  <c r="H621" i="28"/>
  <c r="G716" i="28"/>
  <c r="H717" i="28"/>
  <c r="G773" i="28"/>
  <c r="H773" i="28" s="1"/>
  <c r="H775" i="28"/>
  <c r="G815" i="28"/>
  <c r="H815" i="28" s="1"/>
  <c r="H816" i="28"/>
  <c r="G331" i="28"/>
  <c r="H331" i="28" s="1"/>
  <c r="H332" i="28"/>
  <c r="G387" i="28"/>
  <c r="H387" i="28" s="1"/>
  <c r="H388" i="28"/>
  <c r="G467" i="28"/>
  <c r="H467" i="28" s="1"/>
  <c r="H468" i="28"/>
  <c r="G507" i="28"/>
  <c r="H508" i="28"/>
  <c r="G550" i="28"/>
  <c r="H550" i="28" s="1"/>
  <c r="H551" i="28"/>
  <c r="G719" i="28"/>
  <c r="H720" i="28"/>
  <c r="G776" i="28"/>
  <c r="H776" i="28" s="1"/>
  <c r="H777" i="28"/>
  <c r="G258" i="28"/>
  <c r="G216" i="28"/>
  <c r="G736" i="28"/>
  <c r="H736" i="28" s="1"/>
  <c r="G289" i="28"/>
  <c r="G235" i="28"/>
  <c r="G228" i="28" s="1"/>
  <c r="G202" i="28"/>
  <c r="G163" i="28"/>
  <c r="G782" i="28"/>
  <c r="G493" i="28"/>
  <c r="H493" i="28" s="1"/>
  <c r="G843" i="28"/>
  <c r="G819" i="28" s="1"/>
  <c r="H819" i="28" s="1"/>
  <c r="G605" i="28"/>
  <c r="G500" i="28"/>
  <c r="G298" i="28"/>
  <c r="G640" i="28"/>
  <c r="H640" i="28" s="1"/>
  <c r="G476" i="28"/>
  <c r="H476" i="28" s="1"/>
  <c r="G747" i="28"/>
  <c r="G156" i="28"/>
  <c r="G850" i="28"/>
  <c r="G849" i="28" s="1"/>
  <c r="G848" i="28" s="1"/>
  <c r="G808" i="28"/>
  <c r="G619" i="28"/>
  <c r="G567" i="28"/>
  <c r="G538" i="28"/>
  <c r="G466" i="28"/>
  <c r="H466" i="28" s="1"/>
  <c r="G439" i="28"/>
  <c r="G266" i="28"/>
  <c r="G248" i="28"/>
  <c r="G247" i="28" s="1"/>
  <c r="G246" i="28" s="1"/>
  <c r="G221" i="28"/>
  <c r="G220" i="28" s="1"/>
  <c r="G207" i="28"/>
  <c r="G201" i="28" s="1"/>
  <c r="G194" i="28"/>
  <c r="G193" i="28" s="1"/>
  <c r="G188" i="28"/>
  <c r="G177" i="28"/>
  <c r="G171" i="28"/>
  <c r="G151" i="28"/>
  <c r="G320" i="28"/>
  <c r="G659" i="28"/>
  <c r="G593" i="28"/>
  <c r="G754" i="28"/>
  <c r="G274" i="28"/>
  <c r="G486" i="28" l="1"/>
  <c r="H486" i="28" s="1"/>
  <c r="H500" i="28"/>
  <c r="G589" i="28"/>
  <c r="H589" i="28" s="1"/>
  <c r="H593" i="28"/>
  <c r="G363" i="28"/>
  <c r="H363" i="28" s="1"/>
  <c r="H364" i="28"/>
  <c r="G319" i="28"/>
  <c r="H319" i="28" s="1"/>
  <c r="H320" i="28"/>
  <c r="G309" i="28"/>
  <c r="H310" i="28"/>
  <c r="G718" i="28"/>
  <c r="H718" i="28" s="1"/>
  <c r="H719" i="28"/>
  <c r="G781" i="28"/>
  <c r="H782" i="28"/>
  <c r="G408" i="28"/>
  <c r="H408" i="28" s="1"/>
  <c r="H409" i="28"/>
  <c r="G586" i="28"/>
  <c r="H586" i="28" s="1"/>
  <c r="H587" i="28"/>
  <c r="G509" i="28"/>
  <c r="H509" i="28" s="1"/>
  <c r="H510" i="28"/>
  <c r="G436" i="28"/>
  <c r="H436" i="28" s="1"/>
  <c r="H439" i="28"/>
  <c r="H538" i="28"/>
  <c r="G715" i="28"/>
  <c r="H716" i="28"/>
  <c r="H605" i="28"/>
  <c r="G795" i="28"/>
  <c r="H795" i="28" s="1"/>
  <c r="H796" i="28"/>
  <c r="G506" i="28"/>
  <c r="H506" i="28" s="1"/>
  <c r="H507" i="28"/>
  <c r="G553" i="28"/>
  <c r="H553" i="28" s="1"/>
  <c r="H554" i="28"/>
  <c r="G561" i="28"/>
  <c r="H561" i="28" s="1"/>
  <c r="H562" i="28"/>
  <c r="G532" i="28"/>
  <c r="G746" i="28"/>
  <c r="H746" i="28" s="1"/>
  <c r="H747" i="28"/>
  <c r="G658" i="28"/>
  <c r="H658" i="28" s="1"/>
  <c r="H659" i="28"/>
  <c r="G618" i="28"/>
  <c r="H618" i="28" s="1"/>
  <c r="H619" i="28"/>
  <c r="G315" i="28"/>
  <c r="H315" i="28" s="1"/>
  <c r="H316" i="28"/>
  <c r="G741" i="28"/>
  <c r="H742" i="28"/>
  <c r="G772" i="28"/>
  <c r="G804" i="28"/>
  <c r="H804" i="28" s="1"/>
  <c r="H808" i="28"/>
  <c r="G786" i="28"/>
  <c r="G345" i="28"/>
  <c r="G800" i="28"/>
  <c r="H801" i="28"/>
  <c r="G560" i="28"/>
  <c r="H560" i="28" s="1"/>
  <c r="H567" i="28"/>
  <c r="G631" i="28"/>
  <c r="H631" i="28" s="1"/>
  <c r="G722" i="28"/>
  <c r="H722" i="28" s="1"/>
  <c r="G547" i="28"/>
  <c r="H547" i="28" s="1"/>
  <c r="H548" i="28"/>
  <c r="G610" i="28"/>
  <c r="H610" i="28" s="1"/>
  <c r="G368" i="28"/>
  <c r="G653" i="28"/>
  <c r="H654" i="28"/>
  <c r="G384" i="28"/>
  <c r="G753" i="28"/>
  <c r="H753" i="28" s="1"/>
  <c r="H754" i="28"/>
  <c r="G413" i="28"/>
  <c r="G649" i="28"/>
  <c r="H650" i="28"/>
  <c r="G273" i="28"/>
  <c r="G465" i="28"/>
  <c r="H465" i="28" s="1"/>
  <c r="G176" i="28"/>
  <c r="G150" i="28"/>
  <c r="G149" i="28" s="1"/>
  <c r="G630" i="28"/>
  <c r="H630" i="28" s="1"/>
  <c r="G219" i="28"/>
  <c r="G780" i="28" l="1"/>
  <c r="H780" i="28" s="1"/>
  <c r="H781" i="28"/>
  <c r="G367" i="28"/>
  <c r="H367" i="28" s="1"/>
  <c r="H368" i="28"/>
  <c r="G768" i="28"/>
  <c r="H772" i="28"/>
  <c r="H653" i="28"/>
  <c r="G647" i="28"/>
  <c r="H647" i="28" s="1"/>
  <c r="H741" i="28"/>
  <c r="G735" i="28"/>
  <c r="H309" i="28"/>
  <c r="G308" i="28"/>
  <c r="H308" i="28" s="1"/>
  <c r="G559" i="28"/>
  <c r="H559" i="28" s="1"/>
  <c r="G505" i="28"/>
  <c r="H532" i="28"/>
  <c r="G714" i="28"/>
  <c r="H714" i="28" s="1"/>
  <c r="H715" i="28"/>
  <c r="G537" i="28"/>
  <c r="H537" i="28" s="1"/>
  <c r="G344" i="28"/>
  <c r="H345" i="28"/>
  <c r="G604" i="28"/>
  <c r="H604" i="28" s="1"/>
  <c r="G648" i="28"/>
  <c r="H648" i="28" s="1"/>
  <c r="H649" i="28"/>
  <c r="G799" i="28"/>
  <c r="H800" i="28"/>
  <c r="G412" i="28"/>
  <c r="H412" i="28" s="1"/>
  <c r="H413" i="28"/>
  <c r="G785" i="28"/>
  <c r="H785" i="28" s="1"/>
  <c r="H786" i="28"/>
  <c r="G383" i="28"/>
  <c r="H384" i="28"/>
  <c r="G120" i="28"/>
  <c r="G119" i="28" s="1"/>
  <c r="G115" i="28"/>
  <c r="G114" i="28" s="1"/>
  <c r="G84" i="28"/>
  <c r="G83" i="28" s="1"/>
  <c r="G81" i="28"/>
  <c r="G80" i="28" s="1"/>
  <c r="G78" i="28"/>
  <c r="G74" i="28"/>
  <c r="G73" i="28"/>
  <c r="G70" i="28"/>
  <c r="G68" i="28"/>
  <c r="G66" i="28"/>
  <c r="G64" i="28"/>
  <c r="H735" i="28" l="1"/>
  <c r="G657" i="28"/>
  <c r="H657" i="28" s="1"/>
  <c r="H383" i="28"/>
  <c r="G382" i="28"/>
  <c r="H382" i="28" s="1"/>
  <c r="H344" i="28"/>
  <c r="G343" i="28"/>
  <c r="H343" i="28" s="1"/>
  <c r="H505" i="28"/>
  <c r="G464" i="28"/>
  <c r="H464" i="28" s="1"/>
  <c r="H799" i="28"/>
  <c r="G798" i="28"/>
  <c r="H798" i="28" s="1"/>
  <c r="H768" i="28"/>
  <c r="G767" i="28"/>
  <c r="H767" i="28" s="1"/>
  <c r="G265" i="28"/>
  <c r="G63" i="28"/>
  <c r="G62" i="28" s="1"/>
  <c r="G977" i="28" l="1"/>
  <c r="G963" i="28"/>
  <c r="G862" i="28" l="1"/>
  <c r="G857" i="28" s="1"/>
  <c r="G856" i="28" s="1"/>
  <c r="G855" i="28" s="1"/>
  <c r="G52" i="31" l="1"/>
  <c r="G51" i="31"/>
  <c r="G900" i="28" l="1"/>
  <c r="G897" i="28"/>
  <c r="G989" i="28" l="1"/>
  <c r="G999" i="28" l="1"/>
  <c r="G1006" i="28"/>
  <c r="G136" i="28" l="1"/>
  <c r="G131" i="28" l="1"/>
  <c r="G51" i="28" l="1"/>
  <c r="G130" i="28" l="1"/>
  <c r="G129" i="28" l="1"/>
  <c r="G951" i="28" l="1"/>
  <c r="G888" i="28"/>
  <c r="G127" i="28"/>
  <c r="G125" i="28"/>
  <c r="G60" i="28"/>
  <c r="G45" i="28"/>
  <c r="G42" i="28"/>
  <c r="G38" i="28"/>
  <c r="G36" i="28"/>
  <c r="G33" i="28"/>
  <c r="G30" i="28"/>
  <c r="G25" i="28"/>
  <c r="G23" i="28"/>
  <c r="G976" i="28" l="1"/>
  <c r="G29" i="28"/>
  <c r="G59" i="28"/>
  <c r="G975" i="28"/>
  <c r="G982" i="28"/>
  <c r="G32" i="28"/>
  <c r="G124" i="28"/>
  <c r="G118" i="28" s="1"/>
  <c r="G22" i="28"/>
  <c r="G41" i="28"/>
  <c r="G21" i="28" l="1"/>
  <c r="G103" i="31" l="1"/>
  <c r="G99" i="31"/>
  <c r="G23" i="31"/>
  <c r="G22" i="31" s="1"/>
  <c r="G953" i="28"/>
  <c r="G983" i="28" l="1"/>
  <c r="G950" i="28"/>
  <c r="I109" i="31"/>
  <c r="H109" i="31"/>
  <c r="I108" i="31"/>
  <c r="H108" i="31"/>
  <c r="G108" i="31"/>
  <c r="I107" i="31"/>
  <c r="H107" i="31"/>
  <c r="I106" i="31"/>
  <c r="H106" i="31"/>
  <c r="I105" i="31"/>
  <c r="H105" i="31"/>
  <c r="I98" i="31"/>
  <c r="I97" i="31" s="1"/>
  <c r="I96" i="31" s="1"/>
  <c r="I95" i="31" s="1"/>
  <c r="I94" i="31" s="1"/>
  <c r="H98" i="31"/>
  <c r="H97" i="31" s="1"/>
  <c r="H96" i="31" s="1"/>
  <c r="H95" i="31" s="1"/>
  <c r="H94" i="31" s="1"/>
  <c r="G98" i="31"/>
  <c r="G97" i="31" s="1"/>
  <c r="G96" i="31" s="1"/>
  <c r="G95" i="31" s="1"/>
  <c r="G94" i="31" s="1"/>
  <c r="I88" i="31"/>
  <c r="I87" i="31" s="1"/>
  <c r="I86" i="31" s="1"/>
  <c r="I85" i="31" s="1"/>
  <c r="I84" i="31" s="1"/>
  <c r="H88" i="31"/>
  <c r="H87" i="31" s="1"/>
  <c r="H86" i="31" s="1"/>
  <c r="H85" i="31" s="1"/>
  <c r="H84" i="31" s="1"/>
  <c r="G88" i="31"/>
  <c r="G87" i="31"/>
  <c r="G86" i="31" s="1"/>
  <c r="G85" i="31" s="1"/>
  <c r="G84" i="31" s="1"/>
  <c r="I78" i="31"/>
  <c r="I77" i="31" s="1"/>
  <c r="I76" i="31" s="1"/>
  <c r="I75" i="31" s="1"/>
  <c r="I74" i="31" s="1"/>
  <c r="H78" i="31"/>
  <c r="H77" i="31" s="1"/>
  <c r="H76" i="31" s="1"/>
  <c r="H75" i="31" s="1"/>
  <c r="H74" i="31" s="1"/>
  <c r="G78" i="31"/>
  <c r="G77" i="31" s="1"/>
  <c r="G76" i="31" s="1"/>
  <c r="G75" i="31" s="1"/>
  <c r="G74" i="31" s="1"/>
  <c r="G68" i="31"/>
  <c r="G67" i="31" s="1"/>
  <c r="I68" i="31"/>
  <c r="I67" i="31" s="1"/>
  <c r="H68" i="31"/>
  <c r="H67" i="31" s="1"/>
  <c r="I61" i="31"/>
  <c r="H61" i="31"/>
  <c r="G61" i="31"/>
  <c r="I60" i="31"/>
  <c r="H60" i="31"/>
  <c r="G60" i="31"/>
  <c r="G109" i="31"/>
  <c r="G107" i="31"/>
  <c r="G106" i="31"/>
  <c r="G54" i="31"/>
  <c r="G53" i="31" s="1"/>
  <c r="I54" i="31"/>
  <c r="I53" i="31" s="1"/>
  <c r="H54" i="31"/>
  <c r="H53" i="31" s="1"/>
  <c r="I47" i="31"/>
  <c r="I46" i="31" s="1"/>
  <c r="H47" i="31"/>
  <c r="H46" i="31" s="1"/>
  <c r="G47" i="31"/>
  <c r="G46" i="31" s="1"/>
  <c r="G37" i="31"/>
  <c r="G36" i="31" s="1"/>
  <c r="I30" i="31"/>
  <c r="I29" i="31" s="1"/>
  <c r="H30" i="31"/>
  <c r="H29" i="31" s="1"/>
  <c r="G30" i="31"/>
  <c r="G29" i="31" s="1"/>
  <c r="I23" i="31"/>
  <c r="I22" i="31" s="1"/>
  <c r="H23" i="31"/>
  <c r="H22" i="31" s="1"/>
  <c r="H21" i="31" l="1"/>
  <c r="H20" i="31" s="1"/>
  <c r="H19" i="31" s="1"/>
  <c r="I21" i="31"/>
  <c r="I20" i="31" s="1"/>
  <c r="I19" i="31" s="1"/>
  <c r="H45" i="31"/>
  <c r="H44" i="31" s="1"/>
  <c r="H43" i="31" s="1"/>
  <c r="G45" i="31"/>
  <c r="G44" i="31" s="1"/>
  <c r="G43" i="31" s="1"/>
  <c r="H18" i="31"/>
  <c r="G21" i="31"/>
  <c r="G20" i="31" s="1"/>
  <c r="G19" i="31" s="1"/>
  <c r="I45" i="31"/>
  <c r="I44" i="31" s="1"/>
  <c r="I43" i="31" s="1"/>
  <c r="G105" i="31"/>
  <c r="G18" i="31" l="1"/>
  <c r="I18" i="31"/>
  <c r="G998" i="28" l="1"/>
  <c r="G883" i="28" l="1"/>
  <c r="G878" i="28"/>
  <c r="G877" i="28" l="1"/>
  <c r="G882" i="28"/>
  <c r="G135" i="28"/>
  <c r="G134" i="28" l="1"/>
  <c r="G881" i="28"/>
  <c r="G876" i="28"/>
  <c r="G1007" i="28"/>
  <c r="G880" i="28" l="1"/>
  <c r="G20" i="28"/>
  <c r="G925" i="28"/>
  <c r="G917" i="28" l="1"/>
  <c r="G914" i="28"/>
  <c r="G916" i="28" l="1"/>
  <c r="G940" i="28"/>
  <c r="G874" i="28"/>
  <c r="G873" i="28" l="1"/>
  <c r="G1018" i="28"/>
  <c r="G872" i="28" l="1"/>
  <c r="G887" i="28"/>
  <c r="G871" i="28" l="1"/>
  <c r="G962" i="28"/>
  <c r="G961" i="28" l="1"/>
  <c r="G994" i="28"/>
  <c r="G960" i="28" l="1"/>
  <c r="G1016" i="28"/>
  <c r="G959" i="28" l="1"/>
  <c r="G1013" i="28"/>
  <c r="G986" i="28"/>
  <c r="G1000" i="28" l="1"/>
  <c r="G997" i="28" l="1"/>
  <c r="G1002" i="28"/>
  <c r="G987" i="28" l="1"/>
  <c r="G993" i="28"/>
  <c r="G988" i="28"/>
  <c r="G990" i="28"/>
  <c r="G1014" i="28"/>
  <c r="G1005" i="28" l="1"/>
  <c r="G1015" i="28"/>
  <c r="G992" i="28"/>
  <c r="G1001" i="28"/>
  <c r="G1008" i="28" l="1"/>
  <c r="G996" i="28" l="1"/>
  <c r="G995" i="28"/>
  <c r="G1004" i="28" l="1"/>
  <c r="G1009" i="28"/>
  <c r="G937" i="28" l="1"/>
  <c r="G911" i="28"/>
  <c r="G973" i="28" s="1"/>
  <c r="G886" i="28"/>
  <c r="G885" i="28" l="1"/>
  <c r="G870" i="28" s="1"/>
  <c r="G896" i="28"/>
  <c r="G913" i="28"/>
  <c r="G1011" i="28" s="1"/>
  <c r="G924" i="28"/>
  <c r="G1003" i="28"/>
  <c r="G910" i="28"/>
  <c r="G936" i="28"/>
  <c r="G895" i="28" l="1"/>
  <c r="G894" i="28" s="1"/>
  <c r="G981" i="28"/>
  <c r="G1010" i="28"/>
  <c r="G974" i="28"/>
  <c r="G991" i="28"/>
  <c r="G1017" i="28"/>
  <c r="G909" i="28"/>
  <c r="G949" i="28"/>
  <c r="G923" i="28"/>
  <c r="G935" i="28"/>
  <c r="G864" i="28" l="1"/>
  <c r="G908" i="28"/>
  <c r="G985" i="28"/>
  <c r="G948" i="28"/>
  <c r="G907" i="28"/>
  <c r="G934" i="28"/>
  <c r="G966" i="28" l="1"/>
  <c r="G947" i="28"/>
  <c r="G901" i="28"/>
  <c r="G929" i="28" l="1"/>
  <c r="G147" i="28"/>
  <c r="G928" i="28" l="1"/>
  <c r="G967" i="28"/>
  <c r="G984" i="28" l="1"/>
  <c r="G979" i="28"/>
  <c r="G969" i="28"/>
</calcChain>
</file>

<file path=xl/sharedStrings.xml><?xml version="1.0" encoding="utf-8"?>
<sst xmlns="http://schemas.openxmlformats.org/spreadsheetml/2006/main" count="2562" uniqueCount="953">
  <si>
    <t>сумма, тысяч тенге</t>
  </si>
  <si>
    <t>Категория</t>
  </si>
  <si>
    <t>Остатки бюджетных средств</t>
  </si>
  <si>
    <t>Свободные остатки бюджетных средств</t>
  </si>
  <si>
    <t>Прочие услуги в области здравоохранения</t>
  </si>
  <si>
    <t>06</t>
  </si>
  <si>
    <t>Социальная помощь и социальное обеспечение</t>
  </si>
  <si>
    <t>Социальное обеспечение</t>
  </si>
  <si>
    <t>За счет средств местного бюджета</t>
  </si>
  <si>
    <t>05</t>
  </si>
  <si>
    <t>Здравоохранение</t>
  </si>
  <si>
    <t>Трансферты из вышестоящих органов государственного управления</t>
  </si>
  <si>
    <t>Трансферты из республиканского бюджета</t>
  </si>
  <si>
    <t>Целевые текущие трансферты</t>
  </si>
  <si>
    <t>Целевые трансферты на развитие</t>
  </si>
  <si>
    <t>Поступления трансфертов</t>
  </si>
  <si>
    <t>Погашение бюджетных кредитов</t>
  </si>
  <si>
    <t>Погашение бюджетных кредитов, выданных из государственного бюджета</t>
  </si>
  <si>
    <t>Трансферты</t>
  </si>
  <si>
    <t>Поступления займов</t>
  </si>
  <si>
    <t>Внутренние государственные займы</t>
  </si>
  <si>
    <t>Договоры займа</t>
  </si>
  <si>
    <t>Займы, получаемые местным исполнительным органом области, города республиканского значения, столицы</t>
  </si>
  <si>
    <t>Транспорт и коммуникации</t>
  </si>
  <si>
    <t>Автомобильный транспорт</t>
  </si>
  <si>
    <t>Погашение займов</t>
  </si>
  <si>
    <t>Наименование</t>
  </si>
  <si>
    <t>Функциональная подгруппа</t>
  </si>
  <si>
    <t>Администратор бюджетных программ</t>
  </si>
  <si>
    <t>Программа</t>
  </si>
  <si>
    <t>Подпрограмма</t>
  </si>
  <si>
    <t>1</t>
  </si>
  <si>
    <t>2</t>
  </si>
  <si>
    <t>3</t>
  </si>
  <si>
    <t>4</t>
  </si>
  <si>
    <t>5</t>
  </si>
  <si>
    <t>9</t>
  </si>
  <si>
    <t>10</t>
  </si>
  <si>
    <t>11</t>
  </si>
  <si>
    <t>12</t>
  </si>
  <si>
    <t>13</t>
  </si>
  <si>
    <t>14</t>
  </si>
  <si>
    <t>15</t>
  </si>
  <si>
    <t>16</t>
  </si>
  <si>
    <t>01</t>
  </si>
  <si>
    <t>Капитальные расходы государственного органа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</si>
  <si>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</si>
  <si>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</si>
  <si>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001</t>
  </si>
  <si>
    <t>003</t>
  </si>
  <si>
    <t>Планирование и статистическая деятельность</t>
  </si>
  <si>
    <t>02</t>
  </si>
  <si>
    <t>Оборона</t>
  </si>
  <si>
    <t>Военные нужды</t>
  </si>
  <si>
    <t>Техническое и профессиональное, послесреднее образование</t>
  </si>
  <si>
    <t>Индивидуальный подоходный налог с доходов иностранных граждан, не облагаемых у источника выплаты</t>
  </si>
  <si>
    <t>Поступления от продажи основного капитала</t>
  </si>
  <si>
    <t>Спорт</t>
  </si>
  <si>
    <t>Информационное пространство</t>
  </si>
  <si>
    <t>Туризм</t>
  </si>
  <si>
    <t>09</t>
  </si>
  <si>
    <t>Топливно-энергетический комплекс и недропользование</t>
  </si>
  <si>
    <t>Прочие услуги в области топливно-энергетического комплекса и недропользования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</si>
  <si>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</si>
  <si>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</si>
  <si>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Начальное, основное среднее и общее среднее образование</t>
  </si>
  <si>
    <t>032</t>
  </si>
  <si>
    <t>Используемые остатки бюджетных средств</t>
  </si>
  <si>
    <t>Плата за пользование водными ресурсами поверхностных источников</t>
  </si>
  <si>
    <t>Поступления части чистого дохода коммунальных государственных предприятий</t>
  </si>
  <si>
    <t>07</t>
  </si>
  <si>
    <t>Жилищно-коммунальное хозяйство</t>
  </si>
  <si>
    <t>Жилищное хозяйство</t>
  </si>
  <si>
    <t>Коммунальное хозяйство</t>
  </si>
  <si>
    <t>08</t>
  </si>
  <si>
    <t>Культура, спорт, туризм и информационное пространство</t>
  </si>
  <si>
    <t>Деятельность в области культуры</t>
  </si>
  <si>
    <t>Охрана окружающей среды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</si>
  <si>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</si>
  <si>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</si>
  <si>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 xml:space="preserve">Категория </t>
  </si>
  <si>
    <t xml:space="preserve">Наименование </t>
  </si>
  <si>
    <t>Сумма, тысяч тенге</t>
  </si>
  <si>
    <t>Класс</t>
  </si>
  <si>
    <t>Подкласс</t>
  </si>
  <si>
    <t>Налоговые поступления</t>
  </si>
  <si>
    <t>Подоходный налог</t>
  </si>
  <si>
    <t>Индивидуальный подоходный налог</t>
  </si>
  <si>
    <t>Социальный налог</t>
  </si>
  <si>
    <t>Капитальные расходы подведомственных государственных учреждений и организаций</t>
  </si>
  <si>
    <t>Поддержка предпринимательской деятельности и защита конкуренции</t>
  </si>
  <si>
    <t>развитие</t>
  </si>
  <si>
    <t>Переподготовка и повышение квалификации специалистов</t>
  </si>
  <si>
    <t>Внутренние налоги на товары, работы и услуги</t>
  </si>
  <si>
    <t>Поступления за использование природных и других ресурсов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</si>
  <si>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</si>
  <si>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</si>
  <si>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</si>
  <si>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>Доходы от аренды  имущества, находящегося в государственной собственности</t>
  </si>
  <si>
    <t>7</t>
  </si>
  <si>
    <t>Социальная помощь</t>
  </si>
  <si>
    <t>Прочие услуги в области социальной помощи и социального обеспечения</t>
  </si>
  <si>
    <t>Специфика</t>
  </si>
  <si>
    <t>Индивидуальный подоходный налог с доходов, облагаемых у источника выплаты</t>
  </si>
  <si>
    <t>Индивидуальный подоходный налог с доходов, не облагаемых у источника выплаты</t>
  </si>
  <si>
    <t>Организация работы по чрезвычайным ситуациям</t>
  </si>
  <si>
    <t>006</t>
  </si>
  <si>
    <t>03</t>
  </si>
  <si>
    <t>Общественный порядок, безопасность, правовая, судебная, уголовно-исполнительная деятельность</t>
  </si>
  <si>
    <t>Правоохранительная деятельность</t>
  </si>
  <si>
    <t>04</t>
  </si>
  <si>
    <t>Образование</t>
  </si>
  <si>
    <t>011</t>
  </si>
  <si>
    <t>015</t>
  </si>
  <si>
    <t>022</t>
  </si>
  <si>
    <t>Прочие услуги в области образования</t>
  </si>
  <si>
    <t>014</t>
  </si>
  <si>
    <t>Охрана здоровья населения</t>
  </si>
  <si>
    <t>037</t>
  </si>
  <si>
    <t>Прочие услуги в сфере транспорта и коммуникаций</t>
  </si>
  <si>
    <t>Прочие</t>
  </si>
  <si>
    <t>Обслуживание долга</t>
  </si>
  <si>
    <t>Субвенции</t>
  </si>
  <si>
    <t xml:space="preserve">Функциональная подгруппа              </t>
  </si>
  <si>
    <t>Функциональная группа                                           Наименование</t>
  </si>
  <si>
    <t>Топливо и энергетика</t>
  </si>
  <si>
    <t xml:space="preserve">Капитальные расходы государственного органа </t>
  </si>
  <si>
    <t>Государственные эмиссионные ценные бумаги</t>
  </si>
  <si>
    <t>За счет трансфертов из республиканского бюджета</t>
  </si>
  <si>
    <t>Дошкольное воспитание и обучение</t>
  </si>
  <si>
    <t>Прочие услуги в области общественного порядка и безопасности</t>
  </si>
  <si>
    <t>I. Доходы</t>
  </si>
  <si>
    <t>II. Затраты</t>
  </si>
  <si>
    <t>III. Чистое бюджетное кредитование</t>
  </si>
  <si>
    <t>Бюджетные кредиты</t>
  </si>
  <si>
    <t>IV. Сальдо по операциям с финансовыми активами</t>
  </si>
  <si>
    <t>V. Дефицит (профицит) бюджета</t>
  </si>
  <si>
    <t>VI. Финансирование дефицита (использование профицита) бюджета</t>
  </si>
  <si>
    <t>Приобретение финансовых активов</t>
  </si>
  <si>
    <t>Сборы за ведение предпринимательской и профессиональной деятельности</t>
  </si>
  <si>
    <t>33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</si>
  <si>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</si>
  <si>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</si>
  <si>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</si>
  <si>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</si>
  <si>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</si>
  <si>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</si>
  <si>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</si>
  <si>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</si>
  <si>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Акцизы</t>
  </si>
  <si>
    <t>Все виды спирта и (или) виноматериала, алкогольной продукции, произведенных на территории Республики Казахстан</t>
  </si>
  <si>
    <t>Плата за пользование земельными участками</t>
  </si>
  <si>
    <t>24</t>
  </si>
  <si>
    <t>29</t>
  </si>
  <si>
    <t>34</t>
  </si>
  <si>
    <t>Регистрационный сбор, зачисляемый в местный бюджет</t>
  </si>
  <si>
    <t>Плата за пользование лицензиями на занятие отдельными видами деятельности</t>
  </si>
  <si>
    <t>Доходы от аренды имущества, находящегося в коммунальной собственности города республиканского значения, столицы</t>
  </si>
  <si>
    <t>Доходы от аренды жилищ из жилищного фонда, находящегося в коммунальной собственности города республиканского значения, столицы</t>
  </si>
  <si>
    <t>Доходы на доли участия в юридических лицах, находящиеся в государственной собственности</t>
  </si>
  <si>
    <t>Доходы на доли участия в юридических лицах, находящиеся в коммунальной собственности</t>
  </si>
  <si>
    <t>26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</si>
  <si>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</si>
  <si>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</si>
  <si>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Государственная пошлина, зачисляемая в местный бюджет</t>
  </si>
  <si>
    <t>Аппарат маслихата города республиканского значения, столицы</t>
  </si>
  <si>
    <t>Аппарат акима города республиканского значения, столицы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</si>
  <si>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</si>
  <si>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</si>
  <si>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</si>
  <si>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Услуги по обеспечению деятельности маслихата города республиканского значения, столицы</t>
  </si>
  <si>
    <t>111</t>
  </si>
  <si>
    <t>121</t>
  </si>
  <si>
    <t>Услуги по обеспечению деятельности акима города республиканского значения, столицы</t>
  </si>
  <si>
    <t xml:space="preserve"> Капитальные расходы государственного органа </t>
  </si>
  <si>
    <t>123</t>
  </si>
  <si>
    <t>Ревизионная комиссия города республиканского значения, столицы</t>
  </si>
  <si>
    <t xml:space="preserve"> Услуги по обеспечению деятельности ревизионной комиссии города республиканского значения, столицы </t>
  </si>
  <si>
    <t>379</t>
  </si>
  <si>
    <t>Финансовая деятельность</t>
  </si>
  <si>
    <t>Управление финансов города республиканского значения, столицы</t>
  </si>
  <si>
    <t>Проведение оценки имущества в целях налогообложения</t>
  </si>
  <si>
    <t>356</t>
  </si>
  <si>
    <t>Управление экономики и бюджетного планирования города республиканского значения, столицы</t>
  </si>
  <si>
    <t xml:space="preserve"> Услуги по реализации государственной политики в области формирования и развития экономической политики, системы государственного планирования </t>
  </si>
  <si>
    <t>004</t>
  </si>
  <si>
    <t>061</t>
  </si>
  <si>
    <t>Мероприятия в рамках исполнения всеобщей воинской обязанности</t>
  </si>
  <si>
    <t>010</t>
  </si>
  <si>
    <t>Предупреждение и ликвидация чрезвычайных ситуаций масштаба города республиканского значения, столицы</t>
  </si>
  <si>
    <t>012</t>
  </si>
  <si>
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бюджета города республиканского значения, столицы</t>
  </si>
  <si>
    <t>Капитальные расходы территориального органа и подведомственных государственных учреждений</t>
  </si>
  <si>
    <t>Исполнительный орган внутренних дел, финансируемый из бюджета города республиканского значения, столицы</t>
  </si>
  <si>
    <t>Услуги по реализации государственной политики в области обеспечения охраны общественного порядка и безопасности на территории города республиканского значения, столицы</t>
  </si>
  <si>
    <t>013</t>
  </si>
  <si>
    <t>Реализация мероприятий в сфере молодежной политики</t>
  </si>
  <si>
    <t>Управление пассажирского транспорта и автомобильных дорог города республиканского значения, столицы</t>
  </si>
  <si>
    <t>Обеспечение безопасности дорожного движения в населенных пунктах</t>
  </si>
  <si>
    <t>Благоустройство населенных пунктов</t>
  </si>
  <si>
    <t>Обеспечение санитарии населенных пунктов</t>
  </si>
  <si>
    <t>Благоустройство и озеленение населенных пунктов</t>
  </si>
  <si>
    <t>009</t>
  </si>
  <si>
    <t>Поддержка культурно-досуговой работы на местном уровне</t>
  </si>
  <si>
    <t>357</t>
  </si>
  <si>
    <t>Социальное обеспечение сирот, детей, оставшихся без попечения родителей</t>
  </si>
  <si>
    <t>Социальная реабилитация</t>
  </si>
  <si>
    <t>Обеспечение сохранности архивного фонда</t>
  </si>
  <si>
    <t>Развитие государственного языка и других языков народа Казахстана</t>
  </si>
  <si>
    <t>Обеспечение сохранности историко-культурного наследия и доступа к ним</t>
  </si>
  <si>
    <t>Поддержка культурно-досуговой работы</t>
  </si>
  <si>
    <t>Поддержка театрального и музыкального искусства</t>
  </si>
  <si>
    <t>Обеспечение функционирования городских библиотек</t>
  </si>
  <si>
    <t>008</t>
  </si>
  <si>
    <t>005</t>
  </si>
  <si>
    <t>007</t>
  </si>
  <si>
    <t>020</t>
  </si>
  <si>
    <t>Управление занятости и социальной защиты города республиканского значения, столицы</t>
  </si>
  <si>
    <t>002</t>
  </si>
  <si>
    <t>Программа занятости</t>
  </si>
  <si>
    <t>Общественные работы</t>
  </si>
  <si>
    <t>Государственная адресная социальная помощь</t>
  </si>
  <si>
    <t>Оказание жилищной помощи</t>
  </si>
  <si>
    <t>Социальная помощь отдельным категориям нуждающихся граждан по решениям местных представительных органов</t>
  </si>
  <si>
    <t>Социальная адаптация лиц, не имеющих определенного местожительства</t>
  </si>
  <si>
    <t>016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</si>
  <si>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 на местном уровне</t>
  </si>
  <si>
    <t>Оплата услуг по зачислению, выплате и доставке пособий и других социальных выплат</t>
  </si>
  <si>
    <t>Размещение государственного социального заказа в неправительственных организациях</t>
  </si>
  <si>
    <t>Услуги лицам из групп риска, попавшим в сложную ситуацию вследствие насилия или угрозы насилия</t>
  </si>
  <si>
    <t>019</t>
  </si>
  <si>
    <t>026</t>
  </si>
  <si>
    <t>028</t>
  </si>
  <si>
    <t>044</t>
  </si>
  <si>
    <t>045</t>
  </si>
  <si>
    <t>030</t>
  </si>
  <si>
    <t>Развитие транспортной инфраструктуры</t>
  </si>
  <si>
    <t>Капитальный и средний ремонт автомобильных дорог улиц населенных пунктов</t>
  </si>
  <si>
    <t>Обеспечение функционирования автомобильных дорог</t>
  </si>
  <si>
    <t>Услуги по реализации государственной политики в сфере пассажирского транспорта и автомобильных дорог на местном уровне</t>
  </si>
  <si>
    <t>Субсидирование пассажирских перевозок по социально значимым внутренним сообщениям</t>
  </si>
  <si>
    <t>Услуги по реализации государственной политики на местном уровне в сфере сельского хозяйства и ветеринарии</t>
  </si>
  <si>
    <t>Организация санитарного убоя больных животных</t>
  </si>
  <si>
    <t>Обеспечение функционирования скотомогильников (биотермических ям)</t>
  </si>
  <si>
    <t>Проведение противоэпизоотических мероприятий</t>
  </si>
  <si>
    <t>Проведение ветеринарных мероприятий по энзоотическим болезням животных</t>
  </si>
  <si>
    <t>Проведение мероприятий по идентификации сельскохозяйственных животных</t>
  </si>
  <si>
    <t>Организация отлова и уничтожения бродячих собак и кошек</t>
  </si>
  <si>
    <t>Субсидирование стоимости удобрений (за исключением органических)</t>
  </si>
  <si>
    <t>Возмещение части расходов, понесенных субъектом агропромышленного комплекса, при инвестиционных вложениях</t>
  </si>
  <si>
    <t>Субсидирование развития племенного животноводства, повышение продуктивности и качества продукции животноводства</t>
  </si>
  <si>
    <t xml:space="preserve"> Управление сельского хозяйства и ветеринарии города республиканского значения, столицы </t>
  </si>
  <si>
    <t>Субсидирование затрат перерабатывающих предприятий на закуп сельскохозяйственной продукции для производства продуктов ее глубокой переработки в сфере животноводства</t>
  </si>
  <si>
    <t>017</t>
  </si>
  <si>
    <t>018</t>
  </si>
  <si>
    <t>025</t>
  </si>
  <si>
    <t>041</t>
  </si>
  <si>
    <t>050</t>
  </si>
  <si>
    <t>053</t>
  </si>
  <si>
    <t>057</t>
  </si>
  <si>
    <t>Подготовка специалистов в организациях технического и профессионального, послесреднего образования</t>
  </si>
  <si>
    <t>Оказание социальной поддержки обучающимся по программам технического и профессионального, послесреднего образования</t>
  </si>
  <si>
    <t>043</t>
  </si>
  <si>
    <t>Управление здравоохранения города республиканского значения, столицы</t>
  </si>
  <si>
    <t>Повышение квалификации и переподготовка кадров</t>
  </si>
  <si>
    <t>Услуги по охране материнства и детства</t>
  </si>
  <si>
    <t>Услуги по реализации государственной политики на местном уровне в области здравоохранения</t>
  </si>
  <si>
    <t>Капитальные расходы медицинских организаций здравоохранения</t>
  </si>
  <si>
    <t>033</t>
  </si>
  <si>
    <t>Услуги по реализации государственной политики в сфере охраны окружающей среды на местном уровне</t>
  </si>
  <si>
    <t>Обслуживание долга местных исполнительных органов</t>
  </si>
  <si>
    <t>Выплаты вознаграждений и иных платежей по займам</t>
  </si>
  <si>
    <t>Обслуживание долга местных исполнительных органов по выплате вознаграждений и иных платежей по займам из республиканского бюджета</t>
  </si>
  <si>
    <t>Управление образования города республиканского значения, столицы</t>
  </si>
  <si>
    <t>034</t>
  </si>
  <si>
    <t>Общеобразовательное обучение</t>
  </si>
  <si>
    <t>Общеобразовательное обучение по специальным образовательным программам</t>
  </si>
  <si>
    <t xml:space="preserve"> Дополнительное образование для детей </t>
  </si>
  <si>
    <t xml:space="preserve"> Услуги по реализации государственной политики на местном уровне в области образования </t>
  </si>
  <si>
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</si>
  <si>
    <t>021</t>
  </si>
  <si>
    <t>027</t>
  </si>
  <si>
    <t>067</t>
  </si>
  <si>
    <t>Содержание ребенка (детей), переданного патронатным воспитателям</t>
  </si>
  <si>
    <t>Освещение улиц населенных пунктов</t>
  </si>
  <si>
    <t>Содержание мест захоронений и погребение безродных</t>
  </si>
  <si>
    <t>038</t>
  </si>
  <si>
    <t>Мероприятия, направленные на поддержание сейсмоустойчивости жилых зданий, расположенных в сейсмоопасных регионах Республики Казахстан</t>
  </si>
  <si>
    <t>Управление строительства города республиканского значения, столицы</t>
  </si>
  <si>
    <t>Услуги по реализации государственной политики на местном уровне в области строительства</t>
  </si>
  <si>
    <t xml:space="preserve"> Управление физической культуры и спорта города республиканского значения, столицы </t>
  </si>
  <si>
    <t>Услуги по реализации государственной политики на местном уровне в сфере физической культуры и спорта</t>
  </si>
  <si>
    <t>Подготовка и участие членов сборных команд по различным видам спорта на республиканских и международных спортивных соревнованиях</t>
  </si>
  <si>
    <t>Услуги по реализации государственной политики по вопросам жилья, в области жилищного фонда на местном уровне</t>
  </si>
  <si>
    <t>Управление предпринимательства и индустриально-инновационного развития города республиканского значения, столицы</t>
  </si>
  <si>
    <t>Услуги по реализации государственной политики на местном уровне в области развития предпринимательства и индустриально-инновационного развития</t>
  </si>
  <si>
    <t>Развитие теплоэнергетической системы</t>
  </si>
  <si>
    <t>Развитие коммунального хозяйства</t>
  </si>
  <si>
    <t>Развитие системы водоснабжения и водоотведения</t>
  </si>
  <si>
    <t>Проектирование и (или) строительство, реконструкция жилья коммунального жилищного фонда</t>
  </si>
  <si>
    <t>Проектирование, развитие и (или) обустройство инженерно-коммуникационной инфраструктуры</t>
  </si>
  <si>
    <t xml:space="preserve">Развитие газотранспортной системы </t>
  </si>
  <si>
    <t>029</t>
  </si>
  <si>
    <t>Строительство и реконструкция объектов начального, основного среднего и общего среднего образования</t>
  </si>
  <si>
    <t>Развитие объектов культуры</t>
  </si>
  <si>
    <t>373</t>
  </si>
  <si>
    <t>Погашение долга местного исполнительного органа</t>
  </si>
  <si>
    <t>По государственным эмиссионным ценным бумагам</t>
  </si>
  <si>
    <t>Погашение долга местного исполнительного органа перед вышестоящим бюджетом</t>
  </si>
  <si>
    <t xml:space="preserve"> Резерв местного исполнительного органа города республиканского значения, столицы </t>
  </si>
  <si>
    <t>Чрезвычайный резерв местного исполнительного органа города республиканского значения, столицы для ликвидации чрезвычайных ситуаций природного и техногенного характера на территории города республиканского значения, столицы</t>
  </si>
  <si>
    <t>Резерв местного исполнительного органа города республиканского значения, столицы на неотложные затраты</t>
  </si>
  <si>
    <t>Резерв местного исполнительного органа города республиканского значения, столицы на исполнение обязательств по решениям судов</t>
  </si>
  <si>
    <t>100</t>
  </si>
  <si>
    <t>101</t>
  </si>
  <si>
    <t>102</t>
  </si>
  <si>
    <t>Земельные отношения</t>
  </si>
  <si>
    <t>Общеобразовательное обучение одаренных детей в специализированных организациях образования</t>
  </si>
  <si>
    <t>Пропаганда здорового образа жизни</t>
  </si>
  <si>
    <t>Централизованный закуп и хранение вакцин и других медицинских иммунобиологических препаратов для проведения иммунопрофилактики населения</t>
  </si>
  <si>
    <t>Реализация мероприятий по профилактике и борьбе со СПИД в Республике Казахстан</t>
  </si>
  <si>
    <t>040</t>
  </si>
  <si>
    <t>Регулирование экономической деятельности</t>
  </si>
  <si>
    <t>Развитие инфраструктуры специальных экономических зон, индустриальных зон, индустриальных парков</t>
  </si>
  <si>
    <t>Развитие благоустройства города</t>
  </si>
  <si>
    <t>Развитие объектов спорта</t>
  </si>
  <si>
    <t>Прочие государственные услуги общего характера</t>
  </si>
  <si>
    <t>Развитие объектов государственных органов</t>
  </si>
  <si>
    <t>069</t>
  </si>
  <si>
    <t>Обеспечение деятельности Ассамблеи народа Казахстана города республиканского значения, столицы</t>
  </si>
  <si>
    <t>Поощрение граждан, участвующих в охране общественного порядка</t>
  </si>
  <si>
    <t xml:space="preserve"> Дополнительное образование для детей и юношества по спорту </t>
  </si>
  <si>
    <t>Услуги по проведению государственной информационной политики</t>
  </si>
  <si>
    <t>353</t>
  </si>
  <si>
    <t>096</t>
  </si>
  <si>
    <t xml:space="preserve">Выполнение государственных обязательств по проектам государственно-частного партнерства </t>
  </si>
  <si>
    <t>Разработка или корректировка, а также проведение необходимых экспертиз технико-экономических обоснований местных бюджетных инвестиционных проектов и конкурсных документаций проектов государственно-частного партнерства, концессионных проектов, консультативное сопровождение проектов государственно-частного партнерства и концессионных проектов</t>
  </si>
  <si>
    <t>Лесное хозяйство</t>
  </si>
  <si>
    <t>Плата за лесные пользования</t>
  </si>
  <si>
    <t xml:space="preserve"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 </t>
  </si>
  <si>
    <t>Административные штрафы, пени, санкции, взыскания, налагаемые департаментами внутренних дел областей, города республиканского значения, столицы, их территориальными подразделениями, финансируемыми из местного бюджета</t>
  </si>
  <si>
    <t>024</t>
  </si>
  <si>
    <t>Подготовка специалистов в организациях технического и профессионального образования</t>
  </si>
  <si>
    <t>Обследование психического здоровья детей и подростков и оказание психолого-медико-педагогической консультативной помощи населению</t>
  </si>
  <si>
    <t>Реабилитация и социальная адаптация детей и подростков с проблемами в развитии</t>
  </si>
  <si>
    <t>Специализированная медицинская помощь</t>
  </si>
  <si>
    <t>Информационно-аналитические услуги в области здравоохранения</t>
  </si>
  <si>
    <t>103</t>
  </si>
  <si>
    <t>106</t>
  </si>
  <si>
    <t>Услуги по замене и настройке речевых процессоров к кохлеарным имплантам</t>
  </si>
  <si>
    <t>Функционирование системы водоснабжения и водоотведения</t>
  </si>
  <si>
    <t>349</t>
  </si>
  <si>
    <t>Мероприятия по борьбе с вредными организмами сельскохозяйственных культур</t>
  </si>
  <si>
    <t>Услуги по транспортировке ветеринарных препаратов до пункта временного хранения</t>
  </si>
  <si>
    <t>Централизованный закуп ветеринарных препаратов по профилактике и диагностике энзоотических болезней животных, услуг по их профилактике и диагностике, организация их хранения и транспортировки (доставки)</t>
  </si>
  <si>
    <t>056</t>
  </si>
  <si>
    <t>Субсидирование ставок вознаграждения при кредитовании, а также лизинге на приобретение сельскохозяйственных животных, техники и технологического оборудования</t>
  </si>
  <si>
    <t>Обеспечение функционирования водохозяйственных сооружений, находящихся в коммунальной собственности</t>
  </si>
  <si>
    <t>Содержание и защита особо охраняемых природных территорий</t>
  </si>
  <si>
    <t>Прочие услуги в области сельского, водного, лесного, рыбного хозяйства, охраны окружающей среды и земельных отношений</t>
  </si>
  <si>
    <t>023</t>
  </si>
  <si>
    <t>Формирование региональных стабилизационных фондов продовольственных товаров</t>
  </si>
  <si>
    <t>Предоставление медицинских услуг по протезированию, обеспечению протезно-ортопедическими средствами и обучению пользования ими</t>
  </si>
  <si>
    <t>Профессиональная подготовка и переподготовка безработных</t>
  </si>
  <si>
    <t>393</t>
  </si>
  <si>
    <t xml:space="preserve">   </t>
  </si>
  <si>
    <t>За счет кредитов из республиканского бюджета</t>
  </si>
  <si>
    <t>065</t>
  </si>
  <si>
    <t>Формирование или увеличение уставного капитала юридических лиц</t>
  </si>
  <si>
    <t>Проведение спортивных соревнований на местном уровне</t>
  </si>
  <si>
    <t>Дополнительное обеспечение гарантированного объема бесплатной медицинской помощи по решению местных представительных органов города республиканского значения, столицы</t>
  </si>
  <si>
    <t>Возврат неиспользованных (недоиспользованных) целевых трансфертов</t>
  </si>
  <si>
    <t>Изучение и анализ религиозной ситуации в регионе</t>
  </si>
  <si>
    <t>Мероприятия по охране окружающей среды</t>
  </si>
  <si>
    <t>Детские дома и центры поддержки детей, находящихся в трудной жизненной ситуации</t>
  </si>
  <si>
    <t>104</t>
  </si>
  <si>
    <t>312</t>
  </si>
  <si>
    <t>Управление культуры, развития языков и  архивов  города республиканского значения, столицы</t>
  </si>
  <si>
    <t>313</t>
  </si>
  <si>
    <t>Управление цифровизации города республиканского значения, столицы</t>
  </si>
  <si>
    <t>Услуги по реализации государственной политики на местном уровне в области цифровизации</t>
  </si>
  <si>
    <t>Услуги по реализации государственной политики на местном уровне в области культуры, развития языков и архивов города</t>
  </si>
  <si>
    <t/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</si>
  <si>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</si>
  <si>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</si>
  <si>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18</t>
  </si>
  <si>
    <t>Продажа нематериальных активов</t>
  </si>
  <si>
    <t>Плата за продажу права аренды земельных участков</t>
  </si>
  <si>
    <t>Методическая работа</t>
  </si>
  <si>
    <t>Обеспечение граждан бесплатным или льготным проездом за пределы населенного пункта на лечение</t>
  </si>
  <si>
    <t>035</t>
  </si>
  <si>
    <t>Развитие объектов сельского хозяйства</t>
  </si>
  <si>
    <t xml:space="preserve"> 021</t>
  </si>
  <si>
    <t>Охрана, защита, воспроизводство лесов и лесоразведение</t>
  </si>
  <si>
    <t>Поддержка предпринимательской деятельности</t>
  </si>
  <si>
    <t>6</t>
  </si>
  <si>
    <t>Поступления от продажи финансовых активов государства</t>
  </si>
  <si>
    <t>Поступления от продажи финансовых активов внутри страны</t>
  </si>
  <si>
    <t>Поступления от продажи доли участия, ценных бумаг юридических лиц, находящихся в коммунальной собственности</t>
  </si>
  <si>
    <t>Поступления от продажи коммунальных государственных учреждений и государственных предприятий в виде имущественного комплекса, иного государственного имущества, находящегося в оперативном управлении или хозяйственном ведении коммунальных государственных предприятий</t>
  </si>
  <si>
    <t>366</t>
  </si>
  <si>
    <t>Управление государственных закупок города республиканского значения, столицы</t>
  </si>
  <si>
    <t>Услуги по реализации государственной политики в области государственных закупок на местном уровне</t>
  </si>
  <si>
    <t>Корпоративный подоходный налог</t>
  </si>
  <si>
    <t>Погашение бюджетных кредитов, выданных из местного бюджета специализированным организациям</t>
  </si>
  <si>
    <t>Дивиденды на государственные пакеты акций, находящиеся в государственной собственности</t>
  </si>
  <si>
    <t>Дивиденды на государственные пакеты акций, находящиеся в коммунальной собственности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</si>
  <si>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</si>
  <si>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Развитие объектов мобилизационной подготовки и чрезвычайных ситуаций</t>
  </si>
  <si>
    <t>Строительство и реконструкция объектов здравоохранения</t>
  </si>
  <si>
    <t>соц сфера</t>
  </si>
  <si>
    <t>Организация эксплуатации тепловых сетей, находящихся в коммунальной собственности города республиканского значения, столицы</t>
  </si>
  <si>
    <t>Строительство и реконструкция объектов социального обеспечения</t>
  </si>
  <si>
    <t>039</t>
  </si>
  <si>
    <t>Вознаграждения по кредитам, выданным из государственного бюджета</t>
  </si>
  <si>
    <t>Вознаграждения по бюджетным кредитам, выданным из местного бюджета специализированным организациям</t>
  </si>
  <si>
    <t xml:space="preserve"> Вознаграждения по бюджетным кредитам, выданным из местного бюджета за счет внутренних источников финансовым агентствам </t>
  </si>
  <si>
    <t>Вознаграждения по бюджетным кредитам, выданным из местного бюджета юридическим лицам, за исключением специализированных организаций</t>
  </si>
  <si>
    <t>ГЧП</t>
  </si>
  <si>
    <t>054</t>
  </si>
  <si>
    <t>098</t>
  </si>
  <si>
    <t>Приобретение жилья коммунального жилищного фонда</t>
  </si>
  <si>
    <t>082</t>
  </si>
  <si>
    <t>Проведение медицинской организацией мероприятий, снижающих половое влечение, осуществляемые на основании решения суда</t>
  </si>
  <si>
    <t>042</t>
  </si>
  <si>
    <t>Высшее и послевузовское образование</t>
  </si>
  <si>
    <t>Подготовка специалистов с высшим, послевузовским образованием и оказание социальной поддержки обучающимся</t>
  </si>
  <si>
    <t>текущий</t>
  </si>
  <si>
    <t>разв мест</t>
  </si>
  <si>
    <t>Аппарат акима района в городе</t>
  </si>
  <si>
    <t>Возмещение владельцам стоимости обезвреженных (обеззараженных) и переработанных без изъятия животных, продукции и сырья животного происхождения, представляющих опасность для здоровья животных и человека</t>
  </si>
  <si>
    <t>Субсидирование стоимости пестицидов, биоагентов (энтомофагов), предназначенных для проведения обработки против вредных и особо опасных вредных организмов с численностью выше экономического порога вредоносности и карантинных объектов</t>
  </si>
  <si>
    <t>068</t>
  </si>
  <si>
    <t>Предоставление жилищных сертификатов как социальная помощь</t>
  </si>
  <si>
    <t>Услуги по обеспечению деятельности акима района в городе</t>
  </si>
  <si>
    <t>Проведение школьных олимпиад, внешкольных мероприятий и конкурсов масштаба города республиканского значения, столицы</t>
  </si>
  <si>
    <t>Обеспечение мониторинга и контроля работ общественного транспорта</t>
  </si>
  <si>
    <t>Субсидирование развития семеноводства</t>
  </si>
  <si>
    <t>Управление контроля и качества городской среды города республиканского значения, столицы</t>
  </si>
  <si>
    <t>337</t>
  </si>
  <si>
    <t>Управление внутренней политики и по делам молодежи города республиканского значения, столицы</t>
  </si>
  <si>
    <t>Управление жилья города республиканского значения, столицы</t>
  </si>
  <si>
    <t>Управление архитектуры, градостроительства и земельных отношений города республиканского значения, столицы</t>
  </si>
  <si>
    <t>344</t>
  </si>
  <si>
    <t>369</t>
  </si>
  <si>
    <t>Управление по делам религии города республиканского значения, столицы</t>
  </si>
  <si>
    <t>307</t>
  </si>
  <si>
    <t xml:space="preserve">307 </t>
  </si>
  <si>
    <t>Изъятие, в том числе путем выкупа, земельных участков для государственных надобностей и связанное с этим отчуждение недвижимого имущества</t>
  </si>
  <si>
    <t>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</si>
  <si>
    <t>360</t>
  </si>
  <si>
    <t>Услуги по реализации государственной политики в области религиозной деятельности на местном уровне</t>
  </si>
  <si>
    <t>Мобилизационная подготовка и мобилизация города республиканского значения, столицы</t>
  </si>
  <si>
    <t>Регулирование туристской деятельности</t>
  </si>
  <si>
    <t>За счет целевого трансферта из Национального фонда Республики Казахстан</t>
  </si>
  <si>
    <t xml:space="preserve">  За счет внутренних займов</t>
  </si>
  <si>
    <t>Поступления от выпуска государственных ценных бумаг, выпускаемых местными исполнительными органами городов республиканского значения, столицы для обращения на внутреннем рынке для финансирования дефицита бюджета города республиканского значения, столицы</t>
  </si>
  <si>
    <t>Благоустройство и озеленение города</t>
  </si>
  <si>
    <t>Водное хозяйство</t>
  </si>
  <si>
    <t>Кредитование АО "Фонд развития предпринимательства "Даму"</t>
  </si>
  <si>
    <t>0</t>
  </si>
  <si>
    <t>Реализация подушевого финансирования в государственных организациях среднего образования</t>
  </si>
  <si>
    <t>Подготовка территориальной обороны и территориальная оборона города республиканского значения, столицы</t>
  </si>
  <si>
    <t>Экспертиза и оценка документации по вопросам бюджетных инвестиций и государственно-частного партнерства, в том числе концессии</t>
  </si>
  <si>
    <t>Организация сохранения государственного жилищного фонда</t>
  </si>
  <si>
    <t>Управление развития комфортной городской среды города республиканского значения, столицы</t>
  </si>
  <si>
    <t>303</t>
  </si>
  <si>
    <t>309</t>
  </si>
  <si>
    <t>Управление энергетики и развития инфраструктуры города республиканского значения, столицы</t>
  </si>
  <si>
    <t>Услуги по реализации государственной политики на местном уровне в области энергетики и развития инфраструктуры</t>
  </si>
  <si>
    <t>Обучение участников избирательного процесса</t>
  </si>
  <si>
    <t>Дополнительные меры по социальной защите граждан в сфере занятости населения</t>
  </si>
  <si>
    <t>Услуги по распространению и внедрению инновационного опыта</t>
  </si>
  <si>
    <t>Обезвреживание пестицидов (ядохимикатов)</t>
  </si>
  <si>
    <t>2022</t>
  </si>
  <si>
    <t>Поликлиники</t>
  </si>
  <si>
    <t>Реализация мероприятий по социальной защите населения</t>
  </si>
  <si>
    <t>Организация эксплуатации сетей газификации, находящихся в коммунальной собственности города республиканского значения, столицы</t>
  </si>
  <si>
    <t>Регулирование земельных отношений</t>
  </si>
  <si>
    <t>Приобретение и доставка учебников, учебно-методических комплексов для государственных учреждений образования города республиканского значения, столицы</t>
  </si>
  <si>
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</si>
  <si>
    <t>Сбор за право занятия  отдельными видами деятельности (сбор за выдачу лицензий на занятие отдельными видами деятельности)</t>
  </si>
  <si>
    <t>Сбор за выдачу или продление разрешения на привлечение иностранной рабочей силы в Республику Казахстан</t>
  </si>
  <si>
    <t>Выплаты отдельным категориям граждан за жилище, арендуемое в частном жилищном фонде</t>
  </si>
  <si>
    <t>Погашение бюджетных кредитов, выданных из местного бюджета юридическим лицам, за исключением специализированных организаций</t>
  </si>
  <si>
    <t>21</t>
  </si>
  <si>
    <t>Плата за негативное воздействие на окружающую среду</t>
  </si>
  <si>
    <t>514</t>
  </si>
  <si>
    <t>Управление туризма, внешних связей и креативной индустрии города республиканского значения, столицы</t>
  </si>
  <si>
    <t>Услуги по реализации государственной политики на местном уровне в сфере туризма, внешних связей и креативной индустрии</t>
  </si>
  <si>
    <t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</t>
  </si>
  <si>
    <t>Предоставление специальных социальных услуг для лиц с инвалидностью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</si>
  <si>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</si>
  <si>
    <t>Социальная поддержка лиц с инвалидностью</t>
  </si>
  <si>
    <t>Дополнительные виды социальной помощи нуждающимся лицам с инвалидностью</t>
  </si>
  <si>
    <t>Обеспечение санаторно-курортного лечения лиц с инвалидностью и детей с инвалидностью в соответствии с индивидуальной программой реабилитации лица с инвалидностью</t>
  </si>
  <si>
    <t>Обеспечение лиц с инвалидностью техническими вспомогательными (компенсаторными) средствами и (или) специальными средствами передвижения в соответствии с индивидуальной программой реабилитации лица с инвалидностью</t>
  </si>
  <si>
    <t>Материальное обеспечение детей с инвалидностью, воспитывающихся и обучающихся на дому</t>
  </si>
  <si>
    <t>Обеспечение нуждающихся лиц с инвалидностью обязательными гигиеническими средствами, предоставление социальных услуг индивидуального помощника для лиц с инвалидностью первой группы, имеющих затруднение в передвижении, и специалиста жестового языка для лиц с инвалидностью по слуху в соответствии с индивидуальной программой реабилитации лица с инвалидностью</t>
  </si>
  <si>
    <t>074</t>
  </si>
  <si>
    <t>Субсидирование части затрат субъектов предпринимательства на содержание санитарно-гигиенических узлов</t>
  </si>
  <si>
    <t>Рыбное хозяйство</t>
  </si>
  <si>
    <t xml:space="preserve">Управление сельского хозяйства и ветеринарии города республиканского значения, столицы </t>
  </si>
  <si>
    <t>Cубсидирование повышения продуктивности и качества товарного рыбоводства</t>
  </si>
  <si>
    <t>060</t>
  </si>
  <si>
    <t>Временное содержание безнадзорных и бродячих животных</t>
  </si>
  <si>
    <t>Идентификация безнадзорных и бродячих животных</t>
  </si>
  <si>
    <t>062</t>
  </si>
  <si>
    <t>Вакцинация и стерилизация бродячих животных</t>
  </si>
  <si>
    <t>205</t>
  </si>
  <si>
    <t>Строительство объектов начального, основного среднего и общего среднего образования в рамках пилотного национального проекта «Комфортная школа»</t>
  </si>
  <si>
    <t>Бюджетное кредитование АО «Жилищный строительный сберегательный банк «Отбасы банк» для предоставления предварительных и промежуточных жилищных займов</t>
  </si>
  <si>
    <t>333</t>
  </si>
  <si>
    <t>063</t>
  </si>
  <si>
    <t>Предоставление бюджетных кредитов для содействия предпринимательской инициативе молодежи</t>
  </si>
  <si>
    <t>Субсидирование затрат работодателя на создание специальных рабочих мест для трудоустройства лиц с инвалидностью</t>
  </si>
  <si>
    <t>Предупреждение и ликвидация чрезвычайных ситуаций маcштаба города республиканского значения, столицы</t>
  </si>
  <si>
    <t>42</t>
  </si>
  <si>
    <t>Административные штрафы, пени, санкции, взыскания, налагаемые судебными исполнителями, судебными приставами и другими сотрудниками судов, уполномоченными председателем суда или председательствующим в заседании суда, за исключением поступлений от организаций нефтяного сектора и правонарушений в области налогообложения</t>
  </si>
  <si>
    <t>077</t>
  </si>
  <si>
    <t>Субсидирование возмещения расходов, понесенных национальной компанией в сфере агропромышленного комплекса при реализации продовольственного зерна для регулирующего воздействия на внутренний рынок</t>
  </si>
  <si>
    <t xml:space="preserve">Развитие объектов органов внутренних дел </t>
  </si>
  <si>
    <t>Сбор за проезд автотранспортных средств по территории Республики Казахстан</t>
  </si>
  <si>
    <t>Текущий ремонт автомобильных дорог улиц населенных пунктов</t>
  </si>
  <si>
    <t>Обеспечение прав и улучшение качества жизни лиц с инвалидностью в Республике Казахстан</t>
  </si>
  <si>
    <t>Реализация социально-значимых мероприятий местного значения в сфере культуры</t>
  </si>
  <si>
    <t>515</t>
  </si>
  <si>
    <t>Услуги по реализации государственной политики на местном уровне в сфере мобилизационной подготовки, территориальной и гражданской обороны</t>
  </si>
  <si>
    <t>064</t>
  </si>
  <si>
    <t>Обеспечение деятельности центров трудовой мобильности и карьерных центров по социальной поддержке граждан по вопросам занятости</t>
  </si>
  <si>
    <t>066</t>
  </si>
  <si>
    <t>Оплата услуг поверенному агенту по предоставлению бюджетных кредитов для содействия предпринимательской инициативе молодежи</t>
  </si>
  <si>
    <t>Субсидирование повышения урожайности и качества продукции растениеводства, удешевление стоимости горюче-смазочных материалов и других товарно-материальных ценностей, необходимых для проведения весенне-полевых и уборочных работ, путем субсидирования производства приоритетных культур</t>
  </si>
  <si>
    <t>092</t>
  </si>
  <si>
    <t>Кредитование инвестиционных проектов в агропромышленном комплексе</t>
  </si>
  <si>
    <t>Обеспечение функционирования зоопарков и дендропарков</t>
  </si>
  <si>
    <t>Закуп изделий и атрибутов ветеринарного назначения для проведения идентификации сельскохозяйственных животных</t>
  </si>
  <si>
    <t>052</t>
  </si>
  <si>
    <t xml:space="preserve">Поддержка субъектов предпринимательства </t>
  </si>
  <si>
    <t xml:space="preserve">Субсидирование процентной ставки по кредитам субъектов предпринимательства </t>
  </si>
  <si>
    <t xml:space="preserve">Частичное гарантирование кредитов субъектов предпринимательства </t>
  </si>
  <si>
    <t xml:space="preserve">Предоставление государственных грантов субъектам предпринимательства для реализации бизнес-идей </t>
  </si>
  <si>
    <t xml:space="preserve">Развитие индустриальной инфраструктуры в рамках мер государственной поддержки субъектов предпринимательства </t>
  </si>
  <si>
    <t>Вознаграждения по бюджетным кредитам, выданным из местного бюджета физическим лицам</t>
  </si>
  <si>
    <t>Погашение бюджетных кредитов, выданных из местного бюджета физическим лицам</t>
  </si>
  <si>
    <t>Приобретение имущества в коммунальную собственность</t>
  </si>
  <si>
    <t>Поступления от выпуска государственных ценных бумаг, выпускаемых местными исполнительными органами областей, города республиканского значения, столицы для обращения на внутреннем рынке для финансирования строительства и (или) приобретения, выкупа жилья и (или) квартир в объектах долевого участия в жилищном строительстве, а также для финансирования строительства и реконструкции канализационных очистных сооружений в рамках реализации государственных программ, концепций развития отрасли (сферы), национальных проектов</t>
  </si>
  <si>
    <t>Учет, хранение, оценка и реализация имущества, поступившего в коммунальную собственность</t>
  </si>
  <si>
    <t>Услуги по реализации государственной политики в области планирования, исполнения местного бюджета и управления коммунальной собственностью</t>
  </si>
  <si>
    <t>Услуги по реализации государственной политики в сфере государственного архитектурно-строительного контроля на местном уровне</t>
  </si>
  <si>
    <t>Оказание дополнительного объема медицинской помощи субъектами здравоохранения, оказание услуг Call-центрами и прочие расходы</t>
  </si>
  <si>
    <t>351</t>
  </si>
  <si>
    <t>Управление земельных отношений города республиканского значения, столицы</t>
  </si>
  <si>
    <t>365</t>
  </si>
  <si>
    <t>Управление архитектуры и градостроительства города республиканского значения, столицы</t>
  </si>
  <si>
    <t>Услуги по реализации государственной политики в области регулирования земельных отношений на территории города республиканского значения, столицы</t>
  </si>
  <si>
    <t>Услуги по реализации государственной политики в сфере архитектуры и градостроительства на местном уровне</t>
  </si>
  <si>
    <t>Функциональная группа</t>
  </si>
  <si>
    <t>2026 год</t>
  </si>
  <si>
    <t>2027 год</t>
  </si>
  <si>
    <t xml:space="preserve">Функциональная подгруппа                    </t>
  </si>
  <si>
    <t>Всего</t>
  </si>
  <si>
    <t>Представительные, исполнительные и другие органы, выполняющие общие функции государственного управления</t>
  </si>
  <si>
    <t>Абайский район</t>
  </si>
  <si>
    <t>Аль-Фарабийский район</t>
  </si>
  <si>
    <t>Енбекшинский район</t>
  </si>
  <si>
    <t>Каратауский район</t>
  </si>
  <si>
    <t>Туранский район</t>
  </si>
  <si>
    <t>Район Туран</t>
  </si>
  <si>
    <t>Проведение мероприятий в области защиты прав детей</t>
  </si>
  <si>
    <t>204</t>
  </si>
  <si>
    <t xml:space="preserve"> Размещение государственного образовательного заказа в частных организациях среднего образования</t>
  </si>
  <si>
    <t>381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</si>
  <si>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</si>
  <si>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Плата за размещение наружной (визуальной) рекламы на открытом пространстве за пределами помещений в городе республиканского значения, столице, в полосе отвода автомобильных дорог общего пользования, проходящих через территории города республиканского значения, столицы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</si>
  <si>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</si>
  <si>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Специальные поступления</t>
  </si>
  <si>
    <t>8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</si>
  <si>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</si>
  <si>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17</t>
  </si>
  <si>
    <t>Плата за цифровой майнинг</t>
  </si>
  <si>
    <t>Сбор за выдачу разрешения на использование радиочастотного спектра телевизионным и радиовещательным организациям</t>
  </si>
  <si>
    <t>362</t>
  </si>
  <si>
    <t>Управление внутренней политики города республиканского значения, столицы</t>
  </si>
  <si>
    <t>Прочие услуги по организации культуры, спорта, туризма и информационного пространства</t>
  </si>
  <si>
    <t>302</t>
  </si>
  <si>
    <t>Управление молодежной политики города республиканского значения, столицы</t>
  </si>
  <si>
    <t>Услуги по реализации государственной молодежной политики на местном уровне</t>
  </si>
  <si>
    <t xml:space="preserve">Услуги по реализации государственной, внутренней политики на местном уровне </t>
  </si>
  <si>
    <t>Присуждение грантов государственным учреждениям образования города республиканского значения, столицы за высокие показатели работы</t>
  </si>
  <si>
    <t>энергетика</t>
  </si>
  <si>
    <t>строительство</t>
  </si>
  <si>
    <t>транспорт</t>
  </si>
  <si>
    <t>2028 год</t>
  </si>
  <si>
    <t>Бюджет города Шымкент на 2026 год</t>
  </si>
  <si>
    <t>Отчисления недропользователей на социально-экономическое развитие региона, развитие его инфраструктуры</t>
  </si>
  <si>
    <t>Управление мобилизационной подготовке, территориальной и гражданской обороне города республиканского значения, столицы</t>
  </si>
  <si>
    <t>Бюджетные программы районов в городе на 2026-2028 годы</t>
  </si>
  <si>
    <t>522</t>
  </si>
  <si>
    <t xml:space="preserve">Исполнительный орган уголовно-исполнительной (пенитенциарной) системы, финансируемый из бюджета города республиканского значения, столицы </t>
  </si>
  <si>
    <t>Услуги по реализации государственной политики в области обеспечения исполнения уголовных наказаний без изоляции от общества</t>
  </si>
  <si>
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</si>
  <si>
    <t>076</t>
  </si>
  <si>
    <t>Предоставление специальных социальных услуг в условиях полустационара в области социальной защиты</t>
  </si>
  <si>
    <t>Оказание услуг для детей с инвалидностью с психоневрологическими патологиями</t>
  </si>
  <si>
    <t>112</t>
  </si>
  <si>
    <t>Оказание услуг для детей с инвалидностью с нарушениями опорно-двигательного аппарата</t>
  </si>
  <si>
    <t xml:space="preserve"> Предоставление специальных социальных услуг в условиях оказания услуг на дому в области социальной защиты</t>
  </si>
  <si>
    <t>Организация работ по зонированию земель</t>
  </si>
  <si>
    <t>Воздушный транспорт</t>
  </si>
  <si>
    <t>348</t>
  </si>
  <si>
    <t>051</t>
  </si>
  <si>
    <t>Развитие инфраструктуры воздушного транспорта</t>
  </si>
  <si>
    <t>Целевые текущие трансферты областным бюджетам, бюджетам городов республиканского значения, столицы в случаях возникновения чрезвычайных ситуаций природного и техногенного характера, угрожающих политической, экономической и социальной стабильности административно-территориальной единицы, жизни и здоровью людей, проведения мероприятий общереспубликанского либо международного значения, а также в целях развития агломераций по ходатайству акимов областей, городов республиканского значения, столицы, а также по поручению Президента Республики Казахстан</t>
  </si>
  <si>
    <t>Капитальный ремонт объектов социальной помощи и социального обеспечения</t>
  </si>
  <si>
    <t>природа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</si>
  <si>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</si>
  <si>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</si>
  <si>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Исполнительская санкция</t>
  </si>
  <si>
    <t>Прочие штрафы, пени, санкции, взыскания, налагаемые государственными учреждениями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</si>
  <si>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</si>
  <si>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Административные штрафы, пени, санкции, взыскания, налагаемые Министерством здравоохранения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</si>
  <si>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Министерством просвещения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</si>
  <si>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Министерством сельского хозяйства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</si>
  <si>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 xml:space="preserve"> Административные штрафы, пени, санкции, взыскания, налагаемые Министерством труда и социальной защиты населения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</si>
  <si>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Министерством внутренних дел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</si>
  <si>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Министерством по чрезвычайным ситуациям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</si>
  <si>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Министерством юстиции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</si>
  <si>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Национальным Банком Республики Казахстан, за исключением поступлений от организаций нефтяного сектора</t>
  </si>
  <si>
    <t>47</t>
  </si>
  <si>
    <t>Административные штрафы, пени, санкции, взыскания, налагаемые Комитетом национальной безопасности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</si>
  <si>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Комитетом внутреннего государственного аудита Министерства финансов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</si>
  <si>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53</t>
  </si>
  <si>
    <t>Административные штрафы, пени, санкции, взыскания, налагаемые государственными учреждениями, за исключением поступлений от организаций нефтяного сектора и во внебюджетные фонды, формируемые за счет неналоговых платежей</t>
  </si>
  <si>
    <t>Административные штрафы, пени, санкции, взыскания, налагаемые Министерством национальной экономики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</si>
  <si>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Министерством энергетики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</si>
  <si>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Комитетом государственных доходов Министерства финансов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</si>
  <si>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Агентством Республики Казахстан по делам государственной службы, его территориальными органами финансируемые из республиканского бюджета, за исключением поступлений от организаций нефтяного сектора</t>
  </si>
  <si>
    <t>65</t>
  </si>
  <si>
    <t>Штрафы, назначенные за совершение уголовных правонарушений по приговорам судов</t>
  </si>
  <si>
    <t>69</t>
  </si>
  <si>
    <t>Административные штрафы, пени, санкции, взыскания, налагаемые Министерством искусственного интеллекта и цифрового развития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</si>
  <si>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Министерством торговли и интеграции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</si>
  <si>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Министерством экологии и природных ресурсов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</si>
  <si>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Агентством Республики Казахстан по регулированию и развитию финансового рынка, за исключением поступлений от организаций нефтяного сектора</t>
  </si>
  <si>
    <t>Административные штрафы, пени, санкции, взыскания, налагаемые Агентством по стратегическому планированию и реформам Республики Казахстан, его территориальными органами финансируемыми из республиканского бюджета, за исключением поступлений от организаций нефтяного сектора</t>
  </si>
  <si>
    <t>Административные штрафы, пени, санкции, взыскания, налагаемые Генеральной прокуратурой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</si>
  <si>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78</t>
  </si>
  <si>
    <t>Денежные взыскания, наложенные судом в рамках административного судопроизводства</t>
  </si>
  <si>
    <t>Административные штрафы, пени, санкции, взыскания, налагаемые Министерством транспорта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</si>
  <si>
    <t>Прочие неналоговые поступления</t>
  </si>
  <si>
    <t>Возврат неиспользованных средств, ранее полученных из местного бюджета</t>
  </si>
  <si>
    <t>Другие неналоговые поступления в местный бюджет, за исключением поступлений в Специальный государственный фонд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</si>
  <si>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</si>
  <si>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</si>
  <si>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продажи гражданам квартир</t>
  </si>
  <si>
    <t>Поступления от приватизации жилищ из государственного жилищного фонда</t>
  </si>
  <si>
    <t>Строительство и реконструкция объектов дошкольного воспитания и обучения</t>
  </si>
  <si>
    <t>376</t>
  </si>
  <si>
    <t>Управление по защите прав детей города республиканского значения, столицы</t>
  </si>
  <si>
    <t>Услуги по реализации государственной политики в области защиты прав детей на местном уровне</t>
  </si>
  <si>
    <t>Разработка генеральных планов застройки населенных пунктов</t>
  </si>
  <si>
    <t>107</t>
  </si>
  <si>
    <t>Проведение мероприятий за счет резерва местного исполнительного органа на неотложные затраты</t>
  </si>
  <si>
    <t>Проведение мероприятий за счет чрезвычайного резерва местного исполнительного органа для ликвидации чрезвычайных ситуаций социального, природного и техногенного характера</t>
  </si>
  <si>
    <t>Перечень инвестиционных проектов (программ) направленных на реализацию программ развития бюджета города на 2026-2028 годы</t>
  </si>
  <si>
    <t>Подгруппа</t>
  </si>
  <si>
    <t>Администратор бюджетной программы</t>
  </si>
  <si>
    <t>2026 жыл</t>
  </si>
  <si>
    <t>"+"</t>
  </si>
  <si>
    <t>"-"</t>
  </si>
  <si>
    <t>Инвестиционные проекты</t>
  </si>
  <si>
    <t xml:space="preserve">«Реконструкция административного здания расположенного по адресу: г. Шымкент, ул. Майлы Кожа №5» </t>
  </si>
  <si>
    <t>Строительство здания, расположенного по адресу город Шымкент, район Аль-Фараби, улица Байтурсынова, 7А" (КНБ)</t>
  </si>
  <si>
    <t>Строительство административного здания, расположенного по улице Шалкарколь, микрорайон Жидели, город Шымкент" (КНБ арыстан)</t>
  </si>
  <si>
    <t>Т.Рысқулов көшесі №139Б мекен жайында орналасқан ғимарат құрылысы (СОБР)</t>
  </si>
  <si>
    <t>Разработка и проведение экспертизы проектно-сметной документации</t>
  </si>
  <si>
    <t>Разработка ПСД "Строительство пристройки к административному зданию расположенного по улице Майлы-кожа №5 города Шымкент"</t>
  </si>
  <si>
    <t xml:space="preserve">Разработка ПСД "Строительство административного здания, расположенного по улице Шалкарколь, микрорайон Жидели, город Шымкент" </t>
  </si>
  <si>
    <t>Проведение государственной экспертизы проектно-сметной документации</t>
  </si>
  <si>
    <t>Строительство гараж-стоянки с административным зданием в микрорайоне Бозарык-3, города Шымкент</t>
  </si>
  <si>
    <t>Строительство гараж-стоянки с административным зданием в микрорайоне Жанаталап, города Шымкент</t>
  </si>
  <si>
    <t>Строительство комплекса пожарного депо на 4 автомобиля в мкр. Туран г.Шымкент</t>
  </si>
  <si>
    <t>Строительство комплекса оперативно-спасательного отряда в дачном массиве Кайнар булак г. Шымкент</t>
  </si>
  <si>
    <t>Строительство пожарного депо в микрорайоне Шымсити, город Шымкент</t>
  </si>
  <si>
    <t>Строительство пожарного депо в микрорайоне Базаркакпа, город Шымкент</t>
  </si>
  <si>
    <t>Строительство пожарного депо в микрорайоне Акжар, город Шымкент</t>
  </si>
  <si>
    <t>Строительство пожарного депо в микрорайоне Ынтымақ, город Шымкент</t>
  </si>
  <si>
    <t>Строительство пожарного депо в микрорайоне Кайнар булак, город Шымкент</t>
  </si>
  <si>
    <t>Обеспечение инфраструктурой бригады территориальной обороны города Шымкент. Строительство модульного городка на территории учебного центра Актас</t>
  </si>
  <si>
    <t>Строительство корпуса для центра управления (Центр оперативного управления)</t>
  </si>
  <si>
    <t>Строительство административного здания, расположенного в микрорайоне Туран-2, г.Шымкент</t>
  </si>
  <si>
    <t>Рекоснтрукция административного здания, расположенное по адресу Желтоксан №13 в г.Шымкент</t>
  </si>
  <si>
    <t>Разработка ПСД "Строительство административного здания, расположенного в микрорайоне Туран-2, г.Шымкент"</t>
  </si>
  <si>
    <t>Строительство дополнительного корпуса к общеобразовательной средней школе №16 микрорайоне Жайлау город Шымкент</t>
  </si>
  <si>
    <t>Строительство дополнительного корпуса к общеобразовательной средней школе №19 им.У.Жанибеков, по улице Т.Алимкулова, г.Шымкент</t>
  </si>
  <si>
    <t>Строительство дополнительного корпуса на 150 мест к общеобразовательной школе «Текесу» №121 жилом районе Текесу, города Шымкент</t>
  </si>
  <si>
    <t>Строительство дополнительного корпуса к средней школе "№66 Казыгурт" в мкр. Казыгурт, г.Шымкент</t>
  </si>
  <si>
    <t>Строительство дополнительного корпуса к общеобразовательной школе №82 имени Кенесары Касымулы в мкр. Игилик, г.Шымкент</t>
  </si>
  <si>
    <t>Строительство дополнительного корпуса на 300 мест к средней школе №122 в микрорайоне Акжар города Шымкент</t>
  </si>
  <si>
    <t>Реконструкция здания котельной КГУ «Общеобразовательная средняя школа №91» управления образования города Шымкент»  переход с твердого топлива на газ распложенного по адресу: город Шымкент, Каратауский район, жилой массив Сайрам, ул. О.Жамалова, здание 24/2</t>
  </si>
  <si>
    <t xml:space="preserve">Строительство дополнительного корпуса на 300 мест к школе №53 в мкр. Коммунизм, г.Шымкент </t>
  </si>
  <si>
    <t>Строительство дополнительного корпуса на 300 мест к школе-гимназии №25 им. Т.Рыскулова в мкр.Куншыгыс, г. Шымкент</t>
  </si>
  <si>
    <t>Строительство дополнительного корпуса на 300 мест к средней школе №68 в микрорайоне Азат, г.Шымкент</t>
  </si>
  <si>
    <t>Строительство дополнительного корпуса на 300 мест школы №116 в микрорайоне Тассай города Шымкент</t>
  </si>
  <si>
    <t>Строительство дополнительного корпуса на 300 мест к школе-лицею №41 имени А.Макаренко, микрорайоне 18 в городе Шымкент</t>
  </si>
  <si>
    <t>Строительство учебного корпуса на 400 мест и общежития для Шымкентского городского лицея-интерната №2 "Білім-инновация" для девочек</t>
  </si>
  <si>
    <t>Строительство и реконструкция дополнительного корпуса на 350 мест летнего оздоровительного лагеря "Ақсу" (Туркестанская область, Сайрамский район)</t>
  </si>
  <si>
    <t xml:space="preserve">Строительство школы на 600 мест в микрорайоне Самал-3 </t>
  </si>
  <si>
    <t>Строительство школы на 2000 мест в микрорайоне Туран</t>
  </si>
  <si>
    <t>Строительство дополнительного актового зала к средней общеобразовательной школе №79 расположенной в мкр. Туран, г. Шымкент</t>
  </si>
  <si>
    <t>Строительство дополнительного актового зала на 250 мест к средней общеобразовательной школе №134 расположенной в мкр. Шанырак, г. Шымкент</t>
  </si>
  <si>
    <t>Строительство школы на 1200 мест в микрорайоне Агроферма Кара-су</t>
  </si>
  <si>
    <t>Строительство школы на 1200 мест в микрорайоне Жанаталап</t>
  </si>
  <si>
    <t>Строительство дополнительного здания на 200 мест к средней школе «№126 Айнатас» в жилом районе Айнатас города Шымкент</t>
  </si>
  <si>
    <t>Строительство дополнительного здания к общеобразовательной средней школе №96 имени М. Ауэзова, расположенной в Енбекшинском районе города Шымкент</t>
  </si>
  <si>
    <t>Разработка проектно-сметной документации "строительство дополнительного здания на 200 мест к средней школе «№126 Айнатас» в жилом районе Айнатас города Шымкента"</t>
  </si>
  <si>
    <t>Разработка проектно-сметной документации "Строительство дополнительного здания к общеобразовательной средней школе №96 имени М. Ауэзова, расположенной в Енбекшинском районе города Шымкента"</t>
  </si>
  <si>
    <t>«Реконструкция с расширением зданий городского диагностического центра в г. Шымкент, район Туран, ул. А. Байтурсынова, зд. 68А»</t>
  </si>
  <si>
    <t>Строительство перинатального центра на 200 коек в микроарйоне Акжайык города Шымкент</t>
  </si>
  <si>
    <t>Строительство городской поликлиники на 500 посещений в Абайском районе г.Шымкент (под ключ)</t>
  </si>
  <si>
    <t>Строительство дополнительного корпуса городской больницы №2, расположенной по адресу: город Шымкент, Аль-Фарабийский район, улица Жандосова №92 (под ключ)</t>
  </si>
  <si>
    <t>Строительство поликлиники в микрорайоне Туран</t>
  </si>
  <si>
    <t xml:space="preserve">Строительства пристройки к зданию по адресу ул.Мауели №9 города Шымкент </t>
  </si>
  <si>
    <t>Строительство пристроики к Городскому перинатальному центру в микрорайоне Нурсат, город Шымкент</t>
  </si>
  <si>
    <t>Строительство здания ГККП Реабилитационный Центр Мейірім на 100 мест в городе Шымкент</t>
  </si>
  <si>
    <t>Реконструкция и расширение здания Городского онкологического центра</t>
  </si>
  <si>
    <t>Строительство корпуса родильного дома на 200 койко-мест на территории ГКП на ПХВ "Городская родильного дома" в г.Шымкент</t>
  </si>
  <si>
    <t>Разработка ПСД "Строительство пристроики к Городскому перинатальному центру в микрорайоне Нурсат, город Шымкент"</t>
  </si>
  <si>
    <t>Разработка ПСД "Строительства пристройки к зданию по адресу ул.Мауели №9 города Шымкент"</t>
  </si>
  <si>
    <t>Строительство нового здания городской детской больницы на 200 мест в микрорайоне Казыгурт, города Шымкента</t>
  </si>
  <si>
    <t>Строительство многопрофильной больницы на 250 коек с онкологическим центром и поликлиникой</t>
  </si>
  <si>
    <t xml:space="preserve">Строительство центра реабилитации инвалидов на 150 мест в г. Шымкент (привязка) </t>
  </si>
  <si>
    <t xml:space="preserve">Строительство дополнительного здания на 50 мест для людей с ограниченными возможностями на территории КГУ «Центр оказания специальных услуг №1 управления занятости и социальной защиты г. Шымкент» в городе Шымкент </t>
  </si>
  <si>
    <t>Центр социального обслуживания в Енбекшиском районе</t>
  </si>
  <si>
    <t>«Реконструкция зданий КГУ “Центр социальной адаптации лиц, оказавшихся в трудной жизненной ситуации” Управления занятости и социальной защиты города Шымкент»</t>
  </si>
  <si>
    <t>Разработка проектно-сметной документации по рабочему проекту «Реконструкция зданий КГУ “Центр социальной адаптации лиц, оказавшихся в трудной жизненной ситуации” Управления занятости и социальной защиты города Шымкент»</t>
  </si>
  <si>
    <t>Строительство инженерно-коммуникационной инфраструктуры в микрорайоне "Туран" города Шымкент Южно-Казахстанской области (улица №1)". Корректировка</t>
  </si>
  <si>
    <t>Строительство инженерно-коммуникационной инфраструктуры в микрорайоне "Туран" города Шымкент Южно-Казахстанской области (улица №5, ПК 0+00 – ПК 23+31)». Корректировка</t>
  </si>
  <si>
    <t>Строительство инженерно-коммуникационной инфраструктуры в микрорайоне «Туран» города Шымкент Южно-Казахстанской области (улица №7). Корректировка</t>
  </si>
  <si>
    <t>Строительство инженерно-коммуникационной инфраструктуры в микрорайоне «Туран» города Шымкент Южно-Казахстанской области (улица №10 ПК0+00-ПК34+60). Корректировка</t>
  </si>
  <si>
    <t>Строительство инженерно-коммуникационной инфраструктуры в микрорайоне Туран» города Шымкент (улица №11, ПК 0+00 – ПК 32+73.5). Корректировка сметной документации</t>
  </si>
  <si>
    <t xml:space="preserve">Строительство инженерной инфраструктуры школы на 1200 мест в микрорайоне ЖанаТурлан Абайского района города Шымкент. Корректировка </t>
  </si>
  <si>
    <t>Строительство систем инженерной инфраструктуры земельных участков и жилых домов у станции Казыгурт и жилого массива Оңтүстік Жаңақұрылыс города Шымкент</t>
  </si>
  <si>
    <t>Строительство системы инженерной инфраструктуры (водоснабжение, электроснабжение, газоснабжение) на територии Новостройки в мкр.Таскен  города Шымкент</t>
  </si>
  <si>
    <t>Строительство системы инженерной инфраструктуры населенного пункта Гидрогелог города Шымкент (водоснабжение, электроснабжение, газоснабжение)</t>
  </si>
  <si>
    <t>Строительство инженерных инфраструктурных систем (водоснабжение, электроснабжение, газоснабжение) на территории новой застройки микрорайона Азат города Шымкент</t>
  </si>
  <si>
    <t>Строительство инженерных инфраструктурных систем (водоснабжение, электроснабжение, газоснабжение) на территории новой застройки микрорайона Жидели города Шымкент</t>
  </si>
  <si>
    <t>Разработка ПСД "Строительство систем инженерной инфраструктуры на територии Новостройки населенного пункта Курсай города Шымкент (электроснабжение и газоснабжение)"</t>
  </si>
  <si>
    <t>Разработка ПСД "Строительство систем инженерной инфраструктуры земельных участков и жилых домов у станции Казыгурт и жилого массива Оңтүстік Жаңақұрылыс города Шымкент"</t>
  </si>
  <si>
    <t>Строительство многоэтажных жилых домов в микрорайоне Бозарык г.Шымкент. (Сборно-каркасные девятиэтажыне жилые дома №13, 14, 15, 16. Без наружных инженерных сетей). Повторное применение</t>
  </si>
  <si>
    <t xml:space="preserve">Строительство 5-ти этажного жилого дома №50, 51 в микрорайоне Бозарык, Абайский район, город Шымкент </t>
  </si>
  <si>
    <t xml:space="preserve">Строительство 5-ти этажного жилого дома №52, 53 в микрорайоне Бозарык, Абайский район, город Шымкент </t>
  </si>
  <si>
    <t xml:space="preserve">Строительство 5-ти этажного жилого дома №54, 55 в микрорайоне Бозарык, Абайский район, город Шымкент </t>
  </si>
  <si>
    <t xml:space="preserve">Строительство 5-ти этажного жилого дома №56, 57 в микрорайоне Бозарык, Абайский район, город Шымкент </t>
  </si>
  <si>
    <t xml:space="preserve">Строительство 5-ти этажного жилого дома №58, 59 в микрорайоне Бозарык, Абайский район, город Шымкент </t>
  </si>
  <si>
    <t xml:space="preserve">Строительство 5-ти этажного жилого дома №60, 61 в микрорайоне Бозарык, Абайский район, город Шымкент </t>
  </si>
  <si>
    <t xml:space="preserve">Строительство 5-ти этажного жилого дома №62, 63 в микрорайоне Бозарык, Абайский район, город Шымкент </t>
  </si>
  <si>
    <t xml:space="preserve">Строительство 5-ти этажного жилого дома №64, 65 в микрорайоне Бозарык, Абайский район, город Шымкент </t>
  </si>
  <si>
    <t>Строительство 9-ти этажных жилых домов расположенного в 23 квартале в микрорайоне «Туран» в городе Шымкент (без наружных инженерных сетей) 6-очередь (№11-12 дом)</t>
  </si>
  <si>
    <t>Строительство 9-ти этажных жилых домов расположенного в 23 квартале в микрорайоне «Туран» в городе Шымкент (без наружных инженерных сетей) 7-очередь (№13 дом)</t>
  </si>
  <si>
    <t>Строительство 9-ти этажных жилых домов в микрорайоне «Акжайык» города Шымкент. Дом № 1, 2 (без наружных инженерных сетей) (повторное применение)</t>
  </si>
  <si>
    <t>Строительство 9-ти этажных жилых домов в микрорайоне «Акжайык» города Шымкент. Дом № 3, 4 (без наружных инженерных сетей) (повторное применение)</t>
  </si>
  <si>
    <t xml:space="preserve">Строительство 5-ти этажного жилого дома №66, 67 в микрорайоне Бозарык, Абайский район, город Шымкент </t>
  </si>
  <si>
    <t xml:space="preserve">Строительство 5-ти этажного жилого дома №68, 69 в микрорайоне Бозарык, Абайский район, город Шымкент </t>
  </si>
  <si>
    <t xml:space="preserve">Строительство 5-ти этажного жилого дома №70, 71 в микрорайоне Бозарык, Абайский район, город Шымкент </t>
  </si>
  <si>
    <t xml:space="preserve">Строительство 5-ти этажного жилого дома №72, 73 в микрорайоне Бозарык, Абайский район, город Шымкент </t>
  </si>
  <si>
    <t xml:space="preserve">Строительство 5-ти этажного жилого дома №74, 75 в микрорайоне Бозарык, Абайский район, город Шымкент </t>
  </si>
  <si>
    <t xml:space="preserve">Строительство 5-ти этажного жилого дома №76, 77 в микрорайоне Бозарык, Абайский район, город Шымкент </t>
  </si>
  <si>
    <t xml:space="preserve">Строительство 5-ти этажного жилого дома №78, 79 в микрорайоне Бозарык, Абайский район, город Шымкент </t>
  </si>
  <si>
    <t>Строительство многоэтажных жилых домов и систем инженерной инфраструктуры на земельном участке площадью 9,8750 га, уч. 435, микрорайон Туран, Каратауский район, г. Шымкент (без наружных инженерных сетей и благоустройства) (1-я очередь)</t>
  </si>
  <si>
    <t xml:space="preserve">Строительство 5-ти этажных жилых домов, расположенных в 23 квартале микрорайона "Туран" в городе Шымкент. 9 очередь №17, 18, 19, 20, 21, 22, 23, 24, 25 (без наружных инженерных сетей) </t>
  </si>
  <si>
    <t>Строительство многоквартирных жилых домов (49 квартир) в кварталах 18 и 19 микрорайона Туран города Шымкент</t>
  </si>
  <si>
    <t>Строительство 61 жилого дома в кварталах 14 и 15 микрорайона Туран</t>
  </si>
  <si>
    <t>Строительство 15 жилых домов в кварталах 20 и 24 микрорайона Туран</t>
  </si>
  <si>
    <t xml:space="preserve">Строительство 5-этажных жилых домов в микрорайоне Бозарық города Шымкент (10 очередь) </t>
  </si>
  <si>
    <t>Строительство 5-этажных жилых домов в микрорайоне Бозарық города Шымкент (11 очередь)</t>
  </si>
  <si>
    <t xml:space="preserve">Строительство 5-этажных жилых домов в микрорайоне Бозарық города Шымкент (12 очередь) </t>
  </si>
  <si>
    <t xml:space="preserve">Строительство 5-этажных жилых домов в микрорайоне Бозарық города Шымкент (13 очередь) </t>
  </si>
  <si>
    <t>За счет внутренних займов</t>
  </si>
  <si>
    <t xml:space="preserve">Строительство инженерной инфраструктуры многоэтажных жилых домов в г. Шымкент, микрорайон Туран, квартал 23 </t>
  </si>
  <si>
    <t xml:space="preserve">Строительство системы наружной инженерной-инфраструктуры для 5-ти этажных жилых домов микрорайоне Бозарык, город Шымкент (5-ая очередь) </t>
  </si>
  <si>
    <t xml:space="preserve">Строительство системы наружной инженерной-инфраструктуры для 5-ти этажных жилых домов микрорайоне Бозарык, город Шымкент (8-ая очередь) </t>
  </si>
  <si>
    <t>Строительство инженерно-коммуникационной инфраструктуры (сетей электроснабжения) микрорайона Туран</t>
  </si>
  <si>
    <t>Инженерные системы жилых домов 18,19 кварталов микрорайона Туран (1-я очередь)</t>
  </si>
  <si>
    <t>Инженерные системы жилых домов 14 и 15 кварталов микрорайона «Туран» (2-я очередь)</t>
  </si>
  <si>
    <t>Строительство инженерных коммуникационных систем для многоквартирных жилых домов в микрорайоне Бозарық (очереди 9, 10, 11, 12, 13)</t>
  </si>
  <si>
    <t>Строительство подводящей газовой системы к многоквартирным жилым домам в микрорайоне Бозарык города Шымкента (закольцовка газопроводов (кольцевое соединение))</t>
  </si>
  <si>
    <t>Строительство подводящей газовой системы к многоквартирным жилым домам в 14, 15, 18, 19, 20, 23 и 24 кварталах микрорайона Туран города Шымкента (закольцовка газопроводов  (кольцевое соединение))</t>
  </si>
  <si>
    <t>Разработка проектно-сметной документации "Строительство подводящей газовой системы к многоквартирным жилым домам в микрорайоне Бозарык города Шымкента (закольцовка газопроводов (кольцевое соединение))"</t>
  </si>
  <si>
    <t>Разработка проектно-сметной документации "Строительство подводящей газовой системы к многоквартирным жилым домам в 14, 15, 18, 19, 20, 23 и 24 кварталах микрорайона Туран города Шымкента (закольцовка газопроводов  (кольцевое соединение))"</t>
  </si>
  <si>
    <t>Разработка проектно-сметной документации по проекту «Строительство ямы Беккари с кадастровым номером №22-336-068-039 в микрорайоне Актас, района Туран города Шымкента»</t>
  </si>
  <si>
    <t>Разработка проектно-сметной документации по проекту «Строительство ямы Беккари с кадастровым номером №22-336-068-040 в микрорайоне Актас, района Туран города Шымкента»</t>
  </si>
  <si>
    <t>Разработка проектно-сметной документации по проекту «Строительство ямы Беккари с кадастровым номером №22-336-068-041 в микрорайоне Актас, района Туран города Шымкента»</t>
  </si>
  <si>
    <t>Разработка проектно-сметной документации по проекту «Строительство ямы Беккари с кадастровым номером №22-336-068-042 в микрорайоне Актас, района Туран города Шымкента»</t>
  </si>
  <si>
    <t>Разработка проектно-сметной документации по проекту «Строительство ямы Беккари с кадастровым номером №22-336-068-051 в микрорайоне Актас, района Туран города Шымкента»</t>
  </si>
  <si>
    <t>Реконструкция парков 4,89 га и 2,34 га Аль-Фарабийском районе города Шымкента (под ключ)</t>
  </si>
  <si>
    <t>Строительство систем инженерной инфраструктуры на территории Новостройки населенного пункта Курсай города Шымкент (электроснабжение и газоснабжение). Электроснабжение</t>
  </si>
  <si>
    <t>Строительство электрических сетей в жилого массива Сайрам города Шымкент</t>
  </si>
  <si>
    <t>Строительство инженерной-коммуникационной инфраструктуры мкр Туран Северо-восточной части г.Шымкент (1-очередь, КЛ-10кВ от ПС «Астана-2» 110/10кВ до Распределительных Пунктов (РП) -10кВ (№1,2,3,4,5,6,7,8,9,10). (Корректировка)</t>
  </si>
  <si>
    <t>Строительство линий электропередач в жилом массиве Кайнарбулак в городе Шымкент (2-очередь)</t>
  </si>
  <si>
    <t>Строительство электроснабжение 275 квартал(мкр.Сауле Новостройка) города Шымкент</t>
  </si>
  <si>
    <t>Водоснабжение</t>
  </si>
  <si>
    <t>Строительство водопроводных сетей во дворах квартала 275 города Шымкент (2-я очередь)</t>
  </si>
  <si>
    <t>Строительство водопроводных сетей и канализационного коллектора вдоль улицы Төлеметов в Шымкенте. Водоснабжение. 2-я очередь (ЖК BI Group)</t>
  </si>
  <si>
    <t>Строительство систем водоснабжения в жилом массиве Исфиджаб города Шымкент</t>
  </si>
  <si>
    <t>Реконструкция водоканала «ВС1» в районе Бадам-195 г. Шымкент</t>
  </si>
  <si>
    <t>Строительство системы питьевого водоснабжения на территории новостройки жилого массива «Онтустик» города Шымкент</t>
  </si>
  <si>
    <t>Водоотведение</t>
  </si>
  <si>
    <t>Строительство канализационных сетей в микрорайонах Мирас, Шапагат-2 г. Шымкент. Корректировка</t>
  </si>
  <si>
    <t>Строительство водопроводных сооружений "ШымСити" с водоводом до ул.Толеметова и канализационного коллектора по ул.Толеметова до трассы Алматы-Ташкент (А2) г.Шымкент Водоотведение. 1-я очередь</t>
  </si>
  <si>
    <t>Строительство канализационных сетей в мкр. Айкап-Туркестан, города Шымкент</t>
  </si>
  <si>
    <t>Строительство канализационных сетей в микрорайоне Асар-2 города Шымкент</t>
  </si>
  <si>
    <t>Строительство канализационных сетей в жилом массиве Базаркакпа в г. Шымкент</t>
  </si>
  <si>
    <t>Строительство канализационной системы по улицам Кастеева, Айменова, Мельдеходжаева и Табынбаева в городе Шымкент. Корректировка</t>
  </si>
  <si>
    <t>Строительство канализационных сетей по улицам: Орынбай акын, Турекулова, Аксу, Айтжанова, Толстого, Менделеева, в г.Шымкент</t>
  </si>
  <si>
    <t>Строительство канализационных сетей по улицам: Казыбек би, Лихачева, Байзакулы, Жандосова, Верещагина, Шолохова, Уалиханова, в г.Шымкент</t>
  </si>
  <si>
    <t>Строительство канализационных сетей по улицам: Казыбек би, Асанова,  Тажибаева, Шолохова, Уалиханова, Мамедова, Улугбек, Циалковского, в г.Шымкент</t>
  </si>
  <si>
    <t>Строительство канализационных сетей улиц Сматлаев, МайлКожа, Достоевский и Челюскинц города Шымкент</t>
  </si>
  <si>
    <t>Строительство канализационных сетей микрорайона 112 квартал города Шымкент</t>
  </si>
  <si>
    <t>Строительство канализационных сетей микрорайона Агропром города Шымкент</t>
  </si>
  <si>
    <t>Строительство канализационных сетей микрорайона Катынкопыр города Шымкент</t>
  </si>
  <si>
    <t>Строительство инженерных сетей (системы канализации) в микрорайоне Асар-2 города Шымкент (2-я очередь)</t>
  </si>
  <si>
    <t>Строительство канализационных сетей микрорайона Коргасын-1 города Шымкент</t>
  </si>
  <si>
    <t>Строительство канализационных сетей микрорайона Коргасын-2 города Шымкент</t>
  </si>
  <si>
    <t>Шымкент қаласындағы Достық шағын ауданында кәріз жүйесінің құрылысы (3-кезек)</t>
  </si>
  <si>
    <t>Строительство канализационных сетей микрорайоне Туран города Шымкент (№1,№8 кварталы)</t>
  </si>
  <si>
    <t>Строительство канализационных сетей Енбекшинского района города Шымкент (2 очередь)</t>
  </si>
  <si>
    <t>Строительство канализационного коллектора D-800 мм вдоль улицы Төлеметов до улицы Сырым Батыр города Шымкент</t>
  </si>
  <si>
    <t>Строительство канализационного коллектора (1000 мм) в микрорайоне Бозарық города Шымкент</t>
  </si>
  <si>
    <t>Строительство канализационного коллектора вдоль автомобильных дорог Рыскулова и Темирлан до очистного сооружения канализации города Шымкент и строительство конечной канализационной станции №23</t>
  </si>
  <si>
    <t>Строительство канализационного коллектора через микрорайоны Бадам, Забадам, Сауле к микрорайону Қазығұрт города Шымкент и строительство канализационных насосных станций №19 и №17</t>
  </si>
  <si>
    <t>Строительство канализационной насосной станции №33 от микрорайона Қызылжар-2 города Шымкент до КТИ №16 мощностью 60 тыс. м³/сут</t>
  </si>
  <si>
    <t>Разработка ПСД "Строительство канализационных сетей микрорайона 112 квартал города Шымкент"</t>
  </si>
  <si>
    <t xml:space="preserve"> Развитие благоустройства города</t>
  </si>
  <si>
    <t>Строительство парка на земельном участке 18,0 га в мкр. Шымкент сити г. Шымкент</t>
  </si>
  <si>
    <t>Строительство парка на участке 20,4 га и 6,9 га в мкр.Шымкент сити г.Шымкент</t>
  </si>
  <si>
    <t>Строительство этно парка в мкр.Туран г.Шымкент</t>
  </si>
  <si>
    <t>Строительство базы для государственных коммунальных учреждений аппаратов акиматов района</t>
  </si>
  <si>
    <t>Услуги в сфере культуры</t>
  </si>
  <si>
    <t>Строительство театра оперы и балета в городе Шымкент</t>
  </si>
  <si>
    <t>Реконструкция здания Казыryртского Дома культyры, жилого массива Тогыс. г. Шымкент</t>
  </si>
  <si>
    <t>Строительство дома культуры в микрорайоне Карабастау</t>
  </si>
  <si>
    <t>Строительство дома культуры в микрорайоне Каратөбе</t>
  </si>
  <si>
    <t>Строительство дома культуры в микрорайоне Текесу</t>
  </si>
  <si>
    <t>Строительство дома культуры и спортзала в микрорайоне Асар-1</t>
  </si>
  <si>
    <t>Строительство дома культуры и спортзала в микрорайоне Асар-2</t>
  </si>
  <si>
    <t>Реконструкция здания Шымкентского городского академического казахского драматического театра имени Г. Шанина</t>
  </si>
  <si>
    <t>Строительство Дворца бракосочетания в административно-деловом центре</t>
  </si>
  <si>
    <t>Строительство дома культуры в микрорайоне Казыгурт</t>
  </si>
  <si>
    <t>Строительство дома культуры и спортивного зала в микрорайоне Береке</t>
  </si>
  <si>
    <t>Строительство жилого дома и спортзала в районе Алтын Орда Шагын (бывшая дача Бозарык)</t>
  </si>
  <si>
    <t>Строительство спортивного зала с Домом культуры в микрорайоне Тассай</t>
  </si>
  <si>
    <t>Строительство спортивного зала с Домом культуры в микрорайоне Таскен</t>
  </si>
  <si>
    <t>Строительство спортивного зала с Домом культуры в микрорайоне Кызыл су</t>
  </si>
  <si>
    <t>Строительство спортивного зала с Домом культуры в микрорайоне Бозарык</t>
  </si>
  <si>
    <t>Строительство спортивного зала с Домом культуры в микрорайоне Достык</t>
  </si>
  <si>
    <t>Реконструкция ГККП "Шымкент-Цирк" со строительством пристройки</t>
  </si>
  <si>
    <t>Разработка ПСД "Строительство театра оперы и балета в городе Шымкент"</t>
  </si>
  <si>
    <t>Строительство нового футбольного стадиона города Шымкент</t>
  </si>
  <si>
    <t>Строительство спортивного зала «Тогыс»</t>
  </si>
  <si>
    <t>Строительство физкультурно- оздоровительного комплекса в 26 квартале, микрорайона Туран, города Шымкент</t>
  </si>
  <si>
    <t xml:space="preserve"> Строительство спортивного комплекса для паралимпийских и сурдлимпийских видов спорта" коммунального государственного учреждения "Спортивная школа для лиц с инвалидностью №19 города Шымкент</t>
  </si>
  <si>
    <t xml:space="preserve">Строительство дополнительного 2 футбольного манежа к специализированной спортивной школе олимпийского резерва по футболу №17 г. Шымкент </t>
  </si>
  <si>
    <t>Строительство спортивного комплекса в микрорайоне Бозарык города Шымкент</t>
  </si>
  <si>
    <r>
      <t>Строительство дополнительных спортивных объектов к универсальной водной тренеровочной базе для байдарки и каное СДЮСШОР №4 города Шымкент</t>
    </r>
    <r>
      <rPr>
        <i/>
        <sz val="10"/>
        <rFont val="Times New Roman"/>
        <family val="1"/>
        <charset val="204"/>
      </rPr>
      <t xml:space="preserve"> (футбольные площадки и спортзал для единоборств)</t>
    </r>
  </si>
  <si>
    <t>Разработка ПСД "Строительство нового футбольного стадиона города Шымкент"</t>
  </si>
  <si>
    <t>Разработка ПСД "Строительство спортивного комплекса для паралимпийских и сурдлимпийских видов спорта" коммунального государственного учреждения "Спортивная школа для лиц с инвалидностью №19 города Шымкент"</t>
  </si>
  <si>
    <t>Топливно-энергетический</t>
  </si>
  <si>
    <t>Реконструкция тепловых сетей от ТК-4 до ОНС-3 по ул. Гоголя и от ОНС-2 по ул. Адырбекова до ТК-4 в городе Шымкент. Корректировка</t>
  </si>
  <si>
    <t>Строительство зданий насосной станций на существующей территорий котельной РК-1 по улице Жандосова в 15-ом микрорайоне города Шымкент</t>
  </si>
  <si>
    <t>Реконструкция котельной К-24 в микрорайоне "Спортивный" города Шымкент</t>
  </si>
  <si>
    <t>«Строительство ПС 110/35/10 кВ и воздушных линий электропередачи 110 кВ в микрорайоне Ынтымак города Шымкент»</t>
  </si>
  <si>
    <t>Строительство ПС 110/10 кВ «Шымсити» с ВЛ 110 кВ в г. Шымкент (с расширением ПС "Бозарык" 220/110/10 кВ)</t>
  </si>
  <si>
    <t>Строительство ПС 110/10 кВ «Туран» с ВЛ 110 кВ в г. Шымкент</t>
  </si>
  <si>
    <t>Строительство ПС 220/110/10 кВ «Жулдыз» с ВЛ 220 кВ в г. Шымкент</t>
  </si>
  <si>
    <t>Строительство ПС 35/10 кВ «ТЛЦ» с ВЛ 35 кВ в г. Шымкент</t>
  </si>
  <si>
    <t>Реконструкция модульных котельных для теплоснабжения многоэтажных жилых домов в микрорайоне Шымсити города Шымкент (Производительность теплового котла 5 МВт)</t>
  </si>
  <si>
    <t>Реконструкция модульных котельных для теплоснабжения многоэтажных жилых домов в микрорайоне Туран города Шымкент (Производительность теплового котла 20 МВт)</t>
  </si>
  <si>
    <t>Реконструкция модульных котельных для теплоснабжения многоэтажных жилых домов в микрорайоне Туран города Шымкент (Производительность теплового котла 25 МВт)</t>
  </si>
  <si>
    <t>Разработка ПСД «Строительство ПС 110/35/10 кВ и воздушных линий электропередачи 110 кВ в микрорайоне Ынтымак города Шымкент»</t>
  </si>
  <si>
    <t>Реконструкция магистральных тепловых сетей на 6 участках г.Шымкент</t>
  </si>
  <si>
    <t>Другие услуги в сфере топливно-энергетического комплекса и недропользования</t>
  </si>
  <si>
    <t>Развитие газотранспортной системы</t>
  </si>
  <si>
    <t>Строительство подводящего газопровода высокого давления наружных сетей газопроводов в мкр Жанаталап города Шымкент. 1 очередь</t>
  </si>
  <si>
    <t>Строительство системы газоснабжения в микрорайоне Жаңаталап, районе Жаңақұрылыс, города Шымкент, этап 2</t>
  </si>
  <si>
    <t>Строительство инженерных инфраструктурных систем на территории нового строительства населённого пункта Құрсай, города Шымкент (газоснабжение)</t>
  </si>
  <si>
    <t>Разработка проекта рабочих чертежей (РП) для строительства инженерных инфраструктурных систем (газоснабжение) в микрорайоне Ынтымақ (Нұршуақ), города Шымкент, Треугольник</t>
  </si>
  <si>
    <t>Строительство 3 автоматизированных газораспределительных станций</t>
  </si>
  <si>
    <t>Строительство магистрального газопровода (Д-1000 мм)</t>
  </si>
  <si>
    <t>Разработка и экспертиза проектно-сметной документации</t>
  </si>
  <si>
    <t>Транспорт и коммуникация</t>
  </si>
  <si>
    <t xml:space="preserve">Транспорт </t>
  </si>
  <si>
    <t xml:space="preserve">Управление пассажирского транспорта и автомобильных дорог города республиканского значения, столицы </t>
  </si>
  <si>
    <t>Строительство транспортной развязки на пересечение улиц Байдибек би- Малая объездная г.Шымкент согласно генерального плана г.Шымкент</t>
  </si>
  <si>
    <t>Строительство продолжения улицы Кунаева (от улицы Дамбовой до дороги А-2 с транспортным сообщением ) согласно генеральному плану г.Шымкент. Участок 1. ГР от моста через Бадам до КМ4+70.0 (5-ЭТАП)</t>
  </si>
  <si>
    <t>Строительство продолжения улицы Кунаева (от улицы Дамбовой до дороги А-2 с транспортным сообщением)  согласно генеральному плану г. Шымкент». Участки 2 и 3. КМ 4+70,0-КМ 14+30,0 (6-ЭТАП)</t>
  </si>
  <si>
    <t>Реконструкция автомобильной дороги А-2 «Хоргос - Алматы - Шымкент -гр. Республики Узбекистан», 674-705+621 км (объезд города Шымкент) Участок: «От моста через р.Бадам (ком 698+450) до автодороги Шымкент-Ташкент (км 705+621). Этап -V</t>
  </si>
  <si>
    <t>Строительство железнодорожного путепровода по ул. Момынова в Енбекшинском районе города Шымкент</t>
  </si>
  <si>
    <t>Строительство железнодорожного путепровода по ул. Тленшина в Каратауском районе, г. Шымкент</t>
  </si>
  <si>
    <t>Строительство продолжения улицы Казиева от улицы Аргынбекова до улицы Толеметова в г.Шымкент</t>
  </si>
  <si>
    <t>Реконструкция улицы Ы.Алтынсарина от Алматинской трассы до №3 улицы в мкр. «Туран» г. Шымкент</t>
  </si>
  <si>
    <t>Строительство продолжения улицы Аксумбе (от улицы К.Толеметова до мкр. Туран) в городе Шымкент</t>
  </si>
  <si>
    <t>Строительство улицы без названия от улицы Алатау батыр до улицы Абылай хана в мкр. Шымсити, Абайский район, г. Шымкент</t>
  </si>
  <si>
    <t>Строительство улицы Шубарколь (продолжение улицы С.Юсуповой) в городе Шымкент</t>
  </si>
  <si>
    <t>Реконструкция автомобильной дороги А-2 «Хоргос-Алматы Шымкент-гр.Республики Узбекистан 674-705+621 км (объезд горо да Шымкент) Участок: «от границы г.Шымкента (км 674) до пере сечения с проспектом Байдибек би (граница работ ТОО «Асем Курылыс», Этап –VII. Корректировка сметной документации</t>
  </si>
  <si>
    <t>Строительство подездной дороги к строящимся жилым домам в микрорайоне Бозарык автомобильной дороги А-2</t>
  </si>
  <si>
    <t>Строительство продолжения улицы Сиргели, г.Шымкент</t>
  </si>
  <si>
    <t>Реконструкция улицы Е.Исрайлова (от автомобильной дороги КХ-82 до улицы Капал Батыра) в городе Шымкент</t>
  </si>
  <si>
    <t xml:space="preserve">Строительство объездной дороги города Шымкент (1-этап) (под ключ) </t>
  </si>
  <si>
    <t xml:space="preserve">Строительство объездной дороги города Шымкент (2-этап) (под ключ) </t>
  </si>
  <si>
    <t>Строительство надземного пешеходного перехода по проспекту Кунаева, город Шымкент</t>
  </si>
  <si>
    <t>Строительство надземного переходного перехода по проспекту Д.Кунаева, за реки Кошкар-ата, в городе Шымкент</t>
  </si>
  <si>
    <t>Строительство улицы Каусар в Каратауском районе города Шымкент</t>
  </si>
  <si>
    <t>Строительство восточной объездной дороги города Шымкент 2 очередь</t>
  </si>
  <si>
    <t xml:space="preserve">Строительство транспортной развязки на пересечении улиц Жибек жолы-Сайрамская г.Шымкент согласно генерального плана г.Шымкент </t>
  </si>
  <si>
    <t>Строительство подземного пешеходного перехода напротив школы №87 на улице Ұ.Арғынбеков, города Шымкент</t>
  </si>
  <si>
    <t xml:space="preserve">Строительство надземного пещеходного перехода на пересечении улиц Байдибек би и Актас в городе Шымкент </t>
  </si>
  <si>
    <t>Реконструкция улиц Шардара, Ахметов до микрорайона Жанаталап, Кокбулак в городе Шымкент</t>
  </si>
  <si>
    <t>Строительство улицы Калдаякова до проспекта Кунаева в городе Шымкент</t>
  </si>
  <si>
    <t>Строительство улицы от дороги А-2 согласно генерального плана в мкр. Нуршуак в городе Шымкент</t>
  </si>
  <si>
    <t>Реконструкция улицы Өзекті от улицы Аргынбеков до улицы Жаңа қоныс, города Шымкент</t>
  </si>
  <si>
    <t>Реконструкция улицы Момышұлы от объездной дороги А-2 до улицы Аргынбеков, города Шымкент</t>
  </si>
  <si>
    <t>Разработка ПСД "Реконструкция улиц Шардара, Ахметов до микрорайона Жанаталап, Кокбулак в городе Шымкент"</t>
  </si>
  <si>
    <t>Разработка ПСД "Строительство улицы Калдаякова до проспекта Кунаева в городе Шымкент"</t>
  </si>
  <si>
    <t>Разработка ПСД "Строительство улицы от дороги А-2 согласно генерального плана в мкр. Нуршуак в городе Шымкент"</t>
  </si>
  <si>
    <t>Разработка ПСД "Строительство транспортной развязки на пересечении улиц Жибек жолы-Сайрамская г.Шымкент согласно генерального плана г.Шымкент"</t>
  </si>
  <si>
    <t>Реконструкция аэродрома со строительством ИВПП-2, рулежных дорожек в аэропорту города Шымкент</t>
  </si>
  <si>
    <t>Строительство гаража для служебных автомобилей и административного здания акимата города Шымкент, расположенного по адресу: город Шымкент, улица Шаяхметова</t>
  </si>
  <si>
    <t>Строительство штрафной стоянки на земельном участке площадью 3 га в Абайском районе города Шымкент</t>
  </si>
  <si>
    <t xml:space="preserve">Строительство систем инженерной инфраструктуры к индустриальной зоне «Торгово-логистический центр» в городе Шымкент» (водоснабжение, водоотведение, электроснабжение) </t>
  </si>
  <si>
    <t xml:space="preserve">Строительство систем инженерной инфраструктуры для индустриальной зоны «Торгово-логистический центр» города Шымкент (Улицы) </t>
  </si>
  <si>
    <t>Строительство систем инженерной инфраструктуры для индустриальной зоны «Торгово-логистический центр» города Шымкент. Газоснабжение</t>
  </si>
  <si>
    <t>Строительство инженерной инфраструктуры для индустриальной зоны в жилом массиве Жулдыз г.Шымкент» (Входная арка, административно-бытовой комплекс и ограждение)</t>
  </si>
  <si>
    <t>Строительство инженерной инфраструктуры для индустриальной зоны в жилом массиве Жулдыз г.Шымкент. Автомобильные дороги (Корректировка)</t>
  </si>
  <si>
    <t>Строительство инженерной инфраструктуры для индустриальной зоны в жилом массиве Жулдыз города Шымкент (Железнодорожный тупик)</t>
  </si>
  <si>
    <t>Строительство инженерно-коммуникационной инфраструктуры для индустриальной зоны пищевой промышленности «Бозарык» г.Шымкент (Водоснабжение и канализация). Корректировка</t>
  </si>
  <si>
    <t>Строительство паропровода для индустриальной зоны "Онтустик" с тепловым пунктом в городе Шымкент (Корректировка сметной документации)</t>
  </si>
  <si>
    <t xml:space="preserve">Строительство систем инженерной инфраструктуры к индустриальной зоне «Торгово-логистический центр» в городе Шымкент (железнодорожный тупик) </t>
  </si>
  <si>
    <t>Строительство сетей инженерной инфраструктуры к пищевой промышленной индустриальной зоны «Бозарык» в городе Шымкент (Входная арка, административно-бытовой комплекс и ограждение)</t>
  </si>
  <si>
    <t>Расширение индустриальной зоны "Жұлдыз"</t>
  </si>
  <si>
    <t>Расширение специальной экономической зоны "Оңтүстік"</t>
  </si>
  <si>
    <t>Расширение индустриальной зоны „Бозарық“ (2 этап — электроснабжение)</t>
  </si>
  <si>
    <t>Строительство ПС 110/6 кВ с ЛЭП 110 кВ вдоль реки Бадам города Шымкент</t>
  </si>
  <si>
    <t>Строительство подводящих электрических сетей для ТОО "DALACONSTRUCTION. KZ" город Шымкент</t>
  </si>
  <si>
    <t>Увеличение уставного капитала ТОО "Тұрғын үй Шымкент"на капитальный ремонт 31 многоквартирных жилых домов города Шымкент</t>
  </si>
  <si>
    <t>Разработка ПСД "Строительство комплекса Центра психического здоровья на 465 коек с реабилитационным центром в городе Шымкент"</t>
  </si>
  <si>
    <t>Разработка ПСД "Строительство нового здания городской детской больницы на 200 мест в микрорайоне Казыгурт, города Шымкент"</t>
  </si>
  <si>
    <t>Разработка ПСД "Строительство многопрофильной больницы на 250 коек с онкологическим центром и поликлиникой"</t>
  </si>
  <si>
    <t>Строительство систем инженерной инфраструктуры на територии Новостройки населенного пункта Курсай города Шымкент (электроснабжение и газоснабжение)</t>
  </si>
  <si>
    <t>После уточ., тысяч тенге</t>
  </si>
  <si>
    <t>До уточ., тысяч тенге</t>
  </si>
  <si>
    <t>Разница, тысяч тенге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</si>
</sst>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_);_(* \(#,##0\);_(* &quot;-&quot;_);_(@_)"/>
    <numFmt numFmtId="168" formatCode="_(* #,##0.00_);_(* \(#,##0.00\);_(* &quot;-&quot;??_);_(@_)"/>
    <numFmt numFmtId="169" formatCode="00"/>
    <numFmt numFmtId="170" formatCode="000"/>
    <numFmt numFmtId="171" formatCode="_-* #,##0_р_._-;\-* #,##0_р_._-;_-* &quot;-&quot;??_р_._-;_-@_-"/>
    <numFmt numFmtId="172" formatCode="_-* #,##0_-;\-* #,##0_-;_-* &quot;-&quot;?_-;_-@_-"/>
    <numFmt numFmtId="173" formatCode="#,##0.0"/>
    <numFmt numFmtId="174" formatCode="0.0"/>
  </numFmts>
  <fonts count="9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  <charset val="204"/>
    </font>
    <font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.5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4"/>
      <color theme="1"/>
      <name val="Times New Roman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912">
    <xf numFmtId="0" fontId="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2" fillId="0" borderId="0"/>
    <xf numFmtId="0" fontId="54" fillId="0" borderId="0"/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2" fillId="0" borderId="0"/>
    <xf numFmtId="0" fontId="54" fillId="0" borderId="0"/>
    <xf numFmtId="0" fontId="61" fillId="0" borderId="0">
      <alignment horizontal="center"/>
    </xf>
    <xf numFmtId="0" fontId="54" fillId="0" borderId="0"/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53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53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53" fillId="0" borderId="0">
      <alignment horizontal="center"/>
    </xf>
    <xf numFmtId="0" fontId="61" fillId="0" borderId="0">
      <alignment horizontal="center"/>
    </xf>
    <xf numFmtId="0" fontId="53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53" fillId="0" borderId="0">
      <alignment horizontal="center"/>
    </xf>
    <xf numFmtId="0" fontId="61" fillId="0" borderId="0">
      <alignment horizontal="center"/>
    </xf>
    <xf numFmtId="0" fontId="53" fillId="0" borderId="0">
      <alignment horizontal="center"/>
    </xf>
    <xf numFmtId="0" fontId="61" fillId="0" borderId="0">
      <alignment horizontal="center"/>
    </xf>
    <xf numFmtId="0" fontId="53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53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54" fillId="0" borderId="0"/>
    <xf numFmtId="0" fontId="54" fillId="0" borderId="0"/>
    <xf numFmtId="0" fontId="54" fillId="0" borderId="0"/>
    <xf numFmtId="0" fontId="54" fillId="0" borderId="0"/>
    <xf numFmtId="0" fontId="61" fillId="0" borderId="0">
      <alignment horizontal="center"/>
    </xf>
    <xf numFmtId="0" fontId="54" fillId="0" borderId="0"/>
    <xf numFmtId="0" fontId="54" fillId="0" borderId="0"/>
    <xf numFmtId="0" fontId="55" fillId="0" borderId="1">
      <alignment horizontal="left" vertical="top" wrapText="1"/>
    </xf>
    <xf numFmtId="1" fontId="55" fillId="0" borderId="0">
      <alignment horizontal="center" vertical="top" wrapText="1"/>
    </xf>
    <xf numFmtId="169" fontId="55" fillId="0" borderId="1">
      <alignment horizontal="center" vertical="top" wrapText="1"/>
    </xf>
    <xf numFmtId="170" fontId="55" fillId="0" borderId="1">
      <alignment horizontal="center" vertical="top" wrapText="1"/>
    </xf>
    <xf numFmtId="170" fontId="55" fillId="0" borderId="1">
      <alignment horizontal="center" vertical="top" wrapText="1"/>
    </xf>
    <xf numFmtId="170" fontId="55" fillId="0" borderId="1">
      <alignment horizontal="center" vertical="top" wrapText="1"/>
    </xf>
    <xf numFmtId="0" fontId="58" fillId="2" borderId="1">
      <alignment horizontal="left" vertical="top" wrapText="1"/>
    </xf>
    <xf numFmtId="0" fontId="58" fillId="2" borderId="1">
      <alignment horizontal="left" vertical="top" wrapText="1"/>
    </xf>
    <xf numFmtId="0" fontId="59" fillId="0" borderId="1">
      <alignment horizontal="left" vertical="top" wrapText="1"/>
    </xf>
    <xf numFmtId="0" fontId="59" fillId="0" borderId="1">
      <alignment horizontal="left" vertical="top" wrapText="1"/>
    </xf>
    <xf numFmtId="0" fontId="55" fillId="0" borderId="1">
      <alignment horizontal="left" vertical="top" wrapText="1"/>
    </xf>
    <xf numFmtId="0" fontId="56" fillId="0" borderId="1">
      <alignment horizontal="left" vertical="top" wrapText="1"/>
    </xf>
    <xf numFmtId="0" fontId="65" fillId="0" borderId="0">
      <alignment horizontal="left" vertical="top"/>
    </xf>
    <xf numFmtId="1" fontId="60" fillId="0" borderId="0">
      <alignment horizontal="center" vertical="top" wrapText="1"/>
    </xf>
    <xf numFmtId="169" fontId="60" fillId="0" borderId="1">
      <alignment horizontal="center" vertical="top" wrapText="1"/>
    </xf>
    <xf numFmtId="170" fontId="60" fillId="0" borderId="1">
      <alignment horizontal="center" vertical="top" wrapText="1"/>
    </xf>
    <xf numFmtId="170" fontId="60" fillId="0" borderId="1">
      <alignment horizontal="center" vertical="top" wrapText="1"/>
    </xf>
    <xf numFmtId="170" fontId="60" fillId="0" borderId="1">
      <alignment horizontal="center" vertical="top" wrapText="1"/>
    </xf>
    <xf numFmtId="165" fontId="61" fillId="0" borderId="0" applyFont="0" applyFill="0" applyBorder="0" applyAlignment="0" applyProtection="0"/>
    <xf numFmtId="0" fontId="66" fillId="0" borderId="0"/>
    <xf numFmtId="0" fontId="69" fillId="0" borderId="0">
      <alignment horizontal="center"/>
    </xf>
    <xf numFmtId="0" fontId="64" fillId="0" borderId="0"/>
    <xf numFmtId="0" fontId="61" fillId="0" borderId="0"/>
    <xf numFmtId="0" fontId="67" fillId="0" borderId="0"/>
    <xf numFmtId="0" fontId="55" fillId="0" borderId="0"/>
    <xf numFmtId="0" fontId="57" fillId="0" borderId="0"/>
    <xf numFmtId="0" fontId="69" fillId="0" borderId="0">
      <alignment horizontal="center"/>
    </xf>
    <xf numFmtId="0" fontId="61" fillId="0" borderId="0"/>
    <xf numFmtId="0" fontId="61" fillId="0" borderId="0">
      <alignment horizontal="center"/>
    </xf>
    <xf numFmtId="0" fontId="61" fillId="0" borderId="0"/>
    <xf numFmtId="0" fontId="61" fillId="0" borderId="0"/>
    <xf numFmtId="0" fontId="61" fillId="0" borderId="0"/>
    <xf numFmtId="0" fontId="55" fillId="0" borderId="0"/>
    <xf numFmtId="0" fontId="61" fillId="0" borderId="0"/>
    <xf numFmtId="0" fontId="57" fillId="0" borderId="0"/>
    <xf numFmtId="0" fontId="55" fillId="0" borderId="0"/>
    <xf numFmtId="0" fontId="64" fillId="0" borderId="0"/>
    <xf numFmtId="0" fontId="61" fillId="0" borderId="0">
      <alignment horizontal="center"/>
    </xf>
    <xf numFmtId="0" fontId="61" fillId="0" borderId="0">
      <alignment horizontal="center"/>
    </xf>
    <xf numFmtId="0" fontId="63" fillId="0" borderId="0"/>
    <xf numFmtId="0" fontId="61" fillId="0" borderId="0"/>
    <xf numFmtId="0" fontId="64" fillId="0" borderId="0"/>
    <xf numFmtId="0" fontId="64" fillId="0" borderId="0"/>
    <xf numFmtId="0" fontId="61" fillId="0" borderId="0"/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1" fillId="0" borderId="0">
      <alignment horizontal="center"/>
    </xf>
    <xf numFmtId="0" fontId="69" fillId="0" borderId="0"/>
    <xf numFmtId="0" fontId="69" fillId="0" borderId="0"/>
    <xf numFmtId="0" fontId="69" fillId="0" borderId="0"/>
    <xf numFmtId="0" fontId="61" fillId="0" borderId="0"/>
    <xf numFmtId="0" fontId="64" fillId="0" borderId="0"/>
    <xf numFmtId="0" fontId="61" fillId="0" borderId="0"/>
    <xf numFmtId="0" fontId="63" fillId="0" borderId="0"/>
    <xf numFmtId="0" fontId="64" fillId="0" borderId="0"/>
    <xf numFmtId="0" fontId="64" fillId="0" borderId="0"/>
    <xf numFmtId="0" fontId="61" fillId="0" borderId="0"/>
    <xf numFmtId="0" fontId="64" fillId="0" borderId="0"/>
    <xf numFmtId="0" fontId="64" fillId="0" borderId="0"/>
    <xf numFmtId="0" fontId="64" fillId="0" borderId="0"/>
    <xf numFmtId="0" fontId="69" fillId="0" borderId="0">
      <alignment horizontal="center"/>
    </xf>
    <xf numFmtId="0" fontId="69" fillId="0" borderId="0">
      <alignment horizontal="center"/>
    </xf>
    <xf numFmtId="0" fontId="63" fillId="0" borderId="0"/>
    <xf numFmtId="0" fontId="61" fillId="0" borderId="0"/>
    <xf numFmtId="0" fontId="53" fillId="0" borderId="0">
      <alignment horizontal="center"/>
    </xf>
    <xf numFmtId="0" fontId="53" fillId="0" borderId="0"/>
    <xf numFmtId="9" fontId="61" fillId="0" borderId="0" applyFont="0" applyFill="0" applyBorder="0" applyAlignment="0" applyProtection="0"/>
    <xf numFmtId="0" fontId="54" fillId="0" borderId="0"/>
    <xf numFmtId="0" fontId="64" fillId="0" borderId="0"/>
    <xf numFmtId="0" fontId="54" fillId="0" borderId="0"/>
    <xf numFmtId="0" fontId="62" fillId="0" borderId="0"/>
    <xf numFmtId="167" fontId="64" fillId="0" borderId="0" applyFont="0" applyFill="0" applyBorder="0" applyAlignment="0" applyProtection="0"/>
    <xf numFmtId="168" fontId="64" fillId="0" borderId="0" applyFont="0" applyFill="0" applyBorder="0" applyAlignment="0" applyProtection="0"/>
    <xf numFmtId="166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4" fillId="0" borderId="0" applyFont="0" applyFill="0" applyBorder="0" applyAlignment="0" applyProtection="0"/>
    <xf numFmtId="166" fontId="63" fillId="0" borderId="0" applyFont="0" applyFill="0" applyBorder="0" applyAlignment="0" applyProtection="0"/>
    <xf numFmtId="166" fontId="68" fillId="0" borderId="0" applyFont="0" applyFill="0" applyBorder="0" applyAlignment="0" applyProtection="0"/>
    <xf numFmtId="0" fontId="64" fillId="0" borderId="0"/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/>
    <xf numFmtId="0" fontId="6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64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3" fillId="0" borderId="0">
      <alignment horizontal="center"/>
    </xf>
    <xf numFmtId="0" fontId="5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63" fillId="0" borderId="0"/>
    <xf numFmtId="0" fontId="53" fillId="0" borderId="0"/>
    <xf numFmtId="0" fontId="64" fillId="0" borderId="0"/>
    <xf numFmtId="0" fontId="64" fillId="0" borderId="0"/>
    <xf numFmtId="0" fontId="53" fillId="0" borderId="0"/>
    <xf numFmtId="0" fontId="53" fillId="0" borderId="0"/>
    <xf numFmtId="0" fontId="53" fillId="0" borderId="0"/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52" fillId="0" borderId="0">
      <alignment horizontal="center"/>
    </xf>
    <xf numFmtId="0" fontId="63" fillId="0" borderId="0">
      <alignment horizontal="center"/>
    </xf>
    <xf numFmtId="0" fontId="63" fillId="0" borderId="0">
      <alignment horizontal="center"/>
    </xf>
    <xf numFmtId="0" fontId="64" fillId="0" borderId="0"/>
    <xf numFmtId="166" fontId="52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52" fillId="0" borderId="0" applyFont="0" applyFill="0" applyBorder="0" applyAlignment="0" applyProtection="0"/>
    <xf numFmtId="171" fontId="63" fillId="0" borderId="0" applyFont="0" applyFill="0" applyBorder="0" applyAlignment="0" applyProtection="0"/>
    <xf numFmtId="172" fontId="63" fillId="0" borderId="0" applyFont="0" applyFill="0" applyBorder="0" applyAlignment="0" applyProtection="0"/>
    <xf numFmtId="172" fontId="63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52" fillId="0" borderId="0" applyFont="0" applyFill="0" applyBorder="0" applyAlignment="0" applyProtection="0"/>
    <xf numFmtId="166" fontId="52" fillId="0" borderId="0" applyFont="0" applyFill="0" applyBorder="0" applyAlignment="0" applyProtection="0"/>
    <xf numFmtId="0" fontId="53" fillId="0" borderId="0"/>
    <xf numFmtId="0" fontId="53" fillId="0" borderId="0"/>
    <xf numFmtId="0" fontId="53" fillId="0" borderId="0"/>
    <xf numFmtId="0" fontId="53" fillId="0" borderId="0"/>
    <xf numFmtId="0" fontId="51" fillId="0" borderId="0">
      <alignment horizontal="center"/>
    </xf>
    <xf numFmtId="0" fontId="51" fillId="0" borderId="0"/>
    <xf numFmtId="0" fontId="51" fillId="0" borderId="0">
      <alignment horizontal="center"/>
    </xf>
    <xf numFmtId="166" fontId="63" fillId="0" borderId="0" applyFont="0" applyFill="0" applyBorder="0" applyAlignment="0" applyProtection="0"/>
    <xf numFmtId="0" fontId="51" fillId="0" borderId="0">
      <alignment horizontal="center"/>
    </xf>
    <xf numFmtId="0" fontId="63" fillId="0" borderId="0">
      <alignment horizontal="center"/>
    </xf>
    <xf numFmtId="0" fontId="53" fillId="0" borderId="0"/>
    <xf numFmtId="0" fontId="63" fillId="0" borderId="0">
      <alignment horizontal="center"/>
    </xf>
    <xf numFmtId="0" fontId="53" fillId="0" borderId="0"/>
    <xf numFmtId="0" fontId="63" fillId="0" borderId="0"/>
    <xf numFmtId="0" fontId="53" fillId="0" borderId="0"/>
    <xf numFmtId="0" fontId="70" fillId="0" borderId="0">
      <alignment horizontal="left" vertical="top"/>
    </xf>
    <xf numFmtId="0" fontId="71" fillId="0" borderId="0"/>
    <xf numFmtId="0" fontId="50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0" fontId="49" fillId="0" borderId="0">
      <alignment horizontal="center"/>
    </xf>
    <xf numFmtId="166" fontId="71" fillId="0" borderId="0" applyFont="0" applyFill="0" applyBorder="0" applyAlignment="0" applyProtection="0"/>
    <xf numFmtId="0" fontId="71" fillId="0" borderId="0"/>
    <xf numFmtId="0" fontId="49" fillId="0" borderId="0">
      <alignment horizontal="center"/>
    </xf>
    <xf numFmtId="0" fontId="49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165" fontId="53" fillId="0" borderId="0" applyFont="0" applyFill="0" applyBorder="0" applyAlignment="0" applyProtection="0"/>
    <xf numFmtId="0" fontId="48" fillId="0" borderId="0">
      <alignment horizontal="center"/>
    </xf>
    <xf numFmtId="0" fontId="64" fillId="0" borderId="0"/>
    <xf numFmtId="0" fontId="48" fillId="0" borderId="0">
      <alignment horizontal="center"/>
    </xf>
    <xf numFmtId="0" fontId="53" fillId="0" borderId="0">
      <alignment horizontal="center"/>
    </xf>
    <xf numFmtId="0" fontId="53" fillId="0" borderId="0"/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53" fillId="0" borderId="0">
      <alignment horizontal="center"/>
    </xf>
    <xf numFmtId="0" fontId="48" fillId="0" borderId="0"/>
    <xf numFmtId="0" fontId="48" fillId="0" borderId="0"/>
    <xf numFmtId="0" fontId="48" fillId="0" borderId="0"/>
    <xf numFmtId="0" fontId="53" fillId="0" borderId="0"/>
    <xf numFmtId="0" fontId="48" fillId="0" borderId="0">
      <alignment horizontal="center"/>
    </xf>
    <xf numFmtId="0" fontId="48" fillId="0" borderId="0">
      <alignment horizontal="center"/>
    </xf>
    <xf numFmtId="0" fontId="53" fillId="0" borderId="0"/>
    <xf numFmtId="9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0" fontId="48" fillId="0" borderId="0">
      <alignment horizontal="center"/>
    </xf>
    <xf numFmtId="166" fontId="48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8" fillId="0" borderId="0" applyFont="0" applyFill="0" applyBorder="0" applyAlignment="0" applyProtection="0"/>
    <xf numFmtId="166" fontId="48" fillId="0" borderId="0" applyFont="0" applyFill="0" applyBorder="0" applyAlignment="0" applyProtection="0"/>
    <xf numFmtId="0" fontId="48" fillId="0" borderId="0">
      <alignment horizontal="center"/>
    </xf>
    <xf numFmtId="0" fontId="48" fillId="0" borderId="0"/>
    <xf numFmtId="0" fontId="48" fillId="0" borderId="0">
      <alignment horizontal="center"/>
    </xf>
    <xf numFmtId="0" fontId="48" fillId="0" borderId="0">
      <alignment horizontal="center"/>
    </xf>
    <xf numFmtId="0" fontId="72" fillId="0" borderId="0">
      <alignment horizontal="right" vertical="top"/>
    </xf>
    <xf numFmtId="0" fontId="73" fillId="0" borderId="0">
      <alignment horizontal="right" vertical="top"/>
    </xf>
    <xf numFmtId="0" fontId="72" fillId="0" borderId="0">
      <alignment horizontal="left" vertical="top"/>
    </xf>
    <xf numFmtId="0" fontId="74" fillId="0" borderId="0">
      <alignment horizontal="left" vertical="top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/>
    <xf numFmtId="0" fontId="47" fillId="0" borderId="0"/>
    <xf numFmtId="0" fontId="47" fillId="0" borderId="0"/>
    <xf numFmtId="0" fontId="47" fillId="0" borderId="0">
      <alignment horizontal="center"/>
    </xf>
    <xf numFmtId="0" fontId="47" fillId="0" borderId="0">
      <alignment horizont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0" fontId="47" fillId="0" borderId="0">
      <alignment horizontal="center"/>
    </xf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166" fontId="47" fillId="0" borderId="0" applyFont="0" applyFill="0" applyBorder="0" applyAlignment="0" applyProtection="0"/>
    <xf numFmtId="0" fontId="47" fillId="0" borderId="0">
      <alignment horizontal="center"/>
    </xf>
    <xf numFmtId="0" fontId="47" fillId="0" borderId="0"/>
    <xf numFmtId="0" fontId="47" fillId="0" borderId="0">
      <alignment horizontal="center"/>
    </xf>
    <xf numFmtId="0" fontId="47" fillId="0" borderId="0">
      <alignment horizontal="center"/>
    </xf>
    <xf numFmtId="0" fontId="53" fillId="0" borderId="0">
      <alignment horizontal="center"/>
    </xf>
    <xf numFmtId="0" fontId="46" fillId="0" borderId="0"/>
    <xf numFmtId="0" fontId="45" fillId="0" borderId="0"/>
    <xf numFmtId="164" fontId="45" fillId="0" borderId="0" applyFont="0" applyFill="0" applyBorder="0" applyAlignment="0" applyProtection="0"/>
    <xf numFmtId="0" fontId="44" fillId="0" borderId="0"/>
    <xf numFmtId="0" fontId="43" fillId="0" borderId="0"/>
    <xf numFmtId="164" fontId="43" fillId="0" borderId="0" applyFont="0" applyFill="0" applyBorder="0" applyAlignment="0" applyProtection="0"/>
    <xf numFmtId="0" fontId="42" fillId="0" borderId="0"/>
    <xf numFmtId="164" fontId="42" fillId="0" borderId="0" applyFont="0" applyFill="0" applyBorder="0" applyAlignment="0" applyProtection="0"/>
    <xf numFmtId="0" fontId="41" fillId="0" borderId="0"/>
    <xf numFmtId="0" fontId="40" fillId="0" borderId="0"/>
    <xf numFmtId="0" fontId="40" fillId="0" borderId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>
      <alignment horizontal="center"/>
    </xf>
    <xf numFmtId="0" fontId="39" fillId="0" borderId="0"/>
    <xf numFmtId="0" fontId="39" fillId="0" borderId="0"/>
    <xf numFmtId="0" fontId="39" fillId="0" borderId="0"/>
    <xf numFmtId="0" fontId="77" fillId="0" borderId="0" applyNumberFormat="0" applyFill="0" applyBorder="0" applyAlignment="0" applyProtection="0"/>
    <xf numFmtId="0" fontId="53" fillId="0" borderId="0" applyNumberFormat="0" applyFont="0" applyFill="0" applyBorder="0" applyAlignment="0" applyProtection="0"/>
    <xf numFmtId="0" fontId="39" fillId="0" borderId="0"/>
    <xf numFmtId="164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53" fillId="0" borderId="0"/>
    <xf numFmtId="174" fontId="64" fillId="0" borderId="0" applyFont="0" applyFill="0" applyBorder="0" applyAlignment="0" applyProtection="0"/>
    <xf numFmtId="0" fontId="71" fillId="0" borderId="0"/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>
      <alignment horizontal="center"/>
    </xf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64" fillId="0" borderId="0"/>
    <xf numFmtId="0" fontId="39" fillId="0" borderId="0"/>
    <xf numFmtId="0" fontId="39" fillId="0" borderId="0"/>
    <xf numFmtId="0" fontId="39" fillId="0" borderId="0"/>
    <xf numFmtId="0" fontId="71" fillId="0" borderId="0"/>
    <xf numFmtId="0" fontId="39" fillId="0" borderId="0"/>
    <xf numFmtId="0" fontId="53" fillId="0" borderId="0"/>
    <xf numFmtId="0" fontId="64" fillId="0" borderId="0"/>
    <xf numFmtId="0" fontId="39" fillId="0" borderId="0"/>
    <xf numFmtId="0" fontId="71" fillId="0" borderId="0"/>
    <xf numFmtId="0" fontId="39" fillId="0" borderId="0">
      <alignment horizontal="center"/>
    </xf>
    <xf numFmtId="0" fontId="39" fillId="0" borderId="0">
      <alignment horizontal="center"/>
    </xf>
    <xf numFmtId="0" fontId="63" fillId="0" borderId="0">
      <alignment horizontal="center"/>
    </xf>
    <xf numFmtId="0" fontId="63" fillId="0" borderId="0">
      <alignment horizontal="center"/>
    </xf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71" fillId="0" borderId="0" applyFont="0" applyFill="0" applyBorder="0" applyAlignment="0" applyProtection="0"/>
    <xf numFmtId="43" fontId="53" fillId="0" borderId="0" applyFont="0" applyFill="0" applyBorder="0" applyAlignment="0" applyProtection="0"/>
    <xf numFmtId="166" fontId="64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6" fontId="53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164" fontId="39" fillId="0" borderId="0" applyFont="0" applyFill="0" applyBorder="0" applyAlignment="0" applyProtection="0"/>
    <xf numFmtId="0" fontId="39" fillId="0" borderId="0"/>
    <xf numFmtId="0" fontId="39" fillId="0" borderId="0"/>
    <xf numFmtId="164" fontId="39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>
      <alignment horizontal="center"/>
    </xf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>
      <alignment horizontal="center"/>
    </xf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>
      <alignment horizontal="center"/>
    </xf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>
      <alignment horizontal="center"/>
    </xf>
    <xf numFmtId="0" fontId="17" fillId="0" borderId="0">
      <alignment horizontal="center"/>
    </xf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4" fontId="71" fillId="0" borderId="0" applyFont="0" applyFill="0" applyBorder="0" applyAlignment="0" applyProtection="0"/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6" fillId="0" borderId="0">
      <alignment horizontal="center"/>
    </xf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6" fillId="0" borderId="0">
      <alignment horizontal="center"/>
    </xf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0" fontId="16" fillId="0" borderId="0">
      <alignment horizontal="center"/>
    </xf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>
      <alignment horizont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>
      <alignment horizontal="center"/>
    </xf>
    <xf numFmtId="0" fontId="16" fillId="0" borderId="0">
      <alignment horizontal="center"/>
    </xf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71" fillId="0" borderId="0" applyFon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>
      <alignment horizontal="center"/>
    </xf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>
      <alignment horizontal="center"/>
    </xf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>
      <alignment horizontal="center"/>
    </xf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>
      <alignment horizontal="center"/>
    </xf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>
      <alignment horizontal="center"/>
    </xf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>
      <alignment horizontal="center"/>
    </xf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71" fillId="0" borderId="0" applyFont="0" applyFill="0" applyBorder="0" applyAlignment="0" applyProtection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>
      <alignment horizontal="center"/>
    </xf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>
      <alignment horizontal="center"/>
    </xf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3" fillId="0" borderId="0">
      <alignment horizontal="center"/>
    </xf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>
      <alignment horizont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horizontal="center"/>
    </xf>
    <xf numFmtId="0" fontId="13" fillId="0" borderId="0">
      <alignment horizontal="center"/>
    </xf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71" fillId="0" borderId="0" applyFont="0" applyFill="0" applyBorder="0" applyAlignment="0" applyProtection="0"/>
    <xf numFmtId="0" fontId="13" fillId="0" borderId="0"/>
    <xf numFmtId="0" fontId="13" fillId="0" borderId="0"/>
    <xf numFmtId="0" fontId="83" fillId="0" borderId="0">
      <alignment horizontal="center" vertical="top"/>
    </xf>
    <xf numFmtId="0" fontId="73" fillId="0" borderId="0">
      <alignment horizontal="left" vertical="top"/>
    </xf>
    <xf numFmtId="0" fontId="74" fillId="0" borderId="0">
      <alignment horizontal="left" vertical="top"/>
    </xf>
    <xf numFmtId="0" fontId="73" fillId="0" borderId="0">
      <alignment horizontal="left" vertical="top"/>
    </xf>
    <xf numFmtId="0" fontId="73" fillId="0" borderId="0">
      <alignment horizontal="right" vertical="top"/>
    </xf>
    <xf numFmtId="0" fontId="73" fillId="0" borderId="0">
      <alignment horizontal="left" vertical="top"/>
    </xf>
    <xf numFmtId="0" fontId="84" fillId="5" borderId="0">
      <alignment horizontal="left" vertical="top"/>
    </xf>
    <xf numFmtId="0" fontId="8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>
      <alignment horizontal="center"/>
    </xf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>
      <alignment horizontal="center"/>
    </xf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>
      <alignment horizontal="center"/>
    </xf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>
      <alignment horizontal="center"/>
    </xf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>
      <alignment horizontal="center"/>
    </xf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>
      <alignment horizontal="center"/>
    </xf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71" fillId="0" borderId="0" applyFont="0" applyFill="0" applyBorder="0" applyAlignment="0" applyProtection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>
      <alignment horizontal="center"/>
    </xf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>
      <alignment horizontal="center"/>
    </xf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>
      <alignment horizontal="center"/>
    </xf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>
      <alignment horizont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horizontal="center"/>
    </xf>
    <xf numFmtId="0" fontId="11" fillId="0" borderId="0">
      <alignment horizontal="center"/>
    </xf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71" fillId="0" borderId="0" applyFont="0" applyFill="0" applyBorder="0" applyAlignment="0" applyProtection="0"/>
    <xf numFmtId="0" fontId="11" fillId="0" borderId="0"/>
    <xf numFmtId="0" fontId="11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>
      <alignment horizontal="center"/>
    </xf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>
      <alignment horizontal="center"/>
    </xf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>
      <alignment horizontal="center"/>
    </xf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>
      <alignment horizontal="center"/>
    </xf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>
      <alignment horizontal="center"/>
    </xf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>
      <alignment horizontal="center"/>
    </xf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71" fillId="0" borderId="0" applyFont="0" applyFill="0" applyBorder="0" applyAlignment="0" applyProtection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>
      <alignment horizontal="center"/>
    </xf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>
      <alignment horizontal="center"/>
    </xf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10" fillId="0" borderId="0">
      <alignment horizontal="center"/>
    </xf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>
      <alignment horizont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horizontal="center"/>
    </xf>
    <xf numFmtId="0" fontId="10" fillId="0" borderId="0">
      <alignment horizontal="center"/>
    </xf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0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164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64" fontId="71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>
      <alignment horizontal="center"/>
    </xf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>
      <alignment horizontal="center"/>
    </xf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>
      <alignment horizontal="center"/>
    </xf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>
      <alignment horizontal="center"/>
    </xf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>
      <alignment horizontal="center"/>
    </xf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>
      <alignment horizontal="center"/>
    </xf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1" fillId="0" borderId="0" applyFont="0" applyFill="0" applyBorder="0" applyAlignment="0" applyProtection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>
      <alignment horizontal="center"/>
    </xf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>
      <alignment horizontal="center"/>
    </xf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>
      <alignment horizontal="center"/>
    </xf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>
      <alignment horizontal="center"/>
    </xf>
    <xf numFmtId="0" fontId="9" fillId="0" borderId="0">
      <alignment horizontal="center"/>
    </xf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71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horizontal="center"/>
    </xf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horizontal="center"/>
    </xf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horizontal="center"/>
    </xf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horizontal="center"/>
    </xf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horizontal="center"/>
    </xf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horizontal="center"/>
    </xf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71" fillId="0" borderId="0" applyFont="0" applyFill="0" applyBorder="0" applyAlignment="0" applyProtection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horizontal="center"/>
    </xf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horizontal="center"/>
    </xf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>
      <alignment horizontal="center"/>
    </xf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>
      <alignment horizont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horizontal="center"/>
    </xf>
    <xf numFmtId="0" fontId="8" fillId="0" borderId="0">
      <alignment horizontal="center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71" fillId="0" borderId="0" applyFont="0" applyFill="0" applyBorder="0" applyAlignment="0" applyProtection="0"/>
    <xf numFmtId="0" fontId="8" fillId="0" borderId="0"/>
    <xf numFmtId="0" fontId="8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1" fillId="0" borderId="0" applyFont="0" applyFill="0" applyBorder="0" applyAlignment="0" applyProtection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71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71" fillId="0" borderId="0" applyFont="0" applyFill="0" applyBorder="0" applyAlignment="0" applyProtection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>
      <alignment horizontal="center"/>
    </xf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>
      <alignment horizont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horizontal="center"/>
    </xf>
    <xf numFmtId="0" fontId="6" fillId="0" borderId="0">
      <alignment horizontal="center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71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>
      <alignment horizontal="center"/>
    </xf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>
      <alignment horizontal="center"/>
    </xf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>
      <alignment horizontal="center"/>
    </xf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>
      <alignment horizontal="center"/>
    </xf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>
      <alignment horizontal="center"/>
    </xf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>
      <alignment horizontal="center"/>
    </xf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71" fillId="0" borderId="0" applyFont="0" applyFill="0" applyBorder="0" applyAlignment="0" applyProtection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>
      <alignment horizontal="center"/>
    </xf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>
      <alignment horizontal="center"/>
    </xf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>
      <alignment horizontal="center"/>
    </xf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horizontal="center"/>
    </xf>
    <xf numFmtId="0" fontId="4" fillId="0" borderId="0">
      <alignment horizontal="center"/>
    </xf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71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horizontal="center"/>
    </xf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horizontal="center"/>
    </xf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horizontal="center"/>
    </xf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horizontal="center"/>
    </xf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horizontal="center"/>
    </xf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horizontal="center"/>
    </xf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1" fillId="0" borderId="0" applyFont="0" applyFill="0" applyBorder="0" applyAlignment="0" applyProtection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horizontal="center"/>
    </xf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horizontal="center"/>
    </xf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>
      <alignment horizontal="center"/>
    </xf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3" fillId="0" borderId="0">
      <alignment horizontal="center"/>
    </xf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7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71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2">
    <xf numFmtId="0" fontId="0" fillId="0" borderId="0" xfId="0"/>
    <xf numFmtId="0" fontId="57" fillId="0" borderId="0" xfId="2654" applyFont="1" applyAlignment="1">
      <alignment horizontal="left" vertical="top" wrapText="1"/>
    </xf>
    <xf numFmtId="0" fontId="57" fillId="0" borderId="0" xfId="2653" applyFont="1" applyAlignment="1">
      <alignment vertical="center"/>
    </xf>
    <xf numFmtId="0" fontId="57" fillId="0" borderId="0" xfId="0" applyFont="1" applyAlignment="1">
      <alignment vertical="center"/>
    </xf>
    <xf numFmtId="0" fontId="57" fillId="0" borderId="0" xfId="0" applyFont="1" applyAlignment="1">
      <alignment vertical="top"/>
    </xf>
    <xf numFmtId="0" fontId="57" fillId="0" borderId="0" xfId="2653" applyFont="1">
      <alignment horizontal="center"/>
    </xf>
    <xf numFmtId="3" fontId="57" fillId="0" borderId="0" xfId="0" applyNumberFormat="1" applyFont="1" applyAlignment="1">
      <alignment horizontal="right" wrapText="1"/>
    </xf>
    <xf numFmtId="0" fontId="57" fillId="0" borderId="4" xfId="2653" applyFont="1" applyBorder="1" applyAlignment="1">
      <alignment horizontal="center" vertical="center"/>
    </xf>
    <xf numFmtId="0" fontId="57" fillId="0" borderId="1" xfId="2653" applyFont="1" applyBorder="1" applyAlignment="1">
      <alignment horizontal="center" vertical="center"/>
    </xf>
    <xf numFmtId="0" fontId="57" fillId="0" borderId="0" xfId="2653" applyFont="1" applyAlignment="1">
      <alignment horizontal="left" vertical="top" wrapText="1"/>
    </xf>
    <xf numFmtId="0" fontId="57" fillId="0" borderId="0" xfId="2653" applyFont="1" applyAlignment="1">
      <alignment vertical="top" wrapText="1"/>
    </xf>
    <xf numFmtId="49" fontId="57" fillId="0" borderId="0" xfId="2654" applyNumberFormat="1" applyFont="1" applyAlignment="1">
      <alignment horizontal="center" vertical="top"/>
    </xf>
    <xf numFmtId="0" fontId="57" fillId="0" borderId="0" xfId="0" applyFont="1" applyAlignment="1">
      <alignment vertical="top" wrapText="1"/>
    </xf>
    <xf numFmtId="0" fontId="57" fillId="0" borderId="0" xfId="0" applyFont="1" applyAlignment="1">
      <alignment horizontal="left" vertical="top" wrapText="1"/>
    </xf>
    <xf numFmtId="0" fontId="57" fillId="0" borderId="0" xfId="2653" applyFont="1" applyAlignment="1">
      <alignment horizontal="left" vertical="top"/>
    </xf>
    <xf numFmtId="0" fontId="57" fillId="0" borderId="8" xfId="2653" applyFont="1" applyBorder="1" applyAlignment="1">
      <alignment horizontal="center" vertical="top" wrapText="1"/>
    </xf>
    <xf numFmtId="0" fontId="57" fillId="0" borderId="9" xfId="2653" applyFont="1" applyBorder="1" applyAlignment="1">
      <alignment vertical="top" wrapText="1"/>
    </xf>
    <xf numFmtId="0" fontId="57" fillId="0" borderId="6" xfId="2653" applyFont="1" applyBorder="1" applyAlignment="1">
      <alignment horizontal="center" vertical="top" wrapText="1"/>
    </xf>
    <xf numFmtId="0" fontId="57" fillId="0" borderId="0" xfId="2656" applyFont="1" applyAlignment="1">
      <alignment horizontal="left" vertical="top"/>
    </xf>
    <xf numFmtId="0" fontId="57" fillId="0" borderId="0" xfId="2656" applyFont="1" applyAlignment="1">
      <alignment vertical="top" wrapText="1"/>
    </xf>
    <xf numFmtId="3" fontId="57" fillId="0" borderId="0" xfId="0" applyNumberFormat="1" applyFont="1" applyAlignment="1">
      <alignment horizontal="right" vertical="top"/>
    </xf>
    <xf numFmtId="3" fontId="57" fillId="0" borderId="0" xfId="0" applyNumberFormat="1" applyFont="1" applyAlignment="1">
      <alignment horizontal="right" vertical="top" wrapText="1"/>
    </xf>
    <xf numFmtId="49" fontId="57" fillId="0" borderId="0" xfId="0" applyNumberFormat="1" applyFont="1" applyAlignment="1">
      <alignment horizontal="center" vertical="top"/>
    </xf>
    <xf numFmtId="49" fontId="57" fillId="0" borderId="0" xfId="2653" applyNumberFormat="1" applyFont="1" applyAlignment="1">
      <alignment horizontal="center" vertical="top"/>
    </xf>
    <xf numFmtId="49" fontId="57" fillId="0" borderId="11" xfId="2653" applyNumberFormat="1" applyFont="1" applyBorder="1" applyAlignment="1">
      <alignment horizontal="center" vertical="top" wrapText="1"/>
    </xf>
    <xf numFmtId="49" fontId="57" fillId="0" borderId="7" xfId="2653" applyNumberFormat="1" applyFont="1" applyBorder="1" applyAlignment="1">
      <alignment horizontal="center" vertical="top" wrapText="1"/>
    </xf>
    <xf numFmtId="49" fontId="57" fillId="0" borderId="7" xfId="2653" applyNumberFormat="1" applyFont="1" applyBorder="1" applyAlignment="1">
      <alignment horizontal="center" vertical="top"/>
    </xf>
    <xf numFmtId="3" fontId="57" fillId="0" borderId="0" xfId="2656" applyNumberFormat="1" applyFont="1" applyAlignment="1">
      <alignment horizontal="center" vertical="top"/>
    </xf>
    <xf numFmtId="170" fontId="57" fillId="0" borderId="0" xfId="2656" applyNumberFormat="1" applyFont="1" applyAlignment="1">
      <alignment horizontal="center" vertical="top"/>
    </xf>
    <xf numFmtId="0" fontId="57" fillId="0" borderId="0" xfId="3436" applyFont="1" applyAlignment="1">
      <alignment horizontal="left" vertical="top" wrapText="1"/>
    </xf>
    <xf numFmtId="49" fontId="57" fillId="0" borderId="0" xfId="3436" applyNumberFormat="1" applyFont="1" applyAlignment="1">
      <alignment horizontal="center" vertical="top"/>
    </xf>
    <xf numFmtId="49" fontId="57" fillId="0" borderId="0" xfId="0" applyNumberFormat="1" applyFont="1" applyAlignment="1">
      <alignment horizontal="center" vertical="center"/>
    </xf>
    <xf numFmtId="3" fontId="57" fillId="0" borderId="0" xfId="0" applyNumberFormat="1" applyFont="1"/>
    <xf numFmtId="3" fontId="57" fillId="0" borderId="0" xfId="6126" applyNumberFormat="1" applyFont="1" applyAlignment="1">
      <alignment vertical="top"/>
    </xf>
    <xf numFmtId="3" fontId="57" fillId="0" borderId="0" xfId="6126" applyNumberFormat="1" applyFont="1" applyAlignment="1">
      <alignment vertical="center"/>
    </xf>
    <xf numFmtId="49" fontId="57" fillId="0" borderId="0" xfId="2653" applyNumberFormat="1" applyFont="1" applyAlignment="1">
      <alignment horizontal="left" vertical="top" wrapText="1"/>
    </xf>
    <xf numFmtId="0" fontId="57" fillId="0" borderId="0" xfId="2653" applyFont="1" applyAlignment="1">
      <alignment horizontal="center" vertical="top" wrapText="1"/>
    </xf>
    <xf numFmtId="49" fontId="57" fillId="0" borderId="0" xfId="2653" applyNumberFormat="1" applyFont="1" applyAlignment="1">
      <alignment horizontal="center" vertical="top" wrapText="1"/>
    </xf>
    <xf numFmtId="49" fontId="57" fillId="0" borderId="2" xfId="2653" applyNumberFormat="1" applyFont="1" applyBorder="1" applyAlignment="1">
      <alignment horizontal="center" vertical="center"/>
    </xf>
    <xf numFmtId="49" fontId="57" fillId="0" borderId="0" xfId="2653" applyNumberFormat="1" applyFont="1" applyAlignment="1">
      <alignment horizontal="center" vertical="center" wrapText="1"/>
    </xf>
    <xf numFmtId="0" fontId="57" fillId="0" borderId="0" xfId="2653" applyFont="1" applyAlignment="1">
      <alignment horizontal="center" vertical="center"/>
    </xf>
    <xf numFmtId="49" fontId="57" fillId="0" borderId="0" xfId="2653" applyNumberFormat="1" applyFont="1" applyAlignment="1">
      <alignment horizontal="center" vertical="center"/>
    </xf>
    <xf numFmtId="49" fontId="57" fillId="0" borderId="0" xfId="2656" applyNumberFormat="1" applyFont="1" applyAlignment="1">
      <alignment horizontal="center" vertical="top"/>
    </xf>
    <xf numFmtId="169" fontId="57" fillId="0" borderId="2" xfId="2656" applyNumberFormat="1" applyFont="1" applyBorder="1" applyAlignment="1">
      <alignment horizontal="center" vertical="center"/>
    </xf>
    <xf numFmtId="0" fontId="57" fillId="0" borderId="2" xfId="2656" applyFont="1" applyBorder="1" applyAlignment="1">
      <alignment horizontal="center" vertical="center"/>
    </xf>
    <xf numFmtId="0" fontId="57" fillId="0" borderId="1" xfId="2656" applyFont="1" applyBorder="1" applyAlignment="1">
      <alignment horizontal="center" vertical="center"/>
    </xf>
    <xf numFmtId="169" fontId="57" fillId="0" borderId="0" xfId="2656" applyNumberFormat="1" applyFont="1" applyAlignment="1">
      <alignment horizontal="center" vertical="center"/>
    </xf>
    <xf numFmtId="0" fontId="57" fillId="0" borderId="0" xfId="2656" applyFont="1" applyAlignment="1">
      <alignment horizontal="center" vertical="center"/>
    </xf>
    <xf numFmtId="0" fontId="57" fillId="0" borderId="5" xfId="2656" applyFont="1" applyBorder="1" applyAlignment="1">
      <alignment horizontal="center" vertical="center"/>
    </xf>
    <xf numFmtId="169" fontId="57" fillId="0" borderId="3" xfId="2656" applyNumberFormat="1" applyFont="1" applyBorder="1" applyAlignment="1">
      <alignment horizontal="center" vertical="center"/>
    </xf>
    <xf numFmtId="0" fontId="57" fillId="0" borderId="3" xfId="2656" applyFont="1" applyBorder="1" applyAlignment="1">
      <alignment horizontal="center" vertical="center"/>
    </xf>
    <xf numFmtId="169" fontId="57" fillId="0" borderId="0" xfId="2656" applyNumberFormat="1" applyFont="1" applyAlignment="1">
      <alignment horizontal="center" vertical="justify"/>
    </xf>
    <xf numFmtId="170" fontId="57" fillId="0" borderId="0" xfId="2656" applyNumberFormat="1" applyFont="1" applyAlignment="1">
      <alignment horizontal="center" vertical="justify"/>
    </xf>
    <xf numFmtId="0" fontId="57" fillId="0" borderId="0" xfId="2656" applyFont="1" applyAlignment="1">
      <alignment horizontal="center" vertical="justify"/>
    </xf>
    <xf numFmtId="0" fontId="57" fillId="0" borderId="0" xfId="0" applyFont="1" applyAlignment="1">
      <alignment horizontal="center" vertical="top"/>
    </xf>
    <xf numFmtId="49" fontId="57" fillId="0" borderId="0" xfId="2654" applyNumberFormat="1" applyFont="1" applyAlignment="1">
      <alignment horizontal="left" vertical="top"/>
    </xf>
    <xf numFmtId="49" fontId="57" fillId="0" borderId="0" xfId="2654" applyNumberFormat="1" applyFont="1" applyAlignment="1">
      <alignment horizontal="right" vertical="top"/>
    </xf>
    <xf numFmtId="0" fontId="57" fillId="0" borderId="0" xfId="0" applyFont="1" applyAlignment="1">
      <alignment horizontal="center" vertical="top" wrapText="1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 vertical="center"/>
    </xf>
    <xf numFmtId="3" fontId="57" fillId="0" borderId="0" xfId="0" applyNumberFormat="1" applyFont="1" applyAlignment="1">
      <alignment horizontal="center" vertical="top"/>
    </xf>
    <xf numFmtId="3" fontId="57" fillId="0" borderId="0" xfId="3413" applyNumberFormat="1" applyFont="1" applyFill="1" applyAlignment="1">
      <alignment horizontal="right" vertical="top" wrapText="1"/>
    </xf>
    <xf numFmtId="49" fontId="57" fillId="0" borderId="0" xfId="6126" applyNumberFormat="1" applyFont="1" applyAlignment="1">
      <alignment horizontal="center" vertical="top"/>
    </xf>
    <xf numFmtId="0" fontId="57" fillId="0" borderId="0" xfId="6126" applyFont="1" applyAlignment="1">
      <alignment horizontal="left" vertical="top" wrapText="1"/>
    </xf>
    <xf numFmtId="49" fontId="75" fillId="0" borderId="0" xfId="0" applyNumberFormat="1" applyFont="1" applyAlignment="1">
      <alignment horizontal="center" vertical="top" wrapText="1"/>
    </xf>
    <xf numFmtId="0" fontId="75" fillId="0" borderId="0" xfId="0" applyFont="1" applyAlignment="1">
      <alignment vertical="top" wrapText="1"/>
    </xf>
    <xf numFmtId="49" fontId="75" fillId="0" borderId="0" xfId="0" applyNumberFormat="1" applyFont="1" applyAlignment="1">
      <alignment horizontal="center" vertical="center" wrapText="1"/>
    </xf>
    <xf numFmtId="169" fontId="57" fillId="0" borderId="4" xfId="2656" applyNumberFormat="1" applyFont="1" applyBorder="1" applyAlignment="1">
      <alignment horizontal="left" vertical="top"/>
    </xf>
    <xf numFmtId="169" fontId="57" fillId="0" borderId="2" xfId="2656" applyNumberFormat="1" applyFont="1" applyBorder="1" applyAlignment="1">
      <alignment horizontal="left" vertical="top"/>
    </xf>
    <xf numFmtId="49" fontId="57" fillId="0" borderId="0" xfId="2656" applyNumberFormat="1" applyFont="1" applyAlignment="1">
      <alignment horizontal="left" vertical="top" wrapText="1"/>
    </xf>
    <xf numFmtId="169" fontId="57" fillId="0" borderId="1" xfId="2656" applyNumberFormat="1" applyFont="1" applyBorder="1" applyAlignment="1">
      <alignment horizontal="left" vertical="top"/>
    </xf>
    <xf numFmtId="170" fontId="57" fillId="0" borderId="0" xfId="2656" applyNumberFormat="1" applyFont="1" applyAlignment="1">
      <alignment horizontal="left" vertical="top"/>
    </xf>
    <xf numFmtId="169" fontId="57" fillId="0" borderId="5" xfId="2656" applyNumberFormat="1" applyFont="1" applyBorder="1" applyAlignment="1">
      <alignment horizontal="left" vertical="top"/>
    </xf>
    <xf numFmtId="0" fontId="57" fillId="0" borderId="3" xfId="2656" applyFont="1" applyBorder="1" applyAlignment="1">
      <alignment horizontal="left" vertical="top"/>
    </xf>
    <xf numFmtId="170" fontId="57" fillId="0" borderId="3" xfId="2656" applyNumberFormat="1" applyFont="1" applyBorder="1" applyAlignment="1">
      <alignment horizontal="left" vertical="top"/>
    </xf>
    <xf numFmtId="49" fontId="57" fillId="0" borderId="3" xfId="2656" applyNumberFormat="1" applyFont="1" applyBorder="1" applyAlignment="1">
      <alignment horizontal="left" vertical="center"/>
    </xf>
    <xf numFmtId="0" fontId="57" fillId="0" borderId="4" xfId="2656" applyFont="1" applyBorder="1" applyAlignment="1">
      <alignment horizontal="left" vertical="center"/>
    </xf>
    <xf numFmtId="169" fontId="57" fillId="0" borderId="2" xfId="2656" applyNumberFormat="1" applyFont="1" applyBorder="1" applyAlignment="1">
      <alignment horizontal="left" vertical="center"/>
    </xf>
    <xf numFmtId="0" fontId="57" fillId="0" borderId="2" xfId="2656" applyFont="1" applyBorder="1" applyAlignment="1">
      <alignment horizontal="left" vertical="center"/>
    </xf>
    <xf numFmtId="3" fontId="57" fillId="0" borderId="11" xfId="2656" applyNumberFormat="1" applyFont="1" applyBorder="1" applyAlignment="1">
      <alignment horizontal="left" vertical="top"/>
    </xf>
    <xf numFmtId="0" fontId="57" fillId="0" borderId="1" xfId="2656" applyFont="1" applyBorder="1" applyAlignment="1">
      <alignment horizontal="left" vertical="center"/>
    </xf>
    <xf numFmtId="169" fontId="57" fillId="0" borderId="0" xfId="2656" applyNumberFormat="1" applyFont="1" applyAlignment="1">
      <alignment horizontal="left" vertical="center"/>
    </xf>
    <xf numFmtId="0" fontId="57" fillId="0" borderId="0" xfId="2656" applyFont="1" applyAlignment="1">
      <alignment horizontal="left" vertical="center"/>
    </xf>
    <xf numFmtId="3" fontId="57" fillId="0" borderId="7" xfId="2656" applyNumberFormat="1" applyFont="1" applyBorder="1" applyAlignment="1">
      <alignment horizontal="left" vertical="top"/>
    </xf>
    <xf numFmtId="49" fontId="57" fillId="0" borderId="5" xfId="2656" applyNumberFormat="1" applyFont="1" applyBorder="1" applyAlignment="1">
      <alignment horizontal="left" vertical="center" wrapText="1"/>
    </xf>
    <xf numFmtId="49" fontId="57" fillId="0" borderId="3" xfId="2656" applyNumberFormat="1" applyFont="1" applyBorder="1" applyAlignment="1">
      <alignment horizontal="left" vertical="center" wrapText="1"/>
    </xf>
    <xf numFmtId="49" fontId="57" fillId="0" borderId="10" xfId="2656" applyNumberFormat="1" applyFont="1" applyBorder="1" applyAlignment="1">
      <alignment horizontal="left" vertical="top"/>
    </xf>
    <xf numFmtId="49" fontId="76" fillId="0" borderId="0" xfId="2653" applyNumberFormat="1" applyFont="1" applyAlignment="1">
      <alignment horizontal="center" vertical="top"/>
    </xf>
    <xf numFmtId="0" fontId="57" fillId="0" borderId="4" xfId="2656" applyFont="1" applyBorder="1" applyAlignment="1">
      <alignment horizontal="center" vertical="top"/>
    </xf>
    <xf numFmtId="0" fontId="57" fillId="0" borderId="1" xfId="2656" applyFont="1" applyBorder="1" applyAlignment="1">
      <alignment horizontal="left" vertical="top"/>
    </xf>
    <xf numFmtId="0" fontId="57" fillId="0" borderId="1" xfId="2656" applyFont="1" applyBorder="1" applyAlignment="1">
      <alignment vertical="top"/>
    </xf>
    <xf numFmtId="0" fontId="57" fillId="0" borderId="5" xfId="2656" applyFont="1" applyBorder="1" applyAlignment="1">
      <alignment vertical="top" wrapText="1"/>
    </xf>
    <xf numFmtId="0" fontId="57" fillId="0" borderId="3" xfId="0" applyFont="1" applyBorder="1" applyAlignment="1">
      <alignment vertical="top"/>
    </xf>
    <xf numFmtId="3" fontId="57" fillId="0" borderId="2" xfId="2656" applyNumberFormat="1" applyFont="1" applyBorder="1" applyAlignment="1">
      <alignment horizontal="center" vertical="top"/>
    </xf>
    <xf numFmtId="3" fontId="57" fillId="0" borderId="3" xfId="2656" applyNumberFormat="1" applyFont="1" applyBorder="1" applyAlignment="1">
      <alignment horizontal="center" vertical="top"/>
    </xf>
    <xf numFmtId="0" fontId="57" fillId="0" borderId="8" xfId="2656" applyFont="1" applyBorder="1" applyAlignment="1">
      <alignment horizontal="center" vertical="top"/>
    </xf>
    <xf numFmtId="0" fontId="57" fillId="0" borderId="9" xfId="2656" applyFont="1" applyBorder="1" applyAlignment="1">
      <alignment horizontal="left" vertical="top"/>
    </xf>
    <xf numFmtId="0" fontId="57" fillId="0" borderId="9" xfId="2656" applyFont="1" applyBorder="1" applyAlignment="1">
      <alignment vertical="top"/>
    </xf>
    <xf numFmtId="0" fontId="57" fillId="0" borderId="6" xfId="2656" applyFont="1" applyBorder="1" applyAlignment="1">
      <alignment vertical="top"/>
    </xf>
    <xf numFmtId="49" fontId="57" fillId="0" borderId="0" xfId="2656" applyNumberFormat="1" applyFont="1" applyAlignment="1">
      <alignment horizontal="left" vertical="center"/>
    </xf>
    <xf numFmtId="49" fontId="57" fillId="0" borderId="0" xfId="2656" applyNumberFormat="1" applyFont="1" applyAlignment="1">
      <alignment horizontal="left" vertical="top"/>
    </xf>
    <xf numFmtId="169" fontId="57" fillId="0" borderId="8" xfId="2656" applyNumberFormat="1" applyFont="1" applyBorder="1" applyAlignment="1">
      <alignment vertical="top"/>
    </xf>
    <xf numFmtId="0" fontId="57" fillId="0" borderId="9" xfId="2656" applyFont="1" applyBorder="1" applyAlignment="1">
      <alignment vertical="top" wrapText="1"/>
    </xf>
    <xf numFmtId="49" fontId="57" fillId="0" borderId="6" xfId="2656" applyNumberFormat="1" applyFont="1" applyBorder="1" applyAlignment="1">
      <alignment horizontal="left" vertical="top" wrapText="1"/>
    </xf>
    <xf numFmtId="169" fontId="57" fillId="0" borderId="11" xfId="2656" applyNumberFormat="1" applyFont="1" applyBorder="1" applyAlignment="1">
      <alignment vertical="top"/>
    </xf>
    <xf numFmtId="0" fontId="57" fillId="0" borderId="7" xfId="2656" applyFont="1" applyBorder="1" applyAlignment="1">
      <alignment vertical="top" wrapText="1"/>
    </xf>
    <xf numFmtId="49" fontId="57" fillId="0" borderId="10" xfId="2656" applyNumberFormat="1" applyFont="1" applyBorder="1" applyAlignment="1">
      <alignment horizontal="left" vertical="top" wrapText="1"/>
    </xf>
    <xf numFmtId="49" fontId="57" fillId="0" borderId="0" xfId="2653" applyNumberFormat="1" applyFont="1" applyAlignment="1">
      <alignment horizontal="left" vertical="center"/>
    </xf>
    <xf numFmtId="3" fontId="57" fillId="0" borderId="6" xfId="2656" applyNumberFormat="1" applyFont="1" applyBorder="1" applyAlignment="1">
      <alignment wrapText="1"/>
    </xf>
    <xf numFmtId="3" fontId="57" fillId="0" borderId="0" xfId="3436" applyNumberFormat="1" applyFont="1" applyAlignment="1">
      <alignment horizontal="right" vertical="top"/>
    </xf>
    <xf numFmtId="3" fontId="57" fillId="0" borderId="10" xfId="2656" applyNumberFormat="1" applyFont="1" applyBorder="1" applyAlignment="1">
      <alignment wrapText="1"/>
    </xf>
    <xf numFmtId="3" fontId="57" fillId="0" borderId="0" xfId="2656" applyNumberFormat="1" applyFont="1" applyAlignment="1">
      <alignment wrapText="1"/>
    </xf>
    <xf numFmtId="3" fontId="57" fillId="0" borderId="0" xfId="2656" applyNumberFormat="1" applyFont="1" applyAlignment="1">
      <alignment vertical="top"/>
    </xf>
    <xf numFmtId="3" fontId="57" fillId="0" borderId="0" xfId="2656" applyNumberFormat="1" applyFont="1"/>
    <xf numFmtId="173" fontId="57" fillId="0" borderId="0" xfId="0" applyNumberFormat="1" applyFont="1"/>
    <xf numFmtId="3" fontId="57" fillId="0" borderId="0" xfId="0" applyNumberFormat="1" applyFont="1" applyAlignment="1">
      <alignment vertical="top"/>
    </xf>
    <xf numFmtId="0" fontId="57" fillId="0" borderId="15" xfId="0" applyFont="1" applyBorder="1" applyAlignment="1">
      <alignment horizontal="center" vertical="center"/>
    </xf>
    <xf numFmtId="3" fontId="57" fillId="0" borderId="15" xfId="0" applyNumberFormat="1" applyFont="1" applyBorder="1" applyAlignment="1">
      <alignment horizontal="center" vertical="center" wrapText="1"/>
    </xf>
    <xf numFmtId="0" fontId="80" fillId="0" borderId="9" xfId="2653" applyFont="1" applyBorder="1" applyAlignment="1">
      <alignment horizontal="center" vertical="top" wrapText="1"/>
    </xf>
    <xf numFmtId="0" fontId="57" fillId="0" borderId="0" xfId="0" applyFont="1" applyAlignment="1">
      <alignment vertical="center" wrapText="1"/>
    </xf>
    <xf numFmtId="49" fontId="79" fillId="0" borderId="0" xfId="2654" applyNumberFormat="1" applyFont="1" applyAlignment="1">
      <alignment horizontal="center" vertical="top"/>
    </xf>
    <xf numFmtId="49" fontId="57" fillId="0" borderId="3" xfId="2656" applyNumberFormat="1" applyFont="1" applyBorder="1" applyAlignment="1">
      <alignment horizontal="left" vertical="top"/>
    </xf>
    <xf numFmtId="0" fontId="57" fillId="0" borderId="5" xfId="2653" applyFont="1" applyBorder="1" applyAlignment="1">
      <alignment horizontal="center" vertical="center"/>
    </xf>
    <xf numFmtId="49" fontId="57" fillId="0" borderId="3" xfId="2653" applyNumberFormat="1" applyFont="1" applyBorder="1" applyAlignment="1">
      <alignment horizontal="center" vertical="center" wrapText="1"/>
    </xf>
    <xf numFmtId="49" fontId="57" fillId="0" borderId="3" xfId="2653" applyNumberFormat="1" applyFont="1" applyBorder="1" applyAlignment="1">
      <alignment horizontal="left" vertical="center"/>
    </xf>
    <xf numFmtId="0" fontId="82" fillId="0" borderId="13" xfId="2653" applyFont="1" applyBorder="1">
      <alignment horizontal="center"/>
    </xf>
    <xf numFmtId="49" fontId="82" fillId="0" borderId="14" xfId="2653" applyNumberFormat="1" applyFont="1" applyBorder="1">
      <alignment horizontal="center"/>
    </xf>
    <xf numFmtId="49" fontId="82" fillId="0" borderId="12" xfId="2653" applyNumberFormat="1" applyFont="1" applyBorder="1">
      <alignment horizontal="center"/>
    </xf>
    <xf numFmtId="0" fontId="82" fillId="0" borderId="12" xfId="2653" applyFont="1" applyBorder="1">
      <alignment horizontal="center"/>
    </xf>
    <xf numFmtId="3" fontId="82" fillId="0" borderId="12" xfId="6126" applyNumberFormat="1" applyFont="1" applyBorder="1">
      <alignment horizontal="center"/>
    </xf>
    <xf numFmtId="0" fontId="82" fillId="0" borderId="0" xfId="2653" applyFont="1">
      <alignment horizontal="center"/>
    </xf>
    <xf numFmtId="0" fontId="82" fillId="0" borderId="4" xfId="2656" applyFont="1" applyBorder="1" applyAlignment="1">
      <alignment horizontal="left" vertical="center"/>
    </xf>
    <xf numFmtId="169" fontId="82" fillId="0" borderId="2" xfId="2656" applyNumberFormat="1" applyFont="1" applyBorder="1" applyAlignment="1">
      <alignment horizontal="center" vertical="center"/>
    </xf>
    <xf numFmtId="0" fontId="82" fillId="0" borderId="2" xfId="2656" applyFont="1" applyBorder="1" applyAlignment="1">
      <alignment horizontal="center" vertical="center"/>
    </xf>
    <xf numFmtId="3" fontId="82" fillId="0" borderId="2" xfId="2656" applyNumberFormat="1" applyFont="1" applyBorder="1" applyAlignment="1">
      <alignment horizontal="center" vertical="top"/>
    </xf>
    <xf numFmtId="0" fontId="82" fillId="0" borderId="1" xfId="2656" applyFont="1" applyBorder="1" applyAlignment="1">
      <alignment horizontal="center" vertical="center"/>
    </xf>
    <xf numFmtId="169" fontId="82" fillId="0" borderId="0" xfId="2656" applyNumberFormat="1" applyFont="1" applyAlignment="1">
      <alignment horizontal="center" vertical="center"/>
    </xf>
    <xf numFmtId="0" fontId="82" fillId="0" borderId="0" xfId="2656" applyFont="1" applyAlignment="1">
      <alignment horizontal="center" vertical="center"/>
    </xf>
    <xf numFmtId="3" fontId="82" fillId="0" borderId="0" xfId="2656" applyNumberFormat="1" applyFont="1" applyAlignment="1">
      <alignment horizontal="center" vertical="top"/>
    </xf>
    <xf numFmtId="0" fontId="82" fillId="0" borderId="5" xfId="2656" applyFont="1" applyBorder="1" applyAlignment="1">
      <alignment horizontal="center" vertical="center"/>
    </xf>
    <xf numFmtId="169" fontId="82" fillId="0" borderId="3" xfId="2656" applyNumberFormat="1" applyFont="1" applyBorder="1" applyAlignment="1">
      <alignment horizontal="center" vertical="center"/>
    </xf>
    <xf numFmtId="0" fontId="82" fillId="0" borderId="3" xfId="2656" applyFont="1" applyBorder="1" applyAlignment="1">
      <alignment horizontal="center" vertical="center"/>
    </xf>
    <xf numFmtId="3" fontId="82" fillId="0" borderId="3" xfId="2656" applyNumberFormat="1" applyFont="1" applyBorder="1" applyAlignment="1">
      <alignment horizontal="center" vertical="top"/>
    </xf>
    <xf numFmtId="0" fontId="57" fillId="0" borderId="0" xfId="6418" applyFont="1" applyAlignment="1">
      <alignment horizontal="center" vertical="center" wrapText="1"/>
    </xf>
    <xf numFmtId="170" fontId="57" fillId="0" borderId="0" xfId="6418" applyNumberFormat="1" applyFont="1" applyAlignment="1">
      <alignment horizontal="center" vertical="center" wrapText="1"/>
    </xf>
    <xf numFmtId="0" fontId="57" fillId="0" borderId="0" xfId="6418" applyFont="1" applyAlignment="1">
      <alignment vertical="center" wrapText="1"/>
    </xf>
    <xf numFmtId="0" fontId="57" fillId="0" borderId="0" xfId="6418" applyFont="1"/>
    <xf numFmtId="3" fontId="57" fillId="0" borderId="0" xfId="6418" applyNumberFormat="1" applyFont="1" applyAlignment="1">
      <alignment horizontal="right" vertical="top" wrapText="1"/>
    </xf>
    <xf numFmtId="0" fontId="57" fillId="0" borderId="2" xfId="6418" applyFont="1" applyBorder="1" applyAlignment="1">
      <alignment horizontal="left" vertical="center" wrapText="1"/>
    </xf>
    <xf numFmtId="0" fontId="57" fillId="0" borderId="11" xfId="6418" applyFont="1" applyBorder="1" applyAlignment="1">
      <alignment horizontal="center" vertical="center" wrapText="1"/>
    </xf>
    <xf numFmtId="0" fontId="57" fillId="0" borderId="1" xfId="6418" applyFont="1" applyBorder="1" applyAlignment="1">
      <alignment horizontal="left" vertical="center" wrapText="1"/>
    </xf>
    <xf numFmtId="0" fontId="57" fillId="0" borderId="0" xfId="6418" applyFont="1" applyAlignment="1">
      <alignment horizontal="left" vertical="center" wrapText="1"/>
    </xf>
    <xf numFmtId="0" fontId="82" fillId="3" borderId="15" xfId="6418" applyFont="1" applyFill="1" applyBorder="1" applyAlignment="1">
      <alignment horizontal="center" vertical="center" wrapText="1"/>
    </xf>
    <xf numFmtId="0" fontId="82" fillId="0" borderId="15" xfId="6418" applyFont="1" applyBorder="1" applyAlignment="1">
      <alignment horizontal="center"/>
    </xf>
    <xf numFmtId="0" fontId="82" fillId="0" borderId="0" xfId="6418" applyFont="1"/>
    <xf numFmtId="1" fontId="57" fillId="0" borderId="0" xfId="6418" applyNumberFormat="1" applyFont="1" applyAlignment="1">
      <alignment vertical="center" wrapText="1"/>
    </xf>
    <xf numFmtId="49" fontId="57" fillId="0" borderId="0" xfId="6418" applyNumberFormat="1" applyFont="1" applyAlignment="1">
      <alignment horizontal="center" vertical="center" wrapText="1"/>
    </xf>
    <xf numFmtId="3" fontId="57" fillId="0" borderId="0" xfId="6419" applyNumberFormat="1" applyFont="1" applyAlignment="1">
      <alignment horizontal="right" vertical="top" wrapText="1"/>
    </xf>
    <xf numFmtId="3" fontId="57" fillId="0" borderId="0" xfId="6418" applyNumberFormat="1" applyFont="1" applyAlignment="1">
      <alignment horizontal="justify" vertical="center" wrapText="1"/>
    </xf>
    <xf numFmtId="3" fontId="57" fillId="0" borderId="0" xfId="6418" applyNumberFormat="1" applyFont="1" applyAlignment="1">
      <alignment vertical="center" wrapText="1"/>
    </xf>
    <xf numFmtId="170" fontId="57" fillId="0" borderId="0" xfId="6419" applyNumberFormat="1" applyFont="1" applyAlignment="1">
      <alignment horizontal="center" vertical="center" wrapText="1"/>
    </xf>
    <xf numFmtId="3" fontId="57" fillId="0" borderId="0" xfId="6419" applyNumberFormat="1" applyFont="1" applyAlignment="1">
      <alignment horizontal="justify" vertical="center" wrapText="1"/>
    </xf>
    <xf numFmtId="0" fontId="57" fillId="0" borderId="0" xfId="6419" applyFont="1" applyAlignment="1">
      <alignment vertical="center" wrapText="1"/>
    </xf>
    <xf numFmtId="3" fontId="57" fillId="0" borderId="0" xfId="6420" applyNumberFormat="1" applyFont="1" applyAlignment="1">
      <alignment horizontal="right" vertical="top" wrapText="1"/>
    </xf>
    <xf numFmtId="0" fontId="57" fillId="0" borderId="0" xfId="6418" applyFont="1" applyAlignment="1">
      <alignment horizontal="justify" vertical="top" wrapText="1"/>
    </xf>
    <xf numFmtId="49" fontId="57" fillId="4" borderId="0" xfId="2654" applyNumberFormat="1" applyFont="1" applyFill="1" applyAlignment="1">
      <alignment horizontal="center" vertical="top"/>
    </xf>
    <xf numFmtId="0" fontId="57" fillId="4" borderId="0" xfId="2654" applyFont="1" applyFill="1" applyAlignment="1">
      <alignment horizontal="left" vertical="top" wrapText="1"/>
    </xf>
    <xf numFmtId="3" fontId="57" fillId="0" borderId="15" xfId="6418" applyNumberFormat="1" applyFont="1" applyBorder="1" applyAlignment="1">
      <alignment horizontal="justify" vertical="center" wrapText="1"/>
    </xf>
    <xf numFmtId="3" fontId="57" fillId="0" borderId="15" xfId="6418" applyNumberFormat="1" applyFont="1" applyBorder="1" applyAlignment="1">
      <alignment vertical="center" wrapText="1"/>
    </xf>
    <xf numFmtId="0" fontId="57" fillId="0" borderId="15" xfId="6418" applyFont="1" applyBorder="1" applyAlignment="1">
      <alignment vertical="center" wrapText="1"/>
    </xf>
    <xf numFmtId="49" fontId="75" fillId="0" borderId="0" xfId="0" applyNumberFormat="1" applyFont="1" applyAlignment="1">
      <alignment horizontal="center" vertical="top"/>
    </xf>
    <xf numFmtId="3" fontId="57" fillId="0" borderId="0" xfId="6345" applyNumberFormat="1" applyFont="1" applyAlignment="1">
      <alignment horizontal="right" vertical="top" wrapText="1"/>
    </xf>
    <xf numFmtId="3" fontId="57" fillId="0" borderId="0" xfId="6346" applyNumberFormat="1" applyFont="1" applyAlignment="1">
      <alignment horizontal="right" vertical="top" wrapText="1"/>
    </xf>
    <xf numFmtId="3" fontId="57" fillId="0" borderId="0" xfId="6347" applyNumberFormat="1" applyFont="1" applyAlignment="1">
      <alignment horizontal="right" vertical="top" wrapText="1"/>
    </xf>
    <xf numFmtId="3" fontId="57" fillId="0" borderId="0" xfId="6348" applyNumberFormat="1" applyFont="1" applyAlignment="1">
      <alignment horizontal="right" vertical="top" wrapText="1"/>
    </xf>
    <xf numFmtId="3" fontId="57" fillId="0" borderId="0" xfId="6150" applyNumberFormat="1" applyFont="1" applyAlignment="1">
      <alignment horizontal="right" vertical="top" wrapText="1"/>
    </xf>
    <xf numFmtId="0" fontId="79" fillId="0" borderId="0" xfId="2653" applyFont="1" applyAlignment="1">
      <alignment horizontal="center" vertical="center"/>
    </xf>
    <xf numFmtId="49" fontId="79" fillId="0" borderId="0" xfId="0" applyNumberFormat="1" applyFont="1" applyAlignment="1">
      <alignment horizontal="center" vertical="center"/>
    </xf>
    <xf numFmtId="49" fontId="79" fillId="0" borderId="0" xfId="0" applyNumberFormat="1" applyFont="1" applyAlignment="1">
      <alignment horizontal="center" vertical="top"/>
    </xf>
    <xf numFmtId="49" fontId="79" fillId="0" borderId="0" xfId="2653" applyNumberFormat="1" applyFont="1" applyAlignment="1">
      <alignment horizontal="center" vertical="top"/>
    </xf>
    <xf numFmtId="49" fontId="79" fillId="0" borderId="0" xfId="2656" applyNumberFormat="1" applyFont="1" applyAlignment="1">
      <alignment horizontal="center" vertical="top"/>
    </xf>
    <xf numFmtId="0" fontId="79" fillId="0" borderId="0" xfId="2656" applyFont="1" applyAlignment="1">
      <alignment horizontal="center" vertical="center"/>
    </xf>
    <xf numFmtId="3" fontId="57" fillId="0" borderId="0" xfId="2653" applyNumberFormat="1" applyFont="1" applyAlignment="1">
      <alignment vertical="center"/>
    </xf>
    <xf numFmtId="0" fontId="57" fillId="0" borderId="0" xfId="6126" applyFont="1" applyAlignment="1">
      <alignment horizontal="center" vertical="top"/>
    </xf>
    <xf numFmtId="0" fontId="86" fillId="0" borderId="0" xfId="0" applyFont="1" applyAlignment="1">
      <alignment horizontal="center" vertical="center"/>
    </xf>
    <xf numFmtId="49" fontId="57" fillId="6" borderId="0" xfId="2654" applyNumberFormat="1" applyFont="1" applyFill="1" applyAlignment="1">
      <alignment horizontal="center" vertical="top"/>
    </xf>
    <xf numFmtId="49" fontId="57" fillId="0" borderId="10" xfId="2653" applyNumberFormat="1" applyFont="1" applyBorder="1" applyAlignment="1">
      <alignment horizontal="left" vertical="top"/>
    </xf>
    <xf numFmtId="49" fontId="57" fillId="0" borderId="3" xfId="2656" applyNumberFormat="1" applyFont="1" applyBorder="1" applyAlignment="1">
      <alignment vertical="top"/>
    </xf>
    <xf numFmtId="0" fontId="57" fillId="0" borderId="0" xfId="15897" applyFont="1" applyAlignment="1">
      <alignment vertical="center"/>
    </xf>
    <xf numFmtId="0" fontId="57" fillId="0" borderId="0" xfId="15897" applyFont="1"/>
    <xf numFmtId="49" fontId="57" fillId="0" borderId="0" xfId="15897" applyNumberFormat="1" applyFont="1"/>
    <xf numFmtId="0" fontId="57" fillId="0" borderId="0" xfId="15897" applyFont="1" applyAlignment="1">
      <alignment vertical="center" wrapText="1"/>
    </xf>
    <xf numFmtId="3" fontId="57" fillId="0" borderId="0" xfId="15897" applyNumberFormat="1" applyFont="1" applyAlignment="1">
      <alignment horizontal="center" vertical="top"/>
    </xf>
    <xf numFmtId="3" fontId="57" fillId="0" borderId="0" xfId="15897" applyNumberFormat="1" applyFont="1" applyAlignment="1">
      <alignment vertical="center"/>
    </xf>
    <xf numFmtId="0" fontId="57" fillId="0" borderId="11" xfId="15898" applyFont="1" applyBorder="1" applyAlignment="1">
      <alignment vertical="center" wrapText="1"/>
    </xf>
    <xf numFmtId="0" fontId="57" fillId="0" borderId="1" xfId="15898" applyFont="1" applyBorder="1" applyAlignment="1">
      <alignment horizontal="center" vertical="center" wrapText="1"/>
    </xf>
    <xf numFmtId="0" fontId="57" fillId="0" borderId="0" xfId="15898" applyFont="1" applyAlignment="1">
      <alignment horizontal="left" vertical="center"/>
    </xf>
    <xf numFmtId="49" fontId="57" fillId="0" borderId="0" xfId="15898" applyNumberFormat="1" applyFont="1" applyAlignment="1">
      <alignment vertical="center" wrapText="1"/>
    </xf>
    <xf numFmtId="0" fontId="57" fillId="0" borderId="7" xfId="15898" applyFont="1" applyBorder="1" applyAlignment="1">
      <alignment horizontal="center" vertical="center" wrapText="1"/>
    </xf>
    <xf numFmtId="0" fontId="57" fillId="0" borderId="0" xfId="15898" applyFont="1" applyAlignment="1">
      <alignment horizontal="center" vertical="center" wrapText="1"/>
    </xf>
    <xf numFmtId="49" fontId="57" fillId="0" borderId="0" xfId="15898" applyNumberFormat="1" applyFont="1" applyAlignment="1">
      <alignment horizontal="left" vertical="center"/>
    </xf>
    <xf numFmtId="0" fontId="57" fillId="0" borderId="7" xfId="15898" applyFont="1" applyBorder="1" applyAlignment="1">
      <alignment vertical="center" wrapText="1"/>
    </xf>
    <xf numFmtId="0" fontId="57" fillId="0" borderId="8" xfId="15897" applyFont="1" applyBorder="1" applyAlignment="1">
      <alignment horizontal="center" vertical="center"/>
    </xf>
    <xf numFmtId="0" fontId="57" fillId="0" borderId="0" xfId="15898" applyFont="1" applyAlignment="1">
      <alignment vertical="center" wrapText="1"/>
    </xf>
    <xf numFmtId="0" fontId="57" fillId="0" borderId="6" xfId="15897" applyFont="1" applyBorder="1" applyAlignment="1">
      <alignment horizontal="center" vertical="center"/>
    </xf>
    <xf numFmtId="0" fontId="57" fillId="0" borderId="15" xfId="15897" applyFont="1" applyBorder="1" applyAlignment="1">
      <alignment horizontal="center" vertical="center" wrapText="1"/>
    </xf>
    <xf numFmtId="0" fontId="57" fillId="0" borderId="12" xfId="15897" applyFont="1" applyBorder="1" applyAlignment="1">
      <alignment horizontal="center" vertical="center"/>
    </xf>
    <xf numFmtId="0" fontId="57" fillId="0" borderId="15" xfId="15897" applyFont="1" applyBorder="1" applyAlignment="1">
      <alignment horizontal="center" vertical="top"/>
    </xf>
    <xf numFmtId="0" fontId="57" fillId="0" borderId="0" xfId="15897" applyFont="1" applyAlignment="1">
      <alignment horizontal="center" vertical="top" wrapText="1"/>
    </xf>
    <xf numFmtId="49" fontId="57" fillId="0" borderId="0" xfId="15897" applyNumberFormat="1" applyFont="1" applyAlignment="1">
      <alignment horizontal="center" vertical="top" wrapText="1"/>
    </xf>
    <xf numFmtId="0" fontId="57" fillId="0" borderId="0" xfId="15897" applyFont="1" applyAlignment="1">
      <alignment horizontal="left" vertical="top"/>
    </xf>
    <xf numFmtId="3" fontId="57" fillId="0" borderId="0" xfId="15897" applyNumberFormat="1" applyFont="1" applyAlignment="1">
      <alignment horizontal="right" vertical="top" wrapText="1"/>
    </xf>
    <xf numFmtId="3" fontId="57" fillId="0" borderId="0" xfId="15897" applyNumberFormat="1" applyFont="1" applyAlignment="1">
      <alignment vertical="center" wrapText="1"/>
    </xf>
    <xf numFmtId="49" fontId="57" fillId="0" borderId="0" xfId="2654" applyNumberFormat="1" applyFont="1" applyAlignment="1">
      <alignment horizontal="left" vertical="top" wrapText="1"/>
    </xf>
    <xf numFmtId="0" fontId="87" fillId="0" borderId="0" xfId="0" applyFont="1" applyAlignment="1">
      <alignment vertical="top" wrapText="1"/>
    </xf>
    <xf numFmtId="0" fontId="57" fillId="0" borderId="0" xfId="15899" applyFont="1" applyAlignment="1">
      <alignment horizontal="left" vertical="top" wrapText="1"/>
    </xf>
    <xf numFmtId="0" fontId="88" fillId="0" borderId="0" xfId="15899" applyFont="1" applyAlignment="1">
      <alignment horizontal="left" vertical="top" wrapText="1"/>
    </xf>
    <xf numFmtId="3" fontId="88" fillId="0" borderId="0" xfId="15897" applyNumberFormat="1" applyFont="1" applyAlignment="1">
      <alignment horizontal="right" vertical="top" wrapText="1"/>
    </xf>
    <xf numFmtId="0" fontId="57" fillId="0" borderId="0" xfId="15897" applyFont="1" applyAlignment="1">
      <alignment horizontal="center" vertical="top"/>
    </xf>
    <xf numFmtId="49" fontId="57" fillId="0" borderId="0" xfId="15897" applyNumberFormat="1" applyFont="1" applyAlignment="1">
      <alignment horizontal="center" vertical="top"/>
    </xf>
    <xf numFmtId="0" fontId="57" fillId="0" borderId="0" xfId="15897" applyFont="1" applyAlignment="1">
      <alignment horizontal="left" vertical="top" wrapText="1"/>
    </xf>
    <xf numFmtId="3" fontId="57" fillId="0" borderId="0" xfId="15897" applyNumberFormat="1" applyFont="1" applyAlignment="1">
      <alignment horizontal="right" vertical="top"/>
    </xf>
    <xf numFmtId="0" fontId="57" fillId="0" borderId="0" xfId="15900" applyFont="1" applyAlignment="1">
      <alignment horizontal="center" vertical="top"/>
    </xf>
    <xf numFmtId="49" fontId="57" fillId="0" borderId="0" xfId="15900" applyNumberFormat="1" applyFont="1" applyAlignment="1">
      <alignment horizontal="center" vertical="top"/>
    </xf>
    <xf numFmtId="3" fontId="57" fillId="0" borderId="0" xfId="15900" applyNumberFormat="1" applyFont="1" applyAlignment="1">
      <alignment horizontal="right" vertical="top"/>
    </xf>
    <xf numFmtId="0" fontId="57" fillId="0" borderId="0" xfId="15900" applyFont="1" applyAlignment="1">
      <alignment vertical="center"/>
    </xf>
    <xf numFmtId="0" fontId="88" fillId="0" borderId="0" xfId="15900" applyFont="1" applyAlignment="1">
      <alignment horizontal="center" vertical="top"/>
    </xf>
    <xf numFmtId="49" fontId="88" fillId="0" borderId="0" xfId="15900" applyNumberFormat="1" applyFont="1" applyAlignment="1">
      <alignment horizontal="center" vertical="top"/>
    </xf>
    <xf numFmtId="0" fontId="88" fillId="0" borderId="0" xfId="0" applyFont="1" applyAlignment="1">
      <alignment horizontal="left" vertical="top" wrapText="1"/>
    </xf>
    <xf numFmtId="3" fontId="88" fillId="0" borderId="0" xfId="3436" applyNumberFormat="1" applyFont="1" applyAlignment="1">
      <alignment horizontal="right" vertical="top"/>
    </xf>
    <xf numFmtId="3" fontId="88" fillId="0" borderId="0" xfId="15900" applyNumberFormat="1" applyFont="1" applyAlignment="1">
      <alignment horizontal="right" vertical="top"/>
    </xf>
    <xf numFmtId="0" fontId="88" fillId="0" borderId="0" xfId="15900" applyFont="1" applyAlignment="1">
      <alignment vertical="center"/>
    </xf>
    <xf numFmtId="3" fontId="57" fillId="0" borderId="0" xfId="15900" applyNumberFormat="1" applyFont="1" applyAlignment="1">
      <alignment horizontal="right" vertical="center"/>
    </xf>
    <xf numFmtId="3" fontId="57" fillId="0" borderId="0" xfId="15897" applyNumberFormat="1" applyFont="1" applyAlignment="1">
      <alignment horizontal="right" vertical="center" wrapText="1"/>
    </xf>
    <xf numFmtId="0" fontId="57" fillId="0" borderId="0" xfId="15897" applyFont="1" applyAlignment="1">
      <alignment horizontal="center" vertical="center"/>
    </xf>
    <xf numFmtId="49" fontId="57" fillId="0" borderId="0" xfId="15897" applyNumberFormat="1" applyFont="1" applyAlignment="1">
      <alignment horizontal="center" vertical="center"/>
    </xf>
    <xf numFmtId="0" fontId="57" fillId="0" borderId="0" xfId="15897" applyFont="1" applyAlignment="1">
      <alignment horizontal="left" vertical="center" wrapText="1"/>
    </xf>
    <xf numFmtId="0" fontId="88" fillId="0" borderId="0" xfId="15897" applyFont="1" applyAlignment="1">
      <alignment horizontal="center" vertical="top"/>
    </xf>
    <xf numFmtId="0" fontId="88" fillId="0" borderId="0" xfId="15897" applyFont="1" applyAlignment="1">
      <alignment horizontal="center" vertical="center"/>
    </xf>
    <xf numFmtId="49" fontId="88" fillId="0" borderId="0" xfId="15897" applyNumberFormat="1" applyFont="1" applyAlignment="1">
      <alignment horizontal="center" vertical="center"/>
    </xf>
    <xf numFmtId="3" fontId="88" fillId="0" borderId="0" xfId="15897" applyNumberFormat="1" applyFont="1" applyAlignment="1">
      <alignment horizontal="right" vertical="top"/>
    </xf>
    <xf numFmtId="0" fontId="88" fillId="0" borderId="0" xfId="15897" applyFont="1" applyAlignment="1">
      <alignment vertical="center"/>
    </xf>
    <xf numFmtId="3" fontId="57" fillId="0" borderId="0" xfId="15900" applyNumberFormat="1" applyFont="1" applyAlignment="1">
      <alignment vertical="center"/>
    </xf>
    <xf numFmtId="0" fontId="57" fillId="0" borderId="0" xfId="15899" applyFont="1" applyAlignment="1">
      <alignment horizontal="left" vertical="top" wrapText="1" shrinkToFit="1"/>
    </xf>
    <xf numFmtId="49" fontId="88" fillId="0" borderId="0" xfId="15897" applyNumberFormat="1" applyFont="1" applyAlignment="1">
      <alignment horizontal="center" vertical="top"/>
    </xf>
    <xf numFmtId="0" fontId="88" fillId="0" borderId="0" xfId="15899" applyFont="1" applyAlignment="1">
      <alignment horizontal="left" vertical="top" wrapText="1" shrinkToFit="1"/>
    </xf>
    <xf numFmtId="0" fontId="57" fillId="0" borderId="0" xfId="15901" applyFont="1" applyAlignment="1">
      <alignment horizontal="left" vertical="center" wrapText="1"/>
    </xf>
    <xf numFmtId="0" fontId="57" fillId="0" borderId="0" xfId="15902" applyFont="1" applyAlignment="1">
      <alignment horizontal="left" vertical="top" wrapText="1"/>
    </xf>
    <xf numFmtId="0" fontId="57" fillId="0" borderId="0" xfId="15903" applyFont="1" applyAlignment="1">
      <alignment horizontal="left" vertical="top" wrapText="1"/>
    </xf>
    <xf numFmtId="49" fontId="57" fillId="0" borderId="0" xfId="15904" applyNumberFormat="1" applyFont="1" applyAlignment="1">
      <alignment horizontal="center" vertical="top"/>
    </xf>
    <xf numFmtId="0" fontId="57" fillId="0" borderId="0" xfId="15903" applyFont="1" applyAlignment="1">
      <alignment horizontal="left" vertical="top" wrapText="1" shrinkToFit="1"/>
    </xf>
    <xf numFmtId="0" fontId="57" fillId="0" borderId="0" xfId="15905" applyFont="1" applyAlignment="1">
      <alignment horizontal="left" vertical="top" wrapText="1"/>
    </xf>
    <xf numFmtId="0" fontId="89" fillId="0" borderId="0" xfId="15900" applyFont="1" applyAlignment="1">
      <alignment horizontal="center" vertical="top"/>
    </xf>
    <xf numFmtId="49" fontId="89" fillId="0" borderId="0" xfId="15900" applyNumberFormat="1" applyFont="1" applyAlignment="1">
      <alignment horizontal="center" vertical="top"/>
    </xf>
    <xf numFmtId="0" fontId="89" fillId="0" borderId="0" xfId="15900" applyFont="1" applyAlignment="1">
      <alignment vertical="center"/>
    </xf>
    <xf numFmtId="0" fontId="57" fillId="0" borderId="0" xfId="15899" applyFont="1" applyAlignment="1">
      <alignment horizontal="left" vertical="center" wrapText="1" shrinkToFit="1"/>
    </xf>
    <xf numFmtId="0" fontId="57" fillId="0" borderId="0" xfId="15902" applyFont="1" applyAlignment="1">
      <alignment horizontal="left" vertical="center" wrapText="1" shrinkToFit="1"/>
    </xf>
    <xf numFmtId="0" fontId="57" fillId="0" borderId="0" xfId="15904" applyFont="1" applyAlignment="1">
      <alignment horizontal="left" vertical="center" wrapText="1"/>
    </xf>
    <xf numFmtId="49" fontId="89" fillId="0" borderId="0" xfId="15900" applyNumberFormat="1" applyFont="1" applyAlignment="1">
      <alignment horizontal="center" vertical="center"/>
    </xf>
    <xf numFmtId="3" fontId="57" fillId="0" borderId="0" xfId="3436" applyNumberFormat="1" applyFont="1" applyAlignment="1">
      <alignment horizontal="right" vertical="center"/>
    </xf>
    <xf numFmtId="0" fontId="57" fillId="0" borderId="0" xfId="15900" applyFont="1" applyAlignment="1">
      <alignment horizontal="center" vertical="center"/>
    </xf>
    <xf numFmtId="0" fontId="57" fillId="0" borderId="0" xfId="15906" applyFont="1" applyAlignment="1">
      <alignment horizontal="left" vertical="top" wrapText="1"/>
    </xf>
    <xf numFmtId="0" fontId="88" fillId="0" borderId="0" xfId="15900" applyFont="1" applyAlignment="1">
      <alignment horizontal="center" vertical="center"/>
    </xf>
    <xf numFmtId="3" fontId="88" fillId="0" borderId="0" xfId="3436" applyNumberFormat="1" applyFont="1" applyAlignment="1">
      <alignment horizontal="right" vertical="center"/>
    </xf>
    <xf numFmtId="0" fontId="57" fillId="0" borderId="0" xfId="15907" applyFont="1" applyAlignment="1">
      <alignment horizontal="left" vertical="top" wrapText="1"/>
    </xf>
    <xf numFmtId="0" fontId="53" fillId="0" borderId="0" xfId="0" applyFont="1"/>
    <xf numFmtId="0" fontId="57" fillId="0" borderId="0" xfId="15907" applyFont="1" applyAlignment="1">
      <alignment horizontal="left" vertical="center" wrapText="1"/>
    </xf>
    <xf numFmtId="3" fontId="57" fillId="0" borderId="0" xfId="15897" applyNumberFormat="1" applyFont="1" applyAlignment="1">
      <alignment horizontal="right" vertical="center"/>
    </xf>
    <xf numFmtId="0" fontId="57" fillId="0" borderId="0" xfId="15908" applyFont="1" applyAlignment="1">
      <alignment horizontal="left" vertical="top" wrapText="1"/>
    </xf>
    <xf numFmtId="0" fontId="90" fillId="0" borderId="0" xfId="15900" applyFont="1" applyAlignment="1">
      <alignment horizontal="center" vertical="top"/>
    </xf>
    <xf numFmtId="49" fontId="90" fillId="0" borderId="0" xfId="15900" applyNumberFormat="1" applyFont="1" applyAlignment="1">
      <alignment horizontal="center" vertical="top"/>
    </xf>
    <xf numFmtId="0" fontId="90" fillId="0" borderId="0" xfId="15897" applyFont="1" applyAlignment="1">
      <alignment horizontal="left" vertical="top" wrapText="1"/>
    </xf>
    <xf numFmtId="3" fontId="90" fillId="0" borderId="0" xfId="15900" applyNumberFormat="1" applyFont="1" applyAlignment="1">
      <alignment horizontal="right" vertical="top"/>
    </xf>
    <xf numFmtId="0" fontId="90" fillId="0" borderId="0" xfId="15897" applyFont="1" applyAlignment="1">
      <alignment vertical="center"/>
    </xf>
    <xf numFmtId="3" fontId="90" fillId="0" borderId="0" xfId="15900" applyNumberFormat="1" applyFont="1" applyAlignment="1">
      <alignment horizontal="left" vertical="top"/>
    </xf>
    <xf numFmtId="0" fontId="57" fillId="0" borderId="0" xfId="15904" applyFont="1" applyAlignment="1">
      <alignment horizontal="left" vertical="top" wrapText="1"/>
    </xf>
    <xf numFmtId="0" fontId="57" fillId="7" borderId="0" xfId="15897" applyFont="1" applyFill="1" applyAlignment="1">
      <alignment horizontal="left" vertical="center" wrapText="1"/>
    </xf>
    <xf numFmtId="3" fontId="88" fillId="0" borderId="0" xfId="15900" applyNumberFormat="1" applyFont="1" applyAlignment="1">
      <alignment horizontal="left" vertical="top"/>
    </xf>
    <xf numFmtId="0" fontId="57" fillId="0" borderId="0" xfId="15909" applyFont="1" applyAlignment="1">
      <alignment horizontal="left" vertical="top" wrapText="1"/>
    </xf>
    <xf numFmtId="49" fontId="57" fillId="0" borderId="0" xfId="15900" applyNumberFormat="1" applyFont="1" applyAlignment="1">
      <alignment horizontal="center" vertical="center"/>
    </xf>
    <xf numFmtId="0" fontId="57" fillId="0" borderId="0" xfId="15903" applyFont="1" applyAlignment="1">
      <alignment horizontal="left" vertical="center" wrapText="1"/>
    </xf>
    <xf numFmtId="0" fontId="57" fillId="0" borderId="0" xfId="15904" applyFont="1" applyAlignment="1">
      <alignment horizontal="center" vertical="center"/>
    </xf>
    <xf numFmtId="49" fontId="57" fillId="0" borderId="0" xfId="15904" applyNumberFormat="1" applyFont="1" applyAlignment="1">
      <alignment horizontal="center" vertical="center"/>
    </xf>
    <xf numFmtId="0" fontId="57" fillId="0" borderId="0" xfId="15910" applyFont="1" applyAlignment="1">
      <alignment horizontal="center" vertical="top"/>
    </xf>
    <xf numFmtId="0" fontId="57" fillId="0" borderId="0" xfId="15911" applyFont="1" applyAlignment="1">
      <alignment vertical="center" wrapText="1"/>
    </xf>
    <xf numFmtId="0" fontId="57" fillId="0" borderId="0" xfId="15897" applyFont="1" applyAlignment="1">
      <alignment horizontal="right" vertical="top" wrapText="1"/>
    </xf>
    <xf numFmtId="0" fontId="57" fillId="0" borderId="0" xfId="3436" applyFont="1" applyAlignment="1">
      <alignment horizontal="right" vertical="top"/>
    </xf>
    <xf numFmtId="0" fontId="57" fillId="0" borderId="0" xfId="15897" applyFont="1" applyAlignment="1">
      <alignment horizontal="right" vertical="top"/>
    </xf>
    <xf numFmtId="0" fontId="57" fillId="0" borderId="0" xfId="15902" applyFont="1" applyAlignment="1">
      <alignment horizontal="left" vertical="top" wrapText="1" shrinkToFit="1"/>
    </xf>
    <xf numFmtId="0" fontId="89" fillId="0" borderId="0" xfId="15900" applyFont="1" applyAlignment="1">
      <alignment vertical="top"/>
    </xf>
    <xf numFmtId="49" fontId="57" fillId="8" borderId="0" xfId="2654" applyNumberFormat="1" applyFont="1" applyFill="1" applyAlignment="1">
      <alignment horizontal="center" vertical="top"/>
    </xf>
    <xf numFmtId="49" fontId="57" fillId="8" borderId="0" xfId="3436" applyNumberFormat="1" applyFont="1" applyFill="1" applyAlignment="1">
      <alignment horizontal="center" vertical="top"/>
    </xf>
    <xf numFmtId="0" fontId="57" fillId="8" borderId="0" xfId="3436" applyFont="1" applyFill="1" applyAlignment="1">
      <alignment horizontal="left" vertical="top" wrapText="1"/>
    </xf>
    <xf numFmtId="0" fontId="57" fillId="8" borderId="0" xfId="0" applyFont="1" applyFill="1" applyAlignment="1">
      <alignment vertical="top"/>
    </xf>
    <xf numFmtId="0" fontId="57" fillId="8" borderId="0" xfId="0" applyFont="1" applyFill="1" applyAlignment="1">
      <alignment horizontal="center" vertical="top"/>
    </xf>
    <xf numFmtId="0" fontId="57" fillId="8" borderId="0" xfId="0" applyFont="1" applyFill="1" applyAlignment="1">
      <alignment horizontal="center"/>
    </xf>
    <xf numFmtId="3" fontId="57" fillId="8" borderId="0" xfId="3413" applyNumberFormat="1" applyFont="1" applyFill="1" applyAlignment="1">
      <alignment horizontal="right" vertical="top" wrapText="1"/>
    </xf>
    <xf numFmtId="49" fontId="78" fillId="0" borderId="15" xfId="0" applyNumberFormat="1" applyFont="1" applyBorder="1" applyAlignment="1">
      <alignment horizontal="left" vertical="top"/>
    </xf>
    <xf numFmtId="49" fontId="57" fillId="0" borderId="15" xfId="0" applyNumberFormat="1" applyFont="1" applyBorder="1" applyAlignment="1">
      <alignment horizontal="center" vertical="top"/>
    </xf>
    <xf numFmtId="49" fontId="78" fillId="0" borderId="15" xfId="0" applyNumberFormat="1" applyFont="1" applyBorder="1" applyAlignment="1">
      <alignment horizontal="center" vertical="top"/>
    </xf>
    <xf numFmtId="49" fontId="78" fillId="0" borderId="15" xfId="0" applyNumberFormat="1" applyFont="1" applyBorder="1" applyAlignment="1">
      <alignment horizontal="center" vertical="center"/>
    </xf>
    <xf numFmtId="49" fontId="57" fillId="0" borderId="15" xfId="0" applyNumberFormat="1" applyFont="1" applyBorder="1" applyAlignment="1">
      <alignment horizontal="left" vertical="top"/>
    </xf>
    <xf numFmtId="0" fontId="57" fillId="0" borderId="15" xfId="0" applyFont="1" applyBorder="1" applyAlignment="1">
      <alignment vertical="top"/>
    </xf>
    <xf numFmtId="49" fontId="57" fillId="0" borderId="15" xfId="0" applyNumberFormat="1" applyFont="1" applyBorder="1" applyAlignment="1">
      <alignment vertical="center"/>
    </xf>
    <xf numFmtId="49" fontId="57" fillId="0" borderId="15" xfId="2654" applyNumberFormat="1" applyFont="1" applyBorder="1" applyAlignment="1">
      <alignment horizontal="center" vertical="top"/>
    </xf>
    <xf numFmtId="49" fontId="76" fillId="0" borderId="15" xfId="2654" applyNumberFormat="1" applyFont="1" applyBorder="1" applyAlignment="1">
      <alignment horizontal="center" vertical="top"/>
    </xf>
    <xf numFmtId="0" fontId="57" fillId="0" borderId="15" xfId="2654" applyFont="1" applyBorder="1" applyAlignment="1">
      <alignment horizontal="left" vertical="top" wrapText="1"/>
    </xf>
    <xf numFmtId="3" fontId="57" fillId="0" borderId="15" xfId="3436" applyNumberFormat="1" applyFont="1" applyBorder="1" applyAlignment="1">
      <alignment horizontal="right" vertical="top"/>
    </xf>
    <xf numFmtId="49" fontId="57" fillId="0" borderId="15" xfId="3436" applyNumberFormat="1" applyFont="1" applyBorder="1" applyAlignment="1">
      <alignment horizontal="center" vertical="top"/>
    </xf>
    <xf numFmtId="0" fontId="57" fillId="0" borderId="15" xfId="3436" applyFont="1" applyBorder="1" applyAlignment="1">
      <alignment horizontal="left" vertical="top" wrapText="1"/>
    </xf>
    <xf numFmtId="3" fontId="57" fillId="0" borderId="15" xfId="2656" applyNumberFormat="1" applyFont="1" applyBorder="1" applyAlignment="1">
      <alignment horizontal="right" vertical="top"/>
    </xf>
    <xf numFmtId="49" fontId="57" fillId="0" borderId="15" xfId="2654" applyNumberFormat="1" applyFont="1" applyBorder="1" applyAlignment="1">
      <alignment horizontal="left" vertical="top"/>
    </xf>
    <xf numFmtId="3" fontId="57" fillId="0" borderId="15" xfId="3436" applyNumberFormat="1" applyFont="1" applyBorder="1" applyAlignment="1">
      <alignment vertical="top"/>
    </xf>
    <xf numFmtId="0" fontId="57" fillId="0" borderId="15" xfId="0" applyFont="1" applyBorder="1" applyAlignment="1">
      <alignment vertical="top" wrapText="1"/>
    </xf>
    <xf numFmtId="0" fontId="57" fillId="0" borderId="15" xfId="0" applyFont="1" applyBorder="1" applyAlignment="1">
      <alignment horizontal="center" vertical="top" wrapText="1"/>
    </xf>
    <xf numFmtId="0" fontId="57" fillId="0" borderId="15" xfId="0" quotePrefix="1" applyFont="1" applyBorder="1" applyAlignment="1">
      <alignment vertical="top" wrapText="1"/>
    </xf>
    <xf numFmtId="49" fontId="57" fillId="8" borderId="15" xfId="2654" applyNumberFormat="1" applyFont="1" applyFill="1" applyBorder="1" applyAlignment="1">
      <alignment horizontal="center" vertical="top"/>
    </xf>
    <xf numFmtId="49" fontId="57" fillId="8" borderId="15" xfId="3436" applyNumberFormat="1" applyFont="1" applyFill="1" applyBorder="1" applyAlignment="1">
      <alignment horizontal="center" vertical="top"/>
    </xf>
    <xf numFmtId="0" fontId="57" fillId="8" borderId="15" xfId="3436" applyFont="1" applyFill="1" applyBorder="1" applyAlignment="1">
      <alignment horizontal="left" vertical="top" wrapText="1"/>
    </xf>
    <xf numFmtId="3" fontId="57" fillId="8" borderId="15" xfId="3436" applyNumberFormat="1" applyFont="1" applyFill="1" applyBorder="1" applyAlignment="1">
      <alignment horizontal="center" vertical="center"/>
    </xf>
    <xf numFmtId="3" fontId="57" fillId="0" borderId="15" xfId="3436" applyNumberFormat="1" applyFont="1" applyBorder="1" applyAlignment="1">
      <alignment horizontal="center" vertical="center"/>
    </xf>
    <xf numFmtId="0" fontId="57" fillId="8" borderId="15" xfId="2654" applyFont="1" applyFill="1" applyBorder="1" applyAlignment="1">
      <alignment horizontal="left" vertical="top" wrapText="1"/>
    </xf>
    <xf numFmtId="49" fontId="81" fillId="0" borderId="15" xfId="2654" applyNumberFormat="1" applyFont="1" applyBorder="1" applyAlignment="1">
      <alignment horizontal="center" vertical="top"/>
    </xf>
    <xf numFmtId="49" fontId="57" fillId="6" borderId="15" xfId="2654" applyNumberFormat="1" applyFont="1" applyFill="1" applyBorder="1" applyAlignment="1">
      <alignment horizontal="center" vertical="top"/>
    </xf>
    <xf numFmtId="0" fontId="57" fillId="0" borderId="15" xfId="0" applyFont="1" applyBorder="1" applyAlignment="1">
      <alignment vertical="center" wrapText="1"/>
    </xf>
    <xf numFmtId="3" fontId="57" fillId="0" borderId="15" xfId="2656" applyNumberFormat="1" applyFont="1" applyBorder="1" applyAlignment="1">
      <alignment horizontal="center" vertical="center" wrapText="1"/>
    </xf>
    <xf numFmtId="49" fontId="57" fillId="6" borderId="15" xfId="3436" applyNumberFormat="1" applyFont="1" applyFill="1" applyBorder="1" applyAlignment="1">
      <alignment horizontal="center" vertical="top"/>
    </xf>
    <xf numFmtId="0" fontId="57" fillId="6" borderId="15" xfId="2654" applyFont="1" applyFill="1" applyBorder="1" applyAlignment="1">
      <alignment horizontal="left" vertical="top" wrapText="1"/>
    </xf>
    <xf numFmtId="3" fontId="57" fillId="6" borderId="15" xfId="3436" applyNumberFormat="1" applyFont="1" applyFill="1" applyBorder="1" applyAlignment="1">
      <alignment horizontal="center" vertical="center"/>
    </xf>
    <xf numFmtId="3" fontId="57" fillId="0" borderId="15" xfId="6126" applyNumberFormat="1" applyFont="1" applyBorder="1" applyAlignment="1">
      <alignment horizontal="center" vertical="center"/>
    </xf>
    <xf numFmtId="3" fontId="57" fillId="0" borderId="15" xfId="2656" applyNumberFormat="1" applyFont="1" applyBorder="1" applyAlignment="1">
      <alignment horizontal="center" vertical="center"/>
    </xf>
    <xf numFmtId="3" fontId="57" fillId="0" borderId="15" xfId="0" applyNumberFormat="1" applyFont="1" applyBorder="1" applyAlignment="1">
      <alignment horizontal="center" vertical="center"/>
    </xf>
    <xf numFmtId="0" fontId="82" fillId="0" borderId="0" xfId="2653" applyFont="1" applyAlignment="1">
      <alignment horizontal="center" vertical="center"/>
    </xf>
    <xf numFmtId="0" fontId="57" fillId="8" borderId="0" xfId="0" applyFont="1" applyFill="1" applyAlignment="1">
      <alignment horizontal="center" vertical="center"/>
    </xf>
    <xf numFmtId="49" fontId="91" fillId="8" borderId="15" xfId="2654" applyNumberFormat="1" applyFont="1" applyFill="1" applyBorder="1" applyAlignment="1">
      <alignment horizontal="center" vertical="top"/>
    </xf>
    <xf numFmtId="49" fontId="91" fillId="8" borderId="15" xfId="3436" applyNumberFormat="1" applyFont="1" applyFill="1" applyBorder="1" applyAlignment="1">
      <alignment horizontal="center" vertical="top"/>
    </xf>
    <xf numFmtId="0" fontId="91" fillId="8" borderId="15" xfId="3436" applyFont="1" applyFill="1" applyBorder="1" applyAlignment="1">
      <alignment horizontal="left" vertical="top" wrapText="1"/>
    </xf>
    <xf numFmtId="3" fontId="91" fillId="8" borderId="15" xfId="3436" applyNumberFormat="1" applyFont="1" applyFill="1" applyBorder="1" applyAlignment="1">
      <alignment horizontal="center" vertical="center"/>
    </xf>
    <xf numFmtId="0" fontId="91" fillId="8" borderId="0" xfId="0" applyFont="1" applyFill="1" applyAlignment="1">
      <alignment vertical="top"/>
    </xf>
    <xf numFmtId="3" fontId="57" fillId="0" borderId="8" xfId="2656" applyNumberFormat="1" applyFont="1" applyBorder="1" applyAlignment="1">
      <alignment horizontal="center" vertical="center" wrapText="1"/>
    </xf>
    <xf numFmtId="3" fontId="57" fillId="0" borderId="9" xfId="2656" applyNumberFormat="1" applyFont="1" applyBorder="1" applyAlignment="1">
      <alignment horizontal="center" vertical="center" wrapText="1"/>
    </xf>
    <xf numFmtId="3" fontId="57" fillId="0" borderId="11" xfId="2656" applyNumberFormat="1" applyFont="1" applyBorder="1" applyAlignment="1">
      <alignment horizontal="center" vertical="center" wrapText="1"/>
    </xf>
    <xf numFmtId="3" fontId="57" fillId="0" borderId="7" xfId="2656" applyNumberFormat="1" applyFont="1" applyBorder="1" applyAlignment="1">
      <alignment horizontal="center" vertical="center" wrapText="1"/>
    </xf>
    <xf numFmtId="3" fontId="57" fillId="0" borderId="8" xfId="2653" applyNumberFormat="1" applyFont="1" applyBorder="1" applyAlignment="1">
      <alignment horizontal="center" vertical="center" wrapText="1"/>
    </xf>
    <xf numFmtId="3" fontId="57" fillId="0" borderId="9" xfId="2653" applyNumberFormat="1" applyFont="1" applyBorder="1" applyAlignment="1">
      <alignment horizontal="center" vertical="center" wrapText="1"/>
    </xf>
    <xf numFmtId="3" fontId="57" fillId="0" borderId="6" xfId="2653" applyNumberFormat="1" applyFont="1" applyBorder="1" applyAlignment="1">
      <alignment horizontal="center" vertical="center" wrapText="1"/>
    </xf>
    <xf numFmtId="3" fontId="57" fillId="0" borderId="10" xfId="2656" applyNumberFormat="1" applyFont="1" applyBorder="1" applyAlignment="1">
      <alignment horizontal="center" vertical="center" wrapText="1"/>
    </xf>
    <xf numFmtId="3" fontId="78" fillId="0" borderId="15" xfId="6126" applyNumberFormat="1" applyFont="1" applyBorder="1" applyAlignment="1">
      <alignment horizontal="center" vertical="center" wrapText="1"/>
    </xf>
    <xf numFmtId="0" fontId="57" fillId="0" borderId="0" xfId="6126" applyFont="1" applyAlignment="1">
      <alignment horizontal="center" vertical="top"/>
    </xf>
    <xf numFmtId="49" fontId="57" fillId="0" borderId="0" xfId="2653" applyNumberFormat="1" applyFont="1" applyAlignment="1">
      <alignment horizontal="center" vertical="center"/>
    </xf>
    <xf numFmtId="49" fontId="78" fillId="0" borderId="15" xfId="0" applyNumberFormat="1" applyFont="1" applyBorder="1" applyAlignment="1">
      <alignment horizontal="left" vertical="top"/>
    </xf>
    <xf numFmtId="0" fontId="57" fillId="0" borderId="8" xfId="15897" applyFont="1" applyBorder="1" applyAlignment="1">
      <alignment horizontal="center" vertical="center"/>
    </xf>
    <xf numFmtId="0" fontId="57" fillId="0" borderId="6" xfId="15897" applyFont="1" applyBorder="1" applyAlignment="1">
      <alignment horizontal="center" vertical="center"/>
    </xf>
    <xf numFmtId="0" fontId="57" fillId="0" borderId="3" xfId="15898" applyFont="1" applyBorder="1" applyAlignment="1">
      <alignment horizontal="left" vertical="center" wrapText="1"/>
    </xf>
    <xf numFmtId="0" fontId="57" fillId="0" borderId="10" xfId="15898" applyFont="1" applyBorder="1" applyAlignment="1">
      <alignment horizontal="left" vertical="center" wrapText="1"/>
    </xf>
    <xf numFmtId="0" fontId="57" fillId="0" borderId="13" xfId="15897" applyFont="1" applyBorder="1" applyAlignment="1">
      <alignment horizontal="center" vertical="center"/>
    </xf>
    <xf numFmtId="0" fontId="57" fillId="0" borderId="14" xfId="15897" applyFont="1" applyBorder="1" applyAlignment="1">
      <alignment horizontal="center" vertical="center"/>
    </xf>
    <xf numFmtId="0" fontId="57" fillId="0" borderId="12" xfId="15897" applyFont="1" applyBorder="1" applyAlignment="1">
      <alignment horizontal="center" vertical="center"/>
    </xf>
    <xf numFmtId="0" fontId="57" fillId="0" borderId="0" xfId="15897" applyFont="1" applyAlignment="1">
      <alignment horizontal="center" vertical="center" wrapText="1"/>
    </xf>
    <xf numFmtId="0" fontId="57" fillId="0" borderId="4" xfId="15898" applyFont="1" applyBorder="1" applyAlignment="1">
      <alignment horizontal="left" vertical="center" wrapText="1"/>
    </xf>
    <xf numFmtId="0" fontId="57" fillId="0" borderId="2" xfId="15898" applyFont="1" applyBorder="1" applyAlignment="1">
      <alignment horizontal="left" vertical="center" wrapText="1"/>
    </xf>
    <xf numFmtId="0" fontId="57" fillId="0" borderId="2" xfId="15897" applyFont="1" applyBorder="1" applyAlignment="1">
      <alignment horizontal="center" vertical="center"/>
    </xf>
    <xf numFmtId="0" fontId="57" fillId="0" borderId="11" xfId="15897" applyFont="1" applyBorder="1" applyAlignment="1">
      <alignment horizontal="center" vertical="center"/>
    </xf>
    <xf numFmtId="0" fontId="57" fillId="0" borderId="0" xfId="15897" applyFont="1" applyAlignment="1">
      <alignment horizontal="center" vertical="center"/>
    </xf>
    <xf numFmtId="0" fontId="57" fillId="0" borderId="7" xfId="15897" applyFont="1" applyBorder="1" applyAlignment="1">
      <alignment horizontal="center" vertical="center"/>
    </xf>
    <xf numFmtId="0" fontId="57" fillId="0" borderId="3" xfId="15897" applyFont="1" applyBorder="1" applyAlignment="1">
      <alignment horizontal="center" vertical="center"/>
    </xf>
    <xf numFmtId="0" fontId="57" fillId="0" borderId="10" xfId="15897" applyFont="1" applyBorder="1" applyAlignment="1">
      <alignment horizontal="center" vertical="center"/>
    </xf>
    <xf numFmtId="0" fontId="57" fillId="0" borderId="0" xfId="15898" applyFont="1" applyAlignment="1">
      <alignment horizontal="left" vertical="center" wrapText="1"/>
    </xf>
    <xf numFmtId="0" fontId="57" fillId="0" borderId="7" xfId="15898" applyFont="1" applyBorder="1" applyAlignment="1">
      <alignment horizontal="left" vertical="center" wrapText="1"/>
    </xf>
    <xf numFmtId="0" fontId="82" fillId="3" borderId="13" xfId="6418" applyFont="1" applyFill="1" applyBorder="1" applyAlignment="1">
      <alignment horizontal="center" vertical="center" wrapText="1"/>
    </xf>
    <xf numFmtId="0" fontId="82" fillId="3" borderId="14" xfId="6418" applyFont="1" applyFill="1" applyBorder="1" applyAlignment="1">
      <alignment horizontal="center" vertical="center" wrapText="1"/>
    </xf>
    <xf numFmtId="0" fontId="82" fillId="3" borderId="12" xfId="6418" applyFont="1" applyFill="1" applyBorder="1" applyAlignment="1">
      <alignment horizontal="center" vertical="center" wrapText="1"/>
    </xf>
    <xf numFmtId="0" fontId="57" fillId="0" borderId="0" xfId="6418" applyFont="1" applyAlignment="1">
      <alignment horizontal="center" vertical="center" wrapText="1"/>
    </xf>
    <xf numFmtId="0" fontId="57" fillId="0" borderId="4" xfId="6418" applyFont="1" applyBorder="1" applyAlignment="1">
      <alignment horizontal="left" vertical="center" wrapText="1"/>
    </xf>
    <xf numFmtId="0" fontId="57" fillId="0" borderId="2" xfId="6418" applyFont="1" applyBorder="1" applyAlignment="1">
      <alignment horizontal="left" vertical="center" wrapText="1"/>
    </xf>
    <xf numFmtId="0" fontId="57" fillId="0" borderId="8" xfId="6418" applyFont="1" applyBorder="1" applyAlignment="1">
      <alignment horizontal="center" vertical="center" wrapText="1"/>
    </xf>
    <xf numFmtId="0" fontId="57" fillId="0" borderId="9" xfId="6418" applyFont="1" applyBorder="1" applyAlignment="1">
      <alignment horizontal="center" vertical="center" wrapText="1"/>
    </xf>
    <xf numFmtId="0" fontId="57" fillId="0" borderId="6" xfId="6418" applyFont="1" applyBorder="1" applyAlignment="1">
      <alignment horizontal="center" vertical="center" wrapText="1"/>
    </xf>
    <xf numFmtId="0" fontId="57" fillId="0" borderId="0" xfId="6418" applyFont="1" applyAlignment="1">
      <alignment horizontal="left" vertical="center" wrapText="1"/>
    </xf>
    <xf numFmtId="0" fontId="57" fillId="0" borderId="7" xfId="6418" applyFont="1" applyBorder="1" applyAlignment="1">
      <alignment horizontal="left" vertical="center" wrapText="1"/>
    </xf>
    <xf numFmtId="0" fontId="57" fillId="0" borderId="3" xfId="6418" applyFont="1" applyBorder="1" applyAlignment="1">
      <alignment horizontal="left" vertical="center" wrapText="1"/>
    </xf>
    <xf numFmtId="0" fontId="57" fillId="0" borderId="10" xfId="6418" applyFont="1" applyBorder="1" applyAlignment="1">
      <alignment horizontal="left" vertical="center" wrapText="1"/>
    </xf>
  </cellXfs>
  <cellStyles count="15912">
    <cellStyle name="_���� �������� ����� -2010�1" xfId="1" xr:uid="{00000000-0005-0000-0000-000000000000}"/>
    <cellStyle name="_Бюджет 2010 транс" xfId="2" xr:uid="{00000000-0005-0000-0000-000001000000}"/>
    <cellStyle name="_Бюджет 2010," xfId="3" xr:uid="{00000000-0005-0000-0000-000002000000}"/>
    <cellStyle name="_ДК 2010 лимит ЮКО..." xfId="4" xr:uid="{00000000-0005-0000-0000-000003000000}"/>
    <cellStyle name="_ДК на 2010 Аскар" xfId="5" xr:uid="{00000000-0005-0000-0000-000004000000}"/>
    <cellStyle name="_Доп.потребность на 2010г., новый вариант" xfId="6" xr:uid="{00000000-0005-0000-0000-000005000000}"/>
    <cellStyle name="_Дор карта 2010 УПТиАД" xfId="7" xr:uid="{00000000-0005-0000-0000-000006000000}"/>
    <cellStyle name="_Дор карта дороги 3.4" xfId="8" xr:uid="{00000000-0005-0000-0000-000007000000}"/>
    <cellStyle name="_Дор карта на 2010 год спорт, обр" xfId="9" xr:uid="{00000000-0005-0000-0000-000008000000}"/>
    <cellStyle name="_Доркарта_2010 спорт" xfId="10" xr:uid="{00000000-0005-0000-0000-000009000000}"/>
    <cellStyle name="_дороги 26.09.09." xfId="11" xr:uid="{00000000-0005-0000-0000-00000A000000}"/>
    <cellStyle name="_Заявка по инвестпроектам на 2006-2007 годы УДП РК" xfId="12" xr:uid="{00000000-0005-0000-0000-00000B000000}"/>
    <cellStyle name="_Каналы на 2010" xfId="13" xr:uid="{00000000-0005-0000-0000-00000C000000}"/>
    <cellStyle name="_МБ-2" xfId="14" xr:uid="{00000000-0005-0000-0000-00000D000000}"/>
    <cellStyle name="_МБ-2 2" xfId="3447" xr:uid="{00000000-0005-0000-0000-00000E000000}"/>
    <cellStyle name="_МБ-2_Анализ" xfId="15" xr:uid="{00000000-0005-0000-0000-00000F000000}"/>
    <cellStyle name="_МБ-2_Анализ 2" xfId="3448" xr:uid="{00000000-0005-0000-0000-000010000000}"/>
    <cellStyle name="_МБ-2_Анализ 3.03.2011г." xfId="2669" xr:uid="{00000000-0005-0000-0000-000011000000}"/>
    <cellStyle name="_МБ-2_Анализ 6.03.2011г." xfId="2670" xr:uid="{00000000-0005-0000-0000-000012000000}"/>
    <cellStyle name="_МБ-2_Анализ 9.03.2011г." xfId="2671" xr:uid="{00000000-0005-0000-0000-000013000000}"/>
    <cellStyle name="_МБ-2_Анализ_Приложение_рус _2012-2014_29,30" xfId="16" xr:uid="{00000000-0005-0000-0000-000014000000}"/>
    <cellStyle name="_МБ-2_Анализ_Приложение_рус _2012-2014_29,30 2" xfId="3449" xr:uid="{00000000-0005-0000-0000-000015000000}"/>
    <cellStyle name="_МБ-2_Копия Приложение_2010-2012 рус март" xfId="17" xr:uid="{00000000-0005-0000-0000-000016000000}"/>
    <cellStyle name="_МБ-2_Копия Приложение_2010-2012 рус март 2" xfId="3450" xr:uid="{00000000-0005-0000-0000-000017000000}"/>
    <cellStyle name="_МБ-2_Копия Приложение_2010-2012 рус март_Анализ" xfId="18" xr:uid="{00000000-0005-0000-0000-000018000000}"/>
    <cellStyle name="_МБ-2_Копия Приложение_2010-2012 рус март_Анализ 2" xfId="3451" xr:uid="{00000000-0005-0000-0000-000019000000}"/>
    <cellStyle name="_МБ-2_Копия Приложение_2010-2012 рус март_Анализ 3.03.2011г." xfId="2672" xr:uid="{00000000-0005-0000-0000-00001A000000}"/>
    <cellStyle name="_МБ-2_Копия Приложение_2010-2012 рус март_Анализ 6.03.2011г." xfId="2673" xr:uid="{00000000-0005-0000-0000-00001B000000}"/>
    <cellStyle name="_МБ-2_Копия Приложение_2010-2012 рус март_Анализ 9.03.2011г." xfId="2674" xr:uid="{00000000-0005-0000-0000-00001C000000}"/>
    <cellStyle name="_МБ-2_Копия Приложение_2010-2012 рус март_Анализ_Приложение_рус _2012-2014_29,30" xfId="19" xr:uid="{00000000-0005-0000-0000-00001D000000}"/>
    <cellStyle name="_МБ-2_Копия Приложение_2010-2012 рус март_Анализ_Приложение_рус _2012-2014_29,30 2" xfId="3452" xr:uid="{00000000-0005-0000-0000-00001E000000}"/>
    <cellStyle name="_МБ-2_Копия Приложение_2010-2012 рус март_Пр 4     11.05.11. ИКС" xfId="20" xr:uid="{00000000-0005-0000-0000-00001F000000}"/>
    <cellStyle name="_МБ-2_Копия Приложение_2010-2012 рус март_Пр 4     11.05.11. ИКС 2" xfId="3453" xr:uid="{00000000-0005-0000-0000-000020000000}"/>
    <cellStyle name="_МБ-2_Копия Приложение_2010-2012 рус март_Пр 4     11.05.11. ИКС_Приложение_рус _2012-2014_29,30" xfId="21" xr:uid="{00000000-0005-0000-0000-000021000000}"/>
    <cellStyle name="_МБ-2_Копия Приложение_2010-2012 рус март_Пр 4     11.05.11. ИКС_Приложение_рус _2012-2014_29,30 2" xfId="3454" xr:uid="{00000000-0005-0000-0000-000022000000}"/>
    <cellStyle name="_МБ-2_Копия Приложение_2010-2012 рус март_Приложение 4 русс,каз 16.03.11. посл" xfId="22" xr:uid="{00000000-0005-0000-0000-000023000000}"/>
    <cellStyle name="_МБ-2_Копия Приложение_2010-2012 рус март_Приложение 4 русс,каз 16.03.11. посл 2" xfId="3455" xr:uid="{00000000-0005-0000-0000-000024000000}"/>
    <cellStyle name="_МБ-2_Копия Приложение_2010-2012 рус март_Приложение 4 русс,каз 16.03.11. посл_Приложение_рус _2012-2014_29,30" xfId="23" xr:uid="{00000000-0005-0000-0000-000025000000}"/>
    <cellStyle name="_МБ-2_Копия Приложение_2010-2012 рус март_Приложение 4 русс,каз 16.03.11. посл_Приложение_рус _2012-2014_29,30 2" xfId="3456" xr:uid="{00000000-0005-0000-0000-000026000000}"/>
    <cellStyle name="_МБ-2_Копия Приложение_2010-2012 рус март_Приложение_2010-2012 рус 04.08.10" xfId="24" xr:uid="{00000000-0005-0000-0000-000027000000}"/>
    <cellStyle name="_МБ-2_Копия Приложение_2010-2012 рус март_Приложение_2010-2012 рус 04.08.10 2" xfId="3457" xr:uid="{00000000-0005-0000-0000-000028000000}"/>
    <cellStyle name="_МБ-2_Копия Приложение_2010-2012 рус март_Приложение_2010-2012 рус 04.08.10_Анализ" xfId="25" xr:uid="{00000000-0005-0000-0000-000029000000}"/>
    <cellStyle name="_МБ-2_Копия Приложение_2010-2012 рус март_Приложение_2010-2012 рус 04.08.10_Анализ 2" xfId="3458" xr:uid="{00000000-0005-0000-0000-00002A000000}"/>
    <cellStyle name="_МБ-2_Копия Приложение_2010-2012 рус март_Приложение_2010-2012 рус 04.08.10_Анализ 3.03.2011г." xfId="2675" xr:uid="{00000000-0005-0000-0000-00002B000000}"/>
    <cellStyle name="_МБ-2_Копия Приложение_2010-2012 рус март_Приложение_2010-2012 рус 04.08.10_Анализ 6.03.2011г." xfId="2676" xr:uid="{00000000-0005-0000-0000-00002C000000}"/>
    <cellStyle name="_МБ-2_Копия Приложение_2010-2012 рус март_Приложение_2010-2012 рус 04.08.10_Анализ 9.03.2011г." xfId="2677" xr:uid="{00000000-0005-0000-0000-00002D000000}"/>
    <cellStyle name="_МБ-2_Копия Приложение_2010-2012 рус март_Приложение_2010-2012 рус 04.08.10_Анализ_Приложение_рус _2012-2014_29,30" xfId="26" xr:uid="{00000000-0005-0000-0000-00002E000000}"/>
    <cellStyle name="_МБ-2_Копия Приложение_2010-2012 рус март_Приложение_2010-2012 рус 04.08.10_Анализ_Приложение_рус _2012-2014_29,30 2" xfId="3459" xr:uid="{00000000-0005-0000-0000-00002F000000}"/>
    <cellStyle name="_МБ-2_Копия Приложение_2010-2012 рус март_Приложение_2010-2012 рус 04.08.10_Пр 4     11.05.11. ИКС" xfId="27" xr:uid="{00000000-0005-0000-0000-000030000000}"/>
    <cellStyle name="_МБ-2_Копия Приложение_2010-2012 рус март_Приложение_2010-2012 рус 04.08.10_Пр 4     11.05.11. ИКС 2" xfId="3460" xr:uid="{00000000-0005-0000-0000-000031000000}"/>
    <cellStyle name="_МБ-2_Копия Приложение_2010-2012 рус март_Приложение_2010-2012 рус 04.08.10_Пр 4     11.05.11. ИКС_Приложение_рус _2012-2014_29,30" xfId="28" xr:uid="{00000000-0005-0000-0000-000032000000}"/>
    <cellStyle name="_МБ-2_Копия Приложение_2010-2012 рус март_Приложение_2010-2012 рус 04.08.10_Пр 4     11.05.11. ИКС_Приложение_рус _2012-2014_29,30 2" xfId="3461" xr:uid="{00000000-0005-0000-0000-000033000000}"/>
    <cellStyle name="_МБ-2_Копия Приложение_2010-2012 рус март_Приложение_2010-2012 рус 04.08.10_Приложение 4 русс,каз 16.03.11. посл" xfId="29" xr:uid="{00000000-0005-0000-0000-000034000000}"/>
    <cellStyle name="_МБ-2_Копия Приложение_2010-2012 рус март_Приложение_2010-2012 рус 04.08.10_Приложение 4 русс,каз 16.03.11. посл 2" xfId="3462" xr:uid="{00000000-0005-0000-0000-000035000000}"/>
    <cellStyle name="_МБ-2_Копия Приложение_2010-2012 рус март_Приложение_2010-2012 рус 04.08.10_Приложение 4 русс,каз 16.03.11. посл_Приложение_рус _2012-2014_29,30" xfId="30" xr:uid="{00000000-0005-0000-0000-000036000000}"/>
    <cellStyle name="_МБ-2_Копия Приложение_2010-2012 рус март_Приложение_2010-2012 рус 04.08.10_Приложение 4 русс,каз 16.03.11. посл_Приложение_рус _2012-2014_29,30 2" xfId="3463" xr:uid="{00000000-0005-0000-0000-000037000000}"/>
    <cellStyle name="_МБ-2_Копия Приложение_2010-2012 рус март_Приложение_2010-2012 рус 04.08.10_Приложение_реал_рус 2011-2013 Уточнение" xfId="31" xr:uid="{00000000-0005-0000-0000-000038000000}"/>
    <cellStyle name="_МБ-2_Копия Приложение_2010-2012 рус март_Приложение_2010-2012 рус 04.08.10_Приложение_реал_рус 2011-2013 Уточнение 2" xfId="3464" xr:uid="{00000000-0005-0000-0000-000039000000}"/>
    <cellStyle name="_МБ-2_Копия Приложение_2010-2012 рус март_Приложение_2010-2012 рус 04.08.10_Приложение_реал_рус 2011-2013 Уточнение_Приложение_рус _2012-2014_29,30" xfId="32" xr:uid="{00000000-0005-0000-0000-00003A000000}"/>
    <cellStyle name="_МБ-2_Копия Приложение_2010-2012 рус март_Приложение_2010-2012 рус 04.08.10_Приложение_реал_рус 2011-2013 Уточнение_Приложение_рус _2012-2014_29,30 2" xfId="3465" xr:uid="{00000000-0005-0000-0000-00003B000000}"/>
    <cellStyle name="_МБ-2_Копия Приложение_2010-2012 рус март_Приложение_2010-2012 рус 04.08.10_Приложение_рус _2012-2014_29,30" xfId="33" xr:uid="{00000000-0005-0000-0000-00003C000000}"/>
    <cellStyle name="_МБ-2_Копия Приложение_2010-2012 рус март_Приложение_2010-2012 рус 04.08.10_Приложение_рус _2012-2014_29,30 2" xfId="3466" xr:uid="{00000000-0005-0000-0000-00003D000000}"/>
    <cellStyle name="_МБ-2_Копия Приложение_2010-2012 рус март_Приложение_2010-2012 рус 04.08.10_приложения 2012 рус" xfId="34" xr:uid="{00000000-0005-0000-0000-00003E000000}"/>
    <cellStyle name="_МБ-2_Копия Приложение_2010-2012 рус март_Приложение_2010-2012 рус 04.08.10_приложения 2012 рус 2" xfId="3467" xr:uid="{00000000-0005-0000-0000-00003F000000}"/>
    <cellStyle name="_МБ-2_Копия Приложение_2010-2012 рус март_Приложение_пост_рус_авг" xfId="35" xr:uid="{00000000-0005-0000-0000-000040000000}"/>
    <cellStyle name="_МБ-2_Копия Приложение_2010-2012 рус март_Приложение_пост_рус_авг 2" xfId="3468" xr:uid="{00000000-0005-0000-0000-000041000000}"/>
    <cellStyle name="_МБ-2_Копия Приложение_2010-2012 рус март_Приложение_пост_рус_авг_Анализ" xfId="36" xr:uid="{00000000-0005-0000-0000-000042000000}"/>
    <cellStyle name="_МБ-2_Копия Приложение_2010-2012 рус март_Приложение_пост_рус_авг_Анализ 2" xfId="3469" xr:uid="{00000000-0005-0000-0000-000043000000}"/>
    <cellStyle name="_МБ-2_Копия Приложение_2010-2012 рус март_Приложение_пост_рус_авг_Анализ 3.03.2011г." xfId="2678" xr:uid="{00000000-0005-0000-0000-000044000000}"/>
    <cellStyle name="_МБ-2_Копия Приложение_2010-2012 рус март_Приложение_пост_рус_авг_Анализ 6.03.2011г." xfId="2679" xr:uid="{00000000-0005-0000-0000-000045000000}"/>
    <cellStyle name="_МБ-2_Копия Приложение_2010-2012 рус март_Приложение_пост_рус_авг_Анализ 9.03.2011г." xfId="2680" xr:uid="{00000000-0005-0000-0000-000046000000}"/>
    <cellStyle name="_МБ-2_Копия Приложение_2010-2012 рус март_Приложение_пост_рус_авг_Анализ_Приложение_рус _2012-2014_29,30" xfId="37" xr:uid="{00000000-0005-0000-0000-000047000000}"/>
    <cellStyle name="_МБ-2_Копия Приложение_2010-2012 рус март_Приложение_пост_рус_авг_Анализ_Приложение_рус _2012-2014_29,30 2" xfId="3470" xr:uid="{00000000-0005-0000-0000-000048000000}"/>
    <cellStyle name="_МБ-2_Копия Приложение_2010-2012 рус март_Приложение_пост_рус_авг_Пр 4     11.05.11. ИКС" xfId="38" xr:uid="{00000000-0005-0000-0000-000049000000}"/>
    <cellStyle name="_МБ-2_Копия Приложение_2010-2012 рус март_Приложение_пост_рус_авг_Пр 4     11.05.11. ИКС 2" xfId="3471" xr:uid="{00000000-0005-0000-0000-00004A000000}"/>
    <cellStyle name="_МБ-2_Копия Приложение_2010-2012 рус март_Приложение_пост_рус_авг_Пр 4     11.05.11. ИКС_Приложение_рус _2012-2014_29,30" xfId="39" xr:uid="{00000000-0005-0000-0000-00004B000000}"/>
    <cellStyle name="_МБ-2_Копия Приложение_2010-2012 рус март_Приложение_пост_рус_авг_Пр 4     11.05.11. ИКС_Приложение_рус _2012-2014_29,30 2" xfId="3472" xr:uid="{00000000-0005-0000-0000-00004C000000}"/>
    <cellStyle name="_МБ-2_Копия Приложение_2010-2012 рус март_Приложение_пост_рус_авг_Приложение 4 русс,каз 16.03.11. посл" xfId="40" xr:uid="{00000000-0005-0000-0000-00004D000000}"/>
    <cellStyle name="_МБ-2_Копия Приложение_2010-2012 рус март_Приложение_пост_рус_авг_Приложение 4 русс,каз 16.03.11. посл 2" xfId="3473" xr:uid="{00000000-0005-0000-0000-00004E000000}"/>
    <cellStyle name="_МБ-2_Копия Приложение_2010-2012 рус март_Приложение_пост_рус_авг_Приложение 4 русс,каз 16.03.11. посл_Приложение_рус _2012-2014_29,30" xfId="41" xr:uid="{00000000-0005-0000-0000-00004F000000}"/>
    <cellStyle name="_МБ-2_Копия Приложение_2010-2012 рус март_Приложение_пост_рус_авг_Приложение 4 русс,каз 16.03.11. посл_Приложение_рус _2012-2014_29,30 2" xfId="3474" xr:uid="{00000000-0005-0000-0000-000050000000}"/>
    <cellStyle name="_МБ-2_Копия Приложение_2010-2012 рус март_Приложение_пост_рус_авг_Приложение_реал_рус 2011-2013 Уточнение" xfId="42" xr:uid="{00000000-0005-0000-0000-000051000000}"/>
    <cellStyle name="_МБ-2_Копия Приложение_2010-2012 рус март_Приложение_пост_рус_авг_Приложение_реал_рус 2011-2013 Уточнение 2" xfId="3475" xr:uid="{00000000-0005-0000-0000-000052000000}"/>
    <cellStyle name="_МБ-2_Копия Приложение_2010-2012 рус март_Приложение_пост_рус_авг_Приложение_реал_рус 2011-2013 Уточнение_Приложение_рус _2012-2014_29,30" xfId="43" xr:uid="{00000000-0005-0000-0000-000053000000}"/>
    <cellStyle name="_МБ-2_Копия Приложение_2010-2012 рус март_Приложение_пост_рус_авг_Приложение_реал_рус 2011-2013 Уточнение_Приложение_рус _2012-2014_29,30 2" xfId="3476" xr:uid="{00000000-0005-0000-0000-000054000000}"/>
    <cellStyle name="_МБ-2_Копия Приложение_2010-2012 рус март_Приложение_пост_рус_авг_Приложение_рус _2012-2014_29,30" xfId="44" xr:uid="{00000000-0005-0000-0000-000055000000}"/>
    <cellStyle name="_МБ-2_Копия Приложение_2010-2012 рус март_Приложение_пост_рус_авг_Приложение_рус _2012-2014_29,30 2" xfId="3477" xr:uid="{00000000-0005-0000-0000-000056000000}"/>
    <cellStyle name="_МБ-2_Копия Приложение_2010-2012 рус март_Приложение_пост_рус_авг_приложения 2012 рус" xfId="45" xr:uid="{00000000-0005-0000-0000-000057000000}"/>
    <cellStyle name="_МБ-2_Копия Приложение_2010-2012 рус март_Приложение_пост_рус_авг_приложения 2012 рус 2" xfId="3478" xr:uid="{00000000-0005-0000-0000-000058000000}"/>
    <cellStyle name="_МБ-2_Копия Приложение_2010-2012 рус март_Приложение_реал_рус 2011-2013 Уточнение" xfId="46" xr:uid="{00000000-0005-0000-0000-000059000000}"/>
    <cellStyle name="_МБ-2_Копия Приложение_2010-2012 рус март_Приложение_реал_рус 2011-2013 Уточнение 2" xfId="3479" xr:uid="{00000000-0005-0000-0000-00005A000000}"/>
    <cellStyle name="_МБ-2_Копия Приложение_2010-2012 рус март_Приложение_реал_рус 2011-2013 Уточнение_Приложение_рус _2012-2014_29,30" xfId="47" xr:uid="{00000000-0005-0000-0000-00005B000000}"/>
    <cellStyle name="_МБ-2_Копия Приложение_2010-2012 рус март_Приложение_реал_рус 2011-2013 Уточнение_Приложение_рус _2012-2014_29,30 2" xfId="3480" xr:uid="{00000000-0005-0000-0000-00005C000000}"/>
    <cellStyle name="_МБ-2_Копия Приложение_2010-2012 рус март_Приложение_рус _2012-2014_29,30" xfId="48" xr:uid="{00000000-0005-0000-0000-00005D000000}"/>
    <cellStyle name="_МБ-2_Копия Приложение_2010-2012 рус март_Приложение_рус _2012-2014_29,30 2" xfId="3481" xr:uid="{00000000-0005-0000-0000-00005E000000}"/>
    <cellStyle name="_МБ-2_Копия Приложение_2010-2012 рус март_приложения 2012 рус" xfId="49" xr:uid="{00000000-0005-0000-0000-00005F000000}"/>
    <cellStyle name="_МБ-2_Копия Приложение_2010-2012 рус март_приложения 2012 рус 2" xfId="3482" xr:uid="{00000000-0005-0000-0000-000060000000}"/>
    <cellStyle name="_МБ-2_Пр 4     11.05.11. ИКС" xfId="50" xr:uid="{00000000-0005-0000-0000-000061000000}"/>
    <cellStyle name="_МБ-2_Пр 4     11.05.11. ИКС 2" xfId="3483" xr:uid="{00000000-0005-0000-0000-000062000000}"/>
    <cellStyle name="_МБ-2_Пр 4     11.05.11. ИКС_Приложение_рус _2012-2014_29,30" xfId="51" xr:uid="{00000000-0005-0000-0000-000063000000}"/>
    <cellStyle name="_МБ-2_Пр 4     11.05.11. ИКС_Приложение_рус _2012-2014_29,30 2" xfId="3484" xr:uid="{00000000-0005-0000-0000-000064000000}"/>
    <cellStyle name="_МБ-2_прил4р_к" xfId="52" xr:uid="{00000000-0005-0000-0000-000065000000}"/>
    <cellStyle name="_МБ-2_прил4р_к 2" xfId="53" xr:uid="{00000000-0005-0000-0000-000066000000}"/>
    <cellStyle name="_МБ-2_прил4р_к 2 2" xfId="3486" xr:uid="{00000000-0005-0000-0000-000067000000}"/>
    <cellStyle name="_МБ-2_прил4р_к 3" xfId="3485" xr:uid="{00000000-0005-0000-0000-000068000000}"/>
    <cellStyle name="_МБ-2_прил4р_к_Анализ" xfId="54" xr:uid="{00000000-0005-0000-0000-000069000000}"/>
    <cellStyle name="_МБ-2_прил4р_к_Анализ 2" xfId="3487" xr:uid="{00000000-0005-0000-0000-00006A000000}"/>
    <cellStyle name="_МБ-2_прил4р_к_Анализ 3.03.2011г." xfId="2681" xr:uid="{00000000-0005-0000-0000-00006B000000}"/>
    <cellStyle name="_МБ-2_прил4р_к_Анализ 6.03.2011г." xfId="2682" xr:uid="{00000000-0005-0000-0000-00006C000000}"/>
    <cellStyle name="_МБ-2_прил4р_к_Анализ 9.03.2011г." xfId="2683" xr:uid="{00000000-0005-0000-0000-00006D000000}"/>
    <cellStyle name="_МБ-2_прил4р_к_Анализ_Приложение_рус _2012-2014_29,30" xfId="55" xr:uid="{00000000-0005-0000-0000-00006E000000}"/>
    <cellStyle name="_МБ-2_прил4р_к_Анализ_Приложение_рус _2012-2014_29,30 2" xfId="3488" xr:uid="{00000000-0005-0000-0000-00006F000000}"/>
    <cellStyle name="_МБ-2_прил4р_к_Пр 4     11.05.11. ИКС" xfId="56" xr:uid="{00000000-0005-0000-0000-000070000000}"/>
    <cellStyle name="_МБ-2_прил4р_к_Пр 4     11.05.11. ИКС 2" xfId="3489" xr:uid="{00000000-0005-0000-0000-000071000000}"/>
    <cellStyle name="_МБ-2_прил4р_к_Пр 4     11.05.11. ИКС_Приложение_рус _2012-2014_29,30" xfId="57" xr:uid="{00000000-0005-0000-0000-000072000000}"/>
    <cellStyle name="_МБ-2_прил4р_к_Пр 4     11.05.11. ИКС_Приложение_рус _2012-2014_29,30 2" xfId="3490" xr:uid="{00000000-0005-0000-0000-000073000000}"/>
    <cellStyle name="_МБ-2_прил4р_к_Приложение 4 русс,каз 16.03.11. посл" xfId="58" xr:uid="{00000000-0005-0000-0000-000074000000}"/>
    <cellStyle name="_МБ-2_прил4р_к_Приложение 4 русс,каз 16.03.11. посл 2" xfId="3491" xr:uid="{00000000-0005-0000-0000-000075000000}"/>
    <cellStyle name="_МБ-2_прил4р_к_Приложение 4 русс,каз 16.03.11. посл_Приложение_рус _2012-2014_29,30" xfId="59" xr:uid="{00000000-0005-0000-0000-000076000000}"/>
    <cellStyle name="_МБ-2_прил4р_к_Приложение 4 русс,каз 16.03.11. посл_Приложение_рус _2012-2014_29,30 2" xfId="3492" xr:uid="{00000000-0005-0000-0000-000077000000}"/>
    <cellStyle name="_МБ-2_прил4р_к_Приложение_пост_каз_авг" xfId="60" xr:uid="{00000000-0005-0000-0000-000078000000}"/>
    <cellStyle name="_МБ-2_прил4р_к_Приложение_пост_каз_авг 2" xfId="3493" xr:uid="{00000000-0005-0000-0000-000079000000}"/>
    <cellStyle name="_МБ-2_прил4р_к_Приложение_пост_каз_авг_Анализ" xfId="61" xr:uid="{00000000-0005-0000-0000-00007A000000}"/>
    <cellStyle name="_МБ-2_прил4р_к_Приложение_пост_каз_авг_Анализ 2" xfId="3494" xr:uid="{00000000-0005-0000-0000-00007B000000}"/>
    <cellStyle name="_МБ-2_прил4р_к_Приложение_пост_каз_авг_Анализ 3.03.2011г." xfId="2684" xr:uid="{00000000-0005-0000-0000-00007C000000}"/>
    <cellStyle name="_МБ-2_прил4р_к_Приложение_пост_каз_авг_Анализ 6.03.2011г." xfId="2685" xr:uid="{00000000-0005-0000-0000-00007D000000}"/>
    <cellStyle name="_МБ-2_прил4р_к_Приложение_пост_каз_авг_Анализ 9.03.2011г." xfId="2686" xr:uid="{00000000-0005-0000-0000-00007E000000}"/>
    <cellStyle name="_МБ-2_прил4р_к_Приложение_пост_каз_авг_Анализ_Приложение_рус _2012-2014_29,30" xfId="62" xr:uid="{00000000-0005-0000-0000-00007F000000}"/>
    <cellStyle name="_МБ-2_прил4р_к_Приложение_пост_каз_авг_Анализ_Приложение_рус _2012-2014_29,30 2" xfId="3495" xr:uid="{00000000-0005-0000-0000-000080000000}"/>
    <cellStyle name="_МБ-2_прил4р_к_Приложение_пост_каз_авг_Пр 4     11.05.11. ИКС" xfId="63" xr:uid="{00000000-0005-0000-0000-000081000000}"/>
    <cellStyle name="_МБ-2_прил4р_к_Приложение_пост_каз_авг_Пр 4     11.05.11. ИКС 2" xfId="3496" xr:uid="{00000000-0005-0000-0000-000082000000}"/>
    <cellStyle name="_МБ-2_прил4р_к_Приложение_пост_каз_авг_Пр 4     11.05.11. ИКС_Приложение_рус _2012-2014_29,30" xfId="64" xr:uid="{00000000-0005-0000-0000-000083000000}"/>
    <cellStyle name="_МБ-2_прил4р_к_Приложение_пост_каз_авг_Пр 4     11.05.11. ИКС_Приложение_рус _2012-2014_29,30 2" xfId="3497" xr:uid="{00000000-0005-0000-0000-000084000000}"/>
    <cellStyle name="_МБ-2_прил4р_к_Приложение_пост_каз_авг_Приложение 4 русс,каз 16.03.11. посл" xfId="65" xr:uid="{00000000-0005-0000-0000-000085000000}"/>
    <cellStyle name="_МБ-2_прил4р_к_Приложение_пост_каз_авг_Приложение 4 русс,каз 16.03.11. посл 2" xfId="3498" xr:uid="{00000000-0005-0000-0000-000086000000}"/>
    <cellStyle name="_МБ-2_прил4р_к_Приложение_пост_каз_авг_Приложение 4 русс,каз 16.03.11. посл_Приложение_рус _2012-2014_29,30" xfId="66" xr:uid="{00000000-0005-0000-0000-000087000000}"/>
    <cellStyle name="_МБ-2_прил4р_к_Приложение_пост_каз_авг_Приложение 4 русс,каз 16.03.11. посл_Приложение_рус _2012-2014_29,30 2" xfId="3499" xr:uid="{00000000-0005-0000-0000-000088000000}"/>
    <cellStyle name="_МБ-2_прил4р_к_Приложение_пост_каз_авг_Приложение_реал_рус 2011-2013 Уточнение" xfId="67" xr:uid="{00000000-0005-0000-0000-000089000000}"/>
    <cellStyle name="_МБ-2_прил4р_к_Приложение_пост_каз_авг_Приложение_реал_рус 2011-2013 Уточнение 2" xfId="3500" xr:uid="{00000000-0005-0000-0000-00008A000000}"/>
    <cellStyle name="_МБ-2_прил4р_к_Приложение_пост_каз_авг_Приложение_реал_рус 2011-2013 Уточнение_Приложение_рус _2012-2014_29,30" xfId="68" xr:uid="{00000000-0005-0000-0000-00008B000000}"/>
    <cellStyle name="_МБ-2_прил4р_к_Приложение_пост_каз_авг_Приложение_реал_рус 2011-2013 Уточнение_Приложение_рус _2012-2014_29,30 2" xfId="3501" xr:uid="{00000000-0005-0000-0000-00008C000000}"/>
    <cellStyle name="_МБ-2_прил4р_к_Приложение_пост_каз_авг_Приложение_рус _2012-2014_29,30" xfId="69" xr:uid="{00000000-0005-0000-0000-00008D000000}"/>
    <cellStyle name="_МБ-2_прил4р_к_Приложение_пост_каз_авг_Приложение_рус _2012-2014_29,30 2" xfId="3502" xr:uid="{00000000-0005-0000-0000-00008E000000}"/>
    <cellStyle name="_МБ-2_прил4р_к_Приложение_пост_каз_авг_приложения 2012 рус" xfId="70" xr:uid="{00000000-0005-0000-0000-00008F000000}"/>
    <cellStyle name="_МБ-2_прил4р_к_Приложение_пост_каз_авг_приложения 2012 рус 2" xfId="3503" xr:uid="{00000000-0005-0000-0000-000090000000}"/>
    <cellStyle name="_МБ-2_прил4р_к_Приложение_пост_рус_авг" xfId="71" xr:uid="{00000000-0005-0000-0000-000091000000}"/>
    <cellStyle name="_МБ-2_прил4р_к_Приложение_пост_рус_авг 2" xfId="3504" xr:uid="{00000000-0005-0000-0000-000092000000}"/>
    <cellStyle name="_МБ-2_прил4р_к_Приложение_пост_рус_авг_Анализ" xfId="72" xr:uid="{00000000-0005-0000-0000-000093000000}"/>
    <cellStyle name="_МБ-2_прил4р_к_Приложение_пост_рус_авг_Анализ 2" xfId="3505" xr:uid="{00000000-0005-0000-0000-000094000000}"/>
    <cellStyle name="_МБ-2_прил4р_к_Приложение_пост_рус_авг_Анализ 3.03.2011г." xfId="2687" xr:uid="{00000000-0005-0000-0000-000095000000}"/>
    <cellStyle name="_МБ-2_прил4р_к_Приложение_пост_рус_авг_Анализ 6.03.2011г." xfId="2688" xr:uid="{00000000-0005-0000-0000-000096000000}"/>
    <cellStyle name="_МБ-2_прил4р_к_Приложение_пост_рус_авг_Анализ 9.03.2011г." xfId="2689" xr:uid="{00000000-0005-0000-0000-000097000000}"/>
    <cellStyle name="_МБ-2_прил4р_к_Приложение_пост_рус_авг_Анализ_Приложение_рус _2012-2014_29,30" xfId="73" xr:uid="{00000000-0005-0000-0000-000098000000}"/>
    <cellStyle name="_МБ-2_прил4р_к_Приложение_пост_рус_авг_Анализ_Приложение_рус _2012-2014_29,30 2" xfId="3506" xr:uid="{00000000-0005-0000-0000-000099000000}"/>
    <cellStyle name="_МБ-2_прил4р_к_Приложение_пост_рус_авг_Пр 4     11.05.11. ИКС" xfId="74" xr:uid="{00000000-0005-0000-0000-00009A000000}"/>
    <cellStyle name="_МБ-2_прил4р_к_Приложение_пост_рус_авг_Пр 4     11.05.11. ИКС 2" xfId="3507" xr:uid="{00000000-0005-0000-0000-00009B000000}"/>
    <cellStyle name="_МБ-2_прил4р_к_Приложение_пост_рус_авг_Пр 4     11.05.11. ИКС_Приложение_рус _2012-2014_29,30" xfId="75" xr:uid="{00000000-0005-0000-0000-00009C000000}"/>
    <cellStyle name="_МБ-2_прил4р_к_Приложение_пост_рус_авг_Пр 4     11.05.11. ИКС_Приложение_рус _2012-2014_29,30 2" xfId="3508" xr:uid="{00000000-0005-0000-0000-00009D000000}"/>
    <cellStyle name="_МБ-2_прил4р_к_Приложение_пост_рус_авг_Приложение 4 русс,каз 16.03.11. посл" xfId="76" xr:uid="{00000000-0005-0000-0000-00009E000000}"/>
    <cellStyle name="_МБ-2_прил4р_к_Приложение_пост_рус_авг_Приложение 4 русс,каз 16.03.11. посл 2" xfId="3509" xr:uid="{00000000-0005-0000-0000-00009F000000}"/>
    <cellStyle name="_МБ-2_прил4р_к_Приложение_пост_рус_авг_Приложение 4 русс,каз 16.03.11. посл_Приложение_рус _2012-2014_29,30" xfId="77" xr:uid="{00000000-0005-0000-0000-0000A0000000}"/>
    <cellStyle name="_МБ-2_прил4р_к_Приложение_пост_рус_авг_Приложение 4 русс,каз 16.03.11. посл_Приложение_рус _2012-2014_29,30 2" xfId="3510" xr:uid="{00000000-0005-0000-0000-0000A1000000}"/>
    <cellStyle name="_МБ-2_прил4р_к_Приложение_пост_рус_авг_Приложение_реал_рус 2011-2013 Уточнение" xfId="78" xr:uid="{00000000-0005-0000-0000-0000A2000000}"/>
    <cellStyle name="_МБ-2_прил4р_к_Приложение_пост_рус_авг_Приложение_реал_рус 2011-2013 Уточнение 2" xfId="3511" xr:uid="{00000000-0005-0000-0000-0000A3000000}"/>
    <cellStyle name="_МБ-2_прил4р_к_Приложение_пост_рус_авг_Приложение_реал_рус 2011-2013 Уточнение_Приложение_рус _2012-2014_29,30" xfId="79" xr:uid="{00000000-0005-0000-0000-0000A4000000}"/>
    <cellStyle name="_МБ-2_прил4р_к_Приложение_пост_рус_авг_Приложение_реал_рус 2011-2013 Уточнение_Приложение_рус _2012-2014_29,30 2" xfId="3512" xr:uid="{00000000-0005-0000-0000-0000A5000000}"/>
    <cellStyle name="_МБ-2_прил4р_к_Приложение_пост_рус_авг_Приложение_рус _2012-2014_29,30" xfId="80" xr:uid="{00000000-0005-0000-0000-0000A6000000}"/>
    <cellStyle name="_МБ-2_прил4р_к_Приложение_пост_рус_авг_Приложение_рус _2012-2014_29,30 2" xfId="3513" xr:uid="{00000000-0005-0000-0000-0000A7000000}"/>
    <cellStyle name="_МБ-2_прил4р_к_Приложение_пост_рус_авг_приложения 2012 рус" xfId="81" xr:uid="{00000000-0005-0000-0000-0000A8000000}"/>
    <cellStyle name="_МБ-2_прил4р_к_Приложение_пост_рус_авг_приложения 2012 рус 2" xfId="3514" xr:uid="{00000000-0005-0000-0000-0000A9000000}"/>
    <cellStyle name="_МБ-2_прил4р_к_Приложение_реал_рус 2011-2013 Уточнение" xfId="82" xr:uid="{00000000-0005-0000-0000-0000AA000000}"/>
    <cellStyle name="_МБ-2_прил4р_к_Приложение_реал_рус 2011-2013 Уточнение 2" xfId="3515" xr:uid="{00000000-0005-0000-0000-0000AB000000}"/>
    <cellStyle name="_МБ-2_прил4р_к_Приложение_реал_рус 2011-2013 Уточнение_Приложение_рус _2012-2014_29,30" xfId="83" xr:uid="{00000000-0005-0000-0000-0000AC000000}"/>
    <cellStyle name="_МБ-2_прил4р_к_Приложение_реал_рус 2011-2013 Уточнение_Приложение_рус _2012-2014_29,30 2" xfId="3516" xr:uid="{00000000-0005-0000-0000-0000AD000000}"/>
    <cellStyle name="_МБ-2_прил4р_к_Приложение_рус _2012-2014_29,30" xfId="84" xr:uid="{00000000-0005-0000-0000-0000AE000000}"/>
    <cellStyle name="_МБ-2_прил4р_к_Приложение_рус _2012-2014_29,30 2" xfId="3517" xr:uid="{00000000-0005-0000-0000-0000AF000000}"/>
    <cellStyle name="_МБ-2_прил4р_к_приложения 2012 рус" xfId="85" xr:uid="{00000000-0005-0000-0000-0000B0000000}"/>
    <cellStyle name="_МБ-2_прил4р_к_приложения 2012 рус 2" xfId="3518" xr:uid="{00000000-0005-0000-0000-0000B1000000}"/>
    <cellStyle name="_МБ-2_Приложение 4 русс,каз 16.03.11. посл" xfId="86" xr:uid="{00000000-0005-0000-0000-0000B2000000}"/>
    <cellStyle name="_МБ-2_Приложение 4 русс,каз 16.03.11. посл 2" xfId="3519" xr:uid="{00000000-0005-0000-0000-0000B3000000}"/>
    <cellStyle name="_МБ-2_Приложение 4 русс,каз 16.03.11. посл_Приложение_рус _2012-2014_29,30" xfId="87" xr:uid="{00000000-0005-0000-0000-0000B4000000}"/>
    <cellStyle name="_МБ-2_Приложение 4 русс,каз 16.03.11. посл_Приложение_рус _2012-2014_29,30 2" xfId="3520" xr:uid="{00000000-0005-0000-0000-0000B5000000}"/>
    <cellStyle name="_МБ-2_Приложение_2010-2012 каз 04.08.10_ДК-2020" xfId="88" xr:uid="{00000000-0005-0000-0000-0000B6000000}"/>
    <cellStyle name="_МБ-2_Приложение_2010-2012 каз 04.08.10_ДК-2020 2" xfId="3521" xr:uid="{00000000-0005-0000-0000-0000B7000000}"/>
    <cellStyle name="_МБ-2_Приложение_2010-2012 каз 04.08.10_ДК-2020_Анализ" xfId="89" xr:uid="{00000000-0005-0000-0000-0000B8000000}"/>
    <cellStyle name="_МБ-2_Приложение_2010-2012 каз 04.08.10_ДК-2020_Анализ 2" xfId="3522" xr:uid="{00000000-0005-0000-0000-0000B9000000}"/>
    <cellStyle name="_МБ-2_Приложение_2010-2012 каз 04.08.10_ДК-2020_Анализ 3.03.2011г." xfId="2690" xr:uid="{00000000-0005-0000-0000-0000BA000000}"/>
    <cellStyle name="_МБ-2_Приложение_2010-2012 каз 04.08.10_ДК-2020_Анализ 6.03.2011г." xfId="2691" xr:uid="{00000000-0005-0000-0000-0000BB000000}"/>
    <cellStyle name="_МБ-2_Приложение_2010-2012 каз 04.08.10_ДК-2020_Анализ 9.03.2011г." xfId="2692" xr:uid="{00000000-0005-0000-0000-0000BC000000}"/>
    <cellStyle name="_МБ-2_Приложение_2010-2012 каз 04.08.10_ДК-2020_Анализ_Приложение_рус _2012-2014_29,30" xfId="90" xr:uid="{00000000-0005-0000-0000-0000BD000000}"/>
    <cellStyle name="_МБ-2_Приложение_2010-2012 каз 04.08.10_ДК-2020_Анализ_Приложение_рус _2012-2014_29,30 2" xfId="3523" xr:uid="{00000000-0005-0000-0000-0000BE000000}"/>
    <cellStyle name="_МБ-2_Приложение_2010-2012 каз 04.08.10_ДК-2020_Пр 4     11.05.11. ИКС" xfId="91" xr:uid="{00000000-0005-0000-0000-0000BF000000}"/>
    <cellStyle name="_МБ-2_Приложение_2010-2012 каз 04.08.10_ДК-2020_Пр 4     11.05.11. ИКС 2" xfId="3524" xr:uid="{00000000-0005-0000-0000-0000C0000000}"/>
    <cellStyle name="_МБ-2_Приложение_2010-2012 каз 04.08.10_ДК-2020_Пр 4     11.05.11. ИКС_Приложение_рус _2012-2014_29,30" xfId="92" xr:uid="{00000000-0005-0000-0000-0000C1000000}"/>
    <cellStyle name="_МБ-2_Приложение_2010-2012 каз 04.08.10_ДК-2020_Пр 4     11.05.11. ИКС_Приложение_рус _2012-2014_29,30 2" xfId="3525" xr:uid="{00000000-0005-0000-0000-0000C2000000}"/>
    <cellStyle name="_МБ-2_Приложение_2010-2012 каз 04.08.10_ДК-2020_Приложение 4 русс,каз 16.03.11. посл" xfId="93" xr:uid="{00000000-0005-0000-0000-0000C3000000}"/>
    <cellStyle name="_МБ-2_Приложение_2010-2012 каз 04.08.10_ДК-2020_Приложение 4 русс,каз 16.03.11. посл 2" xfId="3526" xr:uid="{00000000-0005-0000-0000-0000C4000000}"/>
    <cellStyle name="_МБ-2_Приложение_2010-2012 каз 04.08.10_ДК-2020_Приложение 4 русс,каз 16.03.11. посл_Приложение_рус _2012-2014_29,30" xfId="94" xr:uid="{00000000-0005-0000-0000-0000C5000000}"/>
    <cellStyle name="_МБ-2_Приложение_2010-2012 каз 04.08.10_ДК-2020_Приложение 4 русс,каз 16.03.11. посл_Приложение_рус _2012-2014_29,30 2" xfId="3527" xr:uid="{00000000-0005-0000-0000-0000C6000000}"/>
    <cellStyle name="_МБ-2_Приложение_2010-2012 каз 04.08.10_ДК-2020_Приложение_реал_рус 2011-2013 Уточнение" xfId="95" xr:uid="{00000000-0005-0000-0000-0000C7000000}"/>
    <cellStyle name="_МБ-2_Приложение_2010-2012 каз 04.08.10_ДК-2020_Приложение_реал_рус 2011-2013 Уточнение 2" xfId="3528" xr:uid="{00000000-0005-0000-0000-0000C8000000}"/>
    <cellStyle name="_МБ-2_Приложение_2010-2012 каз 04.08.10_ДК-2020_Приложение_реал_рус 2011-2013 Уточнение_Приложение_рус _2012-2014_29,30" xfId="96" xr:uid="{00000000-0005-0000-0000-0000C9000000}"/>
    <cellStyle name="_МБ-2_Приложение_2010-2012 каз 04.08.10_ДК-2020_Приложение_реал_рус 2011-2013 Уточнение_Приложение_рус _2012-2014_29,30 2" xfId="3529" xr:uid="{00000000-0005-0000-0000-0000CA000000}"/>
    <cellStyle name="_МБ-2_Приложение_2010-2012 каз 04.08.10_ДК-2020_Приложение_рус _2012-2014_29,30" xfId="97" xr:uid="{00000000-0005-0000-0000-0000CB000000}"/>
    <cellStyle name="_МБ-2_Приложение_2010-2012 каз 04.08.10_ДК-2020_Приложение_рус _2012-2014_29,30 2" xfId="3530" xr:uid="{00000000-0005-0000-0000-0000CC000000}"/>
    <cellStyle name="_МБ-2_Приложение_2010-2012 каз 04.08.10_ДК-2020_приложения 2012 рус" xfId="98" xr:uid="{00000000-0005-0000-0000-0000CD000000}"/>
    <cellStyle name="_МБ-2_Приложение_2010-2012 каз 04.08.10_ДК-2020_приложения 2012 рус 2" xfId="3531" xr:uid="{00000000-0005-0000-0000-0000CE000000}"/>
    <cellStyle name="_МБ-2_Приложение_2010-2012 каз_март" xfId="99" xr:uid="{00000000-0005-0000-0000-0000CF000000}"/>
    <cellStyle name="_МБ-2_Приложение_2010-2012 каз_март 2" xfId="100" xr:uid="{00000000-0005-0000-0000-0000D0000000}"/>
    <cellStyle name="_МБ-2_Приложение_2010-2012 каз_март 2 2" xfId="3533" xr:uid="{00000000-0005-0000-0000-0000D1000000}"/>
    <cellStyle name="_МБ-2_Приложение_2010-2012 каз_март 3" xfId="3532" xr:uid="{00000000-0005-0000-0000-0000D2000000}"/>
    <cellStyle name="_МБ-2_Приложение_2010-2012 каз_март_Анализ" xfId="101" xr:uid="{00000000-0005-0000-0000-0000D3000000}"/>
    <cellStyle name="_МБ-2_Приложение_2010-2012 каз_март_Анализ 2" xfId="3534" xr:uid="{00000000-0005-0000-0000-0000D4000000}"/>
    <cellStyle name="_МБ-2_Приложение_2010-2012 каз_март_Анализ 3.03.2011г." xfId="2693" xr:uid="{00000000-0005-0000-0000-0000D5000000}"/>
    <cellStyle name="_МБ-2_Приложение_2010-2012 каз_март_Анализ 6.03.2011г." xfId="2694" xr:uid="{00000000-0005-0000-0000-0000D6000000}"/>
    <cellStyle name="_МБ-2_Приложение_2010-2012 каз_март_Анализ 9.03.2011г." xfId="2695" xr:uid="{00000000-0005-0000-0000-0000D7000000}"/>
    <cellStyle name="_МБ-2_Приложение_2010-2012 каз_март_Анализ_Приложение_рус _2012-2014_29,30" xfId="102" xr:uid="{00000000-0005-0000-0000-0000D8000000}"/>
    <cellStyle name="_МБ-2_Приложение_2010-2012 каз_март_Анализ_Приложение_рус _2012-2014_29,30 2" xfId="3535" xr:uid="{00000000-0005-0000-0000-0000D9000000}"/>
    <cellStyle name="_МБ-2_Приложение_2010-2012 каз_март_Пр 4     11.05.11. ИКС" xfId="103" xr:uid="{00000000-0005-0000-0000-0000DA000000}"/>
    <cellStyle name="_МБ-2_Приложение_2010-2012 каз_март_Пр 4     11.05.11. ИКС 2" xfId="3536" xr:uid="{00000000-0005-0000-0000-0000DB000000}"/>
    <cellStyle name="_МБ-2_Приложение_2010-2012 каз_март_Пр 4     11.05.11. ИКС_Приложение_рус _2012-2014_29,30" xfId="104" xr:uid="{00000000-0005-0000-0000-0000DC000000}"/>
    <cellStyle name="_МБ-2_Приложение_2010-2012 каз_март_Пр 4     11.05.11. ИКС_Приложение_рус _2012-2014_29,30 2" xfId="3537" xr:uid="{00000000-0005-0000-0000-0000DD000000}"/>
    <cellStyle name="_МБ-2_Приложение_2010-2012 каз_март_Приложение 4 русс,каз 16.03.11. посл" xfId="105" xr:uid="{00000000-0005-0000-0000-0000DE000000}"/>
    <cellStyle name="_МБ-2_Приложение_2010-2012 каз_март_Приложение 4 русс,каз 16.03.11. посл 2" xfId="3538" xr:uid="{00000000-0005-0000-0000-0000DF000000}"/>
    <cellStyle name="_МБ-2_Приложение_2010-2012 каз_март_Приложение 4 русс,каз 16.03.11. посл_Приложение_рус _2012-2014_29,30" xfId="106" xr:uid="{00000000-0005-0000-0000-0000E0000000}"/>
    <cellStyle name="_МБ-2_Приложение_2010-2012 каз_март_Приложение 4 русс,каз 16.03.11. посл_Приложение_рус _2012-2014_29,30 2" xfId="3539" xr:uid="{00000000-0005-0000-0000-0000E1000000}"/>
    <cellStyle name="_МБ-2_Приложение_2010-2012 каз_март_Приложение_пост_каз_авг" xfId="107" xr:uid="{00000000-0005-0000-0000-0000E2000000}"/>
    <cellStyle name="_МБ-2_Приложение_2010-2012 каз_март_Приложение_пост_каз_авг 2" xfId="3540" xr:uid="{00000000-0005-0000-0000-0000E3000000}"/>
    <cellStyle name="_МБ-2_Приложение_2010-2012 каз_март_Приложение_пост_каз_авг_Анализ" xfId="108" xr:uid="{00000000-0005-0000-0000-0000E4000000}"/>
    <cellStyle name="_МБ-2_Приложение_2010-2012 каз_март_Приложение_пост_каз_авг_Анализ 2" xfId="3541" xr:uid="{00000000-0005-0000-0000-0000E5000000}"/>
    <cellStyle name="_МБ-2_Приложение_2010-2012 каз_март_Приложение_пост_каз_авг_Анализ 3.03.2011г." xfId="2696" xr:uid="{00000000-0005-0000-0000-0000E6000000}"/>
    <cellStyle name="_МБ-2_Приложение_2010-2012 каз_март_Приложение_пост_каз_авг_Анализ 6.03.2011г." xfId="2697" xr:uid="{00000000-0005-0000-0000-0000E7000000}"/>
    <cellStyle name="_МБ-2_Приложение_2010-2012 каз_март_Приложение_пост_каз_авг_Анализ 9.03.2011г." xfId="2698" xr:uid="{00000000-0005-0000-0000-0000E8000000}"/>
    <cellStyle name="_МБ-2_Приложение_2010-2012 каз_март_Приложение_пост_каз_авг_Анализ_Приложение_рус _2012-2014_29,30" xfId="109" xr:uid="{00000000-0005-0000-0000-0000E9000000}"/>
    <cellStyle name="_МБ-2_Приложение_2010-2012 каз_март_Приложение_пост_каз_авг_Анализ_Приложение_рус _2012-2014_29,30 2" xfId="3542" xr:uid="{00000000-0005-0000-0000-0000EA000000}"/>
    <cellStyle name="_МБ-2_Приложение_2010-2012 каз_март_Приложение_пост_каз_авг_Пр 4     11.05.11. ИКС" xfId="110" xr:uid="{00000000-0005-0000-0000-0000EB000000}"/>
    <cellStyle name="_МБ-2_Приложение_2010-2012 каз_март_Приложение_пост_каз_авг_Пр 4     11.05.11. ИКС 2" xfId="3543" xr:uid="{00000000-0005-0000-0000-0000EC000000}"/>
    <cellStyle name="_МБ-2_Приложение_2010-2012 каз_март_Приложение_пост_каз_авг_Пр 4     11.05.11. ИКС_Приложение_рус _2012-2014_29,30" xfId="111" xr:uid="{00000000-0005-0000-0000-0000ED000000}"/>
    <cellStyle name="_МБ-2_Приложение_2010-2012 каз_март_Приложение_пост_каз_авг_Пр 4     11.05.11. ИКС_Приложение_рус _2012-2014_29,30 2" xfId="3544" xr:uid="{00000000-0005-0000-0000-0000EE000000}"/>
    <cellStyle name="_МБ-2_Приложение_2010-2012 каз_март_Приложение_пост_каз_авг_Приложение 4 русс,каз 16.03.11. посл" xfId="112" xr:uid="{00000000-0005-0000-0000-0000EF000000}"/>
    <cellStyle name="_МБ-2_Приложение_2010-2012 каз_март_Приложение_пост_каз_авг_Приложение 4 русс,каз 16.03.11. посл 2" xfId="3545" xr:uid="{00000000-0005-0000-0000-0000F0000000}"/>
    <cellStyle name="_МБ-2_Приложение_2010-2012 каз_март_Приложение_пост_каз_авг_Приложение 4 русс,каз 16.03.11. посл_Приложение_рус _2012-2014_29,30" xfId="113" xr:uid="{00000000-0005-0000-0000-0000F1000000}"/>
    <cellStyle name="_МБ-2_Приложение_2010-2012 каз_март_Приложение_пост_каз_авг_Приложение 4 русс,каз 16.03.11. посл_Приложение_рус _2012-2014_29,30 2" xfId="3546" xr:uid="{00000000-0005-0000-0000-0000F2000000}"/>
    <cellStyle name="_МБ-2_Приложение_2010-2012 каз_март_Приложение_пост_каз_авг_Приложение_реал_рус 2011-2013 Уточнение" xfId="114" xr:uid="{00000000-0005-0000-0000-0000F3000000}"/>
    <cellStyle name="_МБ-2_Приложение_2010-2012 каз_март_Приложение_пост_каз_авг_Приложение_реал_рус 2011-2013 Уточнение 2" xfId="3547" xr:uid="{00000000-0005-0000-0000-0000F4000000}"/>
    <cellStyle name="_МБ-2_Приложение_2010-2012 каз_март_Приложение_пост_каз_авг_Приложение_реал_рус 2011-2013 Уточнение_Приложение_рус _2012-2014_29,30" xfId="115" xr:uid="{00000000-0005-0000-0000-0000F5000000}"/>
    <cellStyle name="_МБ-2_Приложение_2010-2012 каз_март_Приложение_пост_каз_авг_Приложение_реал_рус 2011-2013 Уточнение_Приложение_рус _2012-2014_29,30 2" xfId="3548" xr:uid="{00000000-0005-0000-0000-0000F6000000}"/>
    <cellStyle name="_МБ-2_Приложение_2010-2012 каз_март_Приложение_пост_каз_авг_Приложение_рус _2012-2014_29,30" xfId="116" xr:uid="{00000000-0005-0000-0000-0000F7000000}"/>
    <cellStyle name="_МБ-2_Приложение_2010-2012 каз_март_Приложение_пост_каз_авг_Приложение_рус _2012-2014_29,30 2" xfId="3549" xr:uid="{00000000-0005-0000-0000-0000F8000000}"/>
    <cellStyle name="_МБ-2_Приложение_2010-2012 каз_март_Приложение_пост_каз_авг_приложения 2012 рус" xfId="117" xr:uid="{00000000-0005-0000-0000-0000F9000000}"/>
    <cellStyle name="_МБ-2_Приложение_2010-2012 каз_март_Приложение_пост_каз_авг_приложения 2012 рус 2" xfId="3550" xr:uid="{00000000-0005-0000-0000-0000FA000000}"/>
    <cellStyle name="_МБ-2_Приложение_2010-2012 каз_март_Приложение_пост_рус_авг" xfId="118" xr:uid="{00000000-0005-0000-0000-0000FB000000}"/>
    <cellStyle name="_МБ-2_Приложение_2010-2012 каз_март_Приложение_пост_рус_авг 2" xfId="3551" xr:uid="{00000000-0005-0000-0000-0000FC000000}"/>
    <cellStyle name="_МБ-2_Приложение_2010-2012 каз_март_Приложение_пост_рус_авг_Анализ" xfId="119" xr:uid="{00000000-0005-0000-0000-0000FD000000}"/>
    <cellStyle name="_МБ-2_Приложение_2010-2012 каз_март_Приложение_пост_рус_авг_Анализ 2" xfId="3552" xr:uid="{00000000-0005-0000-0000-0000FE000000}"/>
    <cellStyle name="_МБ-2_Приложение_2010-2012 каз_март_Приложение_пост_рус_авг_Анализ 3.03.2011г." xfId="2699" xr:uid="{00000000-0005-0000-0000-0000FF000000}"/>
    <cellStyle name="_МБ-2_Приложение_2010-2012 каз_март_Приложение_пост_рус_авг_Анализ 6.03.2011г." xfId="2700" xr:uid="{00000000-0005-0000-0000-000000010000}"/>
    <cellStyle name="_МБ-2_Приложение_2010-2012 каз_март_Приложение_пост_рус_авг_Анализ 9.03.2011г." xfId="2701" xr:uid="{00000000-0005-0000-0000-000001010000}"/>
    <cellStyle name="_МБ-2_Приложение_2010-2012 каз_март_Приложение_пост_рус_авг_Анализ_Приложение_рус _2012-2014_29,30" xfId="120" xr:uid="{00000000-0005-0000-0000-000002010000}"/>
    <cellStyle name="_МБ-2_Приложение_2010-2012 каз_март_Приложение_пост_рус_авг_Анализ_Приложение_рус _2012-2014_29,30 2" xfId="3553" xr:uid="{00000000-0005-0000-0000-000003010000}"/>
    <cellStyle name="_МБ-2_Приложение_2010-2012 каз_март_Приложение_пост_рус_авг_Пр 4     11.05.11. ИКС" xfId="121" xr:uid="{00000000-0005-0000-0000-000004010000}"/>
    <cellStyle name="_МБ-2_Приложение_2010-2012 каз_март_Приложение_пост_рус_авг_Пр 4     11.05.11. ИКС 2" xfId="3554" xr:uid="{00000000-0005-0000-0000-000005010000}"/>
    <cellStyle name="_МБ-2_Приложение_2010-2012 каз_март_Приложение_пост_рус_авг_Пр 4     11.05.11. ИКС_Приложение_рус _2012-2014_29,30" xfId="122" xr:uid="{00000000-0005-0000-0000-000006010000}"/>
    <cellStyle name="_МБ-2_Приложение_2010-2012 каз_март_Приложение_пост_рус_авг_Пр 4     11.05.11. ИКС_Приложение_рус _2012-2014_29,30 2" xfId="3555" xr:uid="{00000000-0005-0000-0000-000007010000}"/>
    <cellStyle name="_МБ-2_Приложение_2010-2012 каз_март_Приложение_пост_рус_авг_Приложение 4 русс,каз 16.03.11. посл" xfId="123" xr:uid="{00000000-0005-0000-0000-000008010000}"/>
    <cellStyle name="_МБ-2_Приложение_2010-2012 каз_март_Приложение_пост_рус_авг_Приложение 4 русс,каз 16.03.11. посл 2" xfId="3556" xr:uid="{00000000-0005-0000-0000-000009010000}"/>
    <cellStyle name="_МБ-2_Приложение_2010-2012 каз_март_Приложение_пост_рус_авг_Приложение 4 русс,каз 16.03.11. посл_Приложение_рус _2012-2014_29,30" xfId="124" xr:uid="{00000000-0005-0000-0000-00000A010000}"/>
    <cellStyle name="_МБ-2_Приложение_2010-2012 каз_март_Приложение_пост_рус_авг_Приложение 4 русс,каз 16.03.11. посл_Приложение_рус _2012-2014_29,30 2" xfId="3557" xr:uid="{00000000-0005-0000-0000-00000B010000}"/>
    <cellStyle name="_МБ-2_Приложение_2010-2012 каз_март_Приложение_пост_рус_авг_Приложение_реал_рус 2011-2013 Уточнение" xfId="125" xr:uid="{00000000-0005-0000-0000-00000C010000}"/>
    <cellStyle name="_МБ-2_Приложение_2010-2012 каз_март_Приложение_пост_рус_авг_Приложение_реал_рус 2011-2013 Уточнение 2" xfId="3558" xr:uid="{00000000-0005-0000-0000-00000D010000}"/>
    <cellStyle name="_МБ-2_Приложение_2010-2012 каз_март_Приложение_пост_рус_авг_Приложение_реал_рус 2011-2013 Уточнение_Приложение_рус _2012-2014_29,30" xfId="126" xr:uid="{00000000-0005-0000-0000-00000E010000}"/>
    <cellStyle name="_МБ-2_Приложение_2010-2012 каз_март_Приложение_пост_рус_авг_Приложение_реал_рус 2011-2013 Уточнение_Приложение_рус _2012-2014_29,30 2" xfId="3559" xr:uid="{00000000-0005-0000-0000-00000F010000}"/>
    <cellStyle name="_МБ-2_Приложение_2010-2012 каз_март_Приложение_пост_рус_авг_Приложение_рус _2012-2014_29,30" xfId="127" xr:uid="{00000000-0005-0000-0000-000010010000}"/>
    <cellStyle name="_МБ-2_Приложение_2010-2012 каз_март_Приложение_пост_рус_авг_Приложение_рус _2012-2014_29,30 2" xfId="3560" xr:uid="{00000000-0005-0000-0000-000011010000}"/>
    <cellStyle name="_МБ-2_Приложение_2010-2012 каз_март_Приложение_пост_рус_авг_приложения 2012 рус" xfId="128" xr:uid="{00000000-0005-0000-0000-000012010000}"/>
    <cellStyle name="_МБ-2_Приложение_2010-2012 каз_март_Приложение_пост_рус_авг_приложения 2012 рус 2" xfId="3561" xr:uid="{00000000-0005-0000-0000-000013010000}"/>
    <cellStyle name="_МБ-2_Приложение_2010-2012 каз_март_Приложение_реал_рус 2011-2013 Уточнение" xfId="129" xr:uid="{00000000-0005-0000-0000-000014010000}"/>
    <cellStyle name="_МБ-2_Приложение_2010-2012 каз_март_Приложение_реал_рус 2011-2013 Уточнение 2" xfId="3562" xr:uid="{00000000-0005-0000-0000-000015010000}"/>
    <cellStyle name="_МБ-2_Приложение_2010-2012 каз_март_Приложение_реал_рус 2011-2013 Уточнение_Приложение_рус _2012-2014_29,30" xfId="130" xr:uid="{00000000-0005-0000-0000-000016010000}"/>
    <cellStyle name="_МБ-2_Приложение_2010-2012 каз_март_Приложение_реал_рус 2011-2013 Уточнение_Приложение_рус _2012-2014_29,30 2" xfId="3563" xr:uid="{00000000-0005-0000-0000-000017010000}"/>
    <cellStyle name="_МБ-2_Приложение_2010-2012 каз_март_Приложение_рус _2012-2014_29,30" xfId="131" xr:uid="{00000000-0005-0000-0000-000018010000}"/>
    <cellStyle name="_МБ-2_Приложение_2010-2012 каз_март_Приложение_рус _2012-2014_29,30 2" xfId="3564" xr:uid="{00000000-0005-0000-0000-000019010000}"/>
    <cellStyle name="_МБ-2_Приложение_2010-2012 каз_март_приложения 2012 рус" xfId="132" xr:uid="{00000000-0005-0000-0000-00001A010000}"/>
    <cellStyle name="_МБ-2_Приложение_2010-2012 каз_март_приложения 2012 рус 2" xfId="3565" xr:uid="{00000000-0005-0000-0000-00001B010000}"/>
    <cellStyle name="_МБ-2_Приложение_2010-2012 рус  КОРРЕКТИРОВКА" xfId="133" xr:uid="{00000000-0005-0000-0000-00001C010000}"/>
    <cellStyle name="_МБ-2_Приложение_2010-2012 рус  КОРРЕКТИРОВКА 2" xfId="3566" xr:uid="{00000000-0005-0000-0000-00001D010000}"/>
    <cellStyle name="_МБ-2_Приложение_2010-2012 рус  КОРРЕКТИРОВКА_Анализ" xfId="134" xr:uid="{00000000-0005-0000-0000-00001E010000}"/>
    <cellStyle name="_МБ-2_Приложение_2010-2012 рус  КОРРЕКТИРОВКА_Анализ 2" xfId="3567" xr:uid="{00000000-0005-0000-0000-00001F010000}"/>
    <cellStyle name="_МБ-2_Приложение_2010-2012 рус  КОРРЕКТИРОВКА_Анализ 3.03.2011г." xfId="2702" xr:uid="{00000000-0005-0000-0000-000020010000}"/>
    <cellStyle name="_МБ-2_Приложение_2010-2012 рус  КОРРЕКТИРОВКА_Анализ 6.03.2011г." xfId="2703" xr:uid="{00000000-0005-0000-0000-000021010000}"/>
    <cellStyle name="_МБ-2_Приложение_2010-2012 рус  КОРРЕКТИРОВКА_Анализ 9.03.2011г." xfId="2704" xr:uid="{00000000-0005-0000-0000-000022010000}"/>
    <cellStyle name="_МБ-2_Приложение_2010-2012 рус  КОРРЕКТИРОВКА_Анализ_Приложение_рус _2012-2014_29,30" xfId="135" xr:uid="{00000000-0005-0000-0000-000023010000}"/>
    <cellStyle name="_МБ-2_Приложение_2010-2012 рус  КОРРЕКТИРОВКА_Анализ_Приложение_рус _2012-2014_29,30 2" xfId="3568" xr:uid="{00000000-0005-0000-0000-000024010000}"/>
    <cellStyle name="_МБ-2_Приложение_2010-2012 рус  КОРРЕКТИРОВКА_Пр 4     11.05.11. ИКС" xfId="136" xr:uid="{00000000-0005-0000-0000-000025010000}"/>
    <cellStyle name="_МБ-2_Приложение_2010-2012 рус  КОРРЕКТИРОВКА_Пр 4     11.05.11. ИКС 2" xfId="3569" xr:uid="{00000000-0005-0000-0000-000026010000}"/>
    <cellStyle name="_МБ-2_Приложение_2010-2012 рус  КОРРЕКТИРОВКА_Пр 4     11.05.11. ИКС_Приложение_рус _2012-2014_29,30" xfId="137" xr:uid="{00000000-0005-0000-0000-000027010000}"/>
    <cellStyle name="_МБ-2_Приложение_2010-2012 рус  КОРРЕКТИРОВКА_Пр 4     11.05.11. ИКС_Приложение_рус _2012-2014_29,30 2" xfId="3570" xr:uid="{00000000-0005-0000-0000-000028010000}"/>
    <cellStyle name="_МБ-2_Приложение_2010-2012 рус  КОРРЕКТИРОВКА_Приложение 4 русс,каз 16.03.11. посл" xfId="138" xr:uid="{00000000-0005-0000-0000-000029010000}"/>
    <cellStyle name="_МБ-2_Приложение_2010-2012 рус  КОРРЕКТИРОВКА_Приложение 4 русс,каз 16.03.11. посл 2" xfId="3571" xr:uid="{00000000-0005-0000-0000-00002A010000}"/>
    <cellStyle name="_МБ-2_Приложение_2010-2012 рус  КОРРЕКТИРОВКА_Приложение 4 русс,каз 16.03.11. посл_Приложение_рус _2012-2014_29,30" xfId="139" xr:uid="{00000000-0005-0000-0000-00002B010000}"/>
    <cellStyle name="_МБ-2_Приложение_2010-2012 рус  КОРРЕКТИРОВКА_Приложение 4 русс,каз 16.03.11. посл_Приложение_рус _2012-2014_29,30 2" xfId="3572" xr:uid="{00000000-0005-0000-0000-00002C010000}"/>
    <cellStyle name="_МБ-2_Приложение_2010-2012 рус  КОРРЕКТИРОВКА_Приложение_2010-2012 рус 04.08.10" xfId="140" xr:uid="{00000000-0005-0000-0000-00002D010000}"/>
    <cellStyle name="_МБ-2_Приложение_2010-2012 рус  КОРРЕКТИРОВКА_Приложение_2010-2012 рус 04.08.10 2" xfId="3573" xr:uid="{00000000-0005-0000-0000-00002E010000}"/>
    <cellStyle name="_МБ-2_Приложение_2010-2012 рус  КОРРЕКТИРОВКА_Приложение_2010-2012 рус 04.08.10_Анализ" xfId="141" xr:uid="{00000000-0005-0000-0000-00002F010000}"/>
    <cellStyle name="_МБ-2_Приложение_2010-2012 рус  КОРРЕКТИРОВКА_Приложение_2010-2012 рус 04.08.10_Анализ 2" xfId="3574" xr:uid="{00000000-0005-0000-0000-000030010000}"/>
    <cellStyle name="_МБ-2_Приложение_2010-2012 рус  КОРРЕКТИРОВКА_Приложение_2010-2012 рус 04.08.10_Анализ 3.03.2011г." xfId="2705" xr:uid="{00000000-0005-0000-0000-000031010000}"/>
    <cellStyle name="_МБ-2_Приложение_2010-2012 рус  КОРРЕКТИРОВКА_Приложение_2010-2012 рус 04.08.10_Анализ 6.03.2011г." xfId="2706" xr:uid="{00000000-0005-0000-0000-000032010000}"/>
    <cellStyle name="_МБ-2_Приложение_2010-2012 рус  КОРРЕКТИРОВКА_Приложение_2010-2012 рус 04.08.10_Анализ 9.03.2011г." xfId="2707" xr:uid="{00000000-0005-0000-0000-000033010000}"/>
    <cellStyle name="_МБ-2_Приложение_2010-2012 рус  КОРРЕКТИРОВКА_Приложение_2010-2012 рус 04.08.10_Анализ_Приложение_рус _2012-2014_29,30" xfId="142" xr:uid="{00000000-0005-0000-0000-000034010000}"/>
    <cellStyle name="_МБ-2_Приложение_2010-2012 рус  КОРРЕКТИРОВКА_Приложение_2010-2012 рус 04.08.10_Анализ_Приложение_рус _2012-2014_29,30 2" xfId="3575" xr:uid="{00000000-0005-0000-0000-000035010000}"/>
    <cellStyle name="_МБ-2_Приложение_2010-2012 рус  КОРРЕКТИРОВКА_Приложение_2010-2012 рус 04.08.10_Пр 4     11.05.11. ИКС" xfId="143" xr:uid="{00000000-0005-0000-0000-000036010000}"/>
    <cellStyle name="_МБ-2_Приложение_2010-2012 рус  КОРРЕКТИРОВКА_Приложение_2010-2012 рус 04.08.10_Пр 4     11.05.11. ИКС 2" xfId="3576" xr:uid="{00000000-0005-0000-0000-000037010000}"/>
    <cellStyle name="_МБ-2_Приложение_2010-2012 рус  КОРРЕКТИРОВКА_Приложение_2010-2012 рус 04.08.10_Пр 4     11.05.11. ИКС_Приложение_рус _2012-2014_29,30" xfId="144" xr:uid="{00000000-0005-0000-0000-000038010000}"/>
    <cellStyle name="_МБ-2_Приложение_2010-2012 рус  КОРРЕКТИРОВКА_Приложение_2010-2012 рус 04.08.10_Пр 4     11.05.11. ИКС_Приложение_рус _2012-2014_29,30 2" xfId="3577" xr:uid="{00000000-0005-0000-0000-000039010000}"/>
    <cellStyle name="_МБ-2_Приложение_2010-2012 рус  КОРРЕКТИРОВКА_Приложение_2010-2012 рус 04.08.10_Приложение 4 русс,каз 16.03.11. посл" xfId="145" xr:uid="{00000000-0005-0000-0000-00003A010000}"/>
    <cellStyle name="_МБ-2_Приложение_2010-2012 рус  КОРРЕКТИРОВКА_Приложение_2010-2012 рус 04.08.10_Приложение 4 русс,каз 16.03.11. посл 2" xfId="3578" xr:uid="{00000000-0005-0000-0000-00003B010000}"/>
    <cellStyle name="_МБ-2_Приложение_2010-2012 рус  КОРРЕКТИРОВКА_Приложение_2010-2012 рус 04.08.10_Приложение 4 русс,каз 16.03.11. посл_Приложение_рус _2012-2014_29,30" xfId="146" xr:uid="{00000000-0005-0000-0000-00003C010000}"/>
    <cellStyle name="_МБ-2_Приложение_2010-2012 рус  КОРРЕКТИРОВКА_Приложение_2010-2012 рус 04.08.10_Приложение 4 русс,каз 16.03.11. посл_Приложение_рус _2012-2014_29,30 2" xfId="3579" xr:uid="{00000000-0005-0000-0000-00003D010000}"/>
    <cellStyle name="_МБ-2_Приложение_2010-2012 рус  КОРРЕКТИРОВКА_Приложение_2010-2012 рус 04.08.10_Приложение_реал_рус 2011-2013 Уточнение" xfId="147" xr:uid="{00000000-0005-0000-0000-00003E010000}"/>
    <cellStyle name="_МБ-2_Приложение_2010-2012 рус  КОРРЕКТИРОВКА_Приложение_2010-2012 рус 04.08.10_Приложение_реал_рус 2011-2013 Уточнение 2" xfId="3580" xr:uid="{00000000-0005-0000-0000-00003F010000}"/>
    <cellStyle name="_МБ-2_Приложение_2010-2012 рус  КОРРЕКТИРОВКА_Приложение_2010-2012 рус 04.08.10_Приложение_реал_рус 2011-2013 Уточнение_Приложение_рус _2012-2014_29,30" xfId="148" xr:uid="{00000000-0005-0000-0000-000040010000}"/>
    <cellStyle name="_МБ-2_Приложение_2010-2012 рус  КОРРЕКТИРОВКА_Приложение_2010-2012 рус 04.08.10_Приложение_реал_рус 2011-2013 Уточнение_Приложение_рус _2012-2014_29,30 2" xfId="3581" xr:uid="{00000000-0005-0000-0000-000041010000}"/>
    <cellStyle name="_МБ-2_Приложение_2010-2012 рус  КОРРЕКТИРОВКА_Приложение_2010-2012 рус 04.08.10_Приложение_рус _2012-2014_29,30" xfId="149" xr:uid="{00000000-0005-0000-0000-000042010000}"/>
    <cellStyle name="_МБ-2_Приложение_2010-2012 рус  КОРРЕКТИРОВКА_Приложение_2010-2012 рус 04.08.10_Приложение_рус _2012-2014_29,30 2" xfId="3582" xr:uid="{00000000-0005-0000-0000-000043010000}"/>
    <cellStyle name="_МБ-2_Приложение_2010-2012 рус  КОРРЕКТИРОВКА_Приложение_2010-2012 рус 04.08.10_приложения 2012 рус" xfId="150" xr:uid="{00000000-0005-0000-0000-000044010000}"/>
    <cellStyle name="_МБ-2_Приложение_2010-2012 рус  КОРРЕКТИРОВКА_Приложение_2010-2012 рус 04.08.10_приложения 2012 рус 2" xfId="3583" xr:uid="{00000000-0005-0000-0000-000045010000}"/>
    <cellStyle name="_МБ-2_Приложение_2010-2012 рус  КОРРЕКТИРОВКА_Приложение_пост_рус_авг" xfId="151" xr:uid="{00000000-0005-0000-0000-000046010000}"/>
    <cellStyle name="_МБ-2_Приложение_2010-2012 рус  КОРРЕКТИРОВКА_Приложение_пост_рус_авг 2" xfId="3584" xr:uid="{00000000-0005-0000-0000-000047010000}"/>
    <cellStyle name="_МБ-2_Приложение_2010-2012 рус  КОРРЕКТИРОВКА_Приложение_пост_рус_авг_Анализ" xfId="152" xr:uid="{00000000-0005-0000-0000-000048010000}"/>
    <cellStyle name="_МБ-2_Приложение_2010-2012 рус  КОРРЕКТИРОВКА_Приложение_пост_рус_авг_Анализ 2" xfId="3585" xr:uid="{00000000-0005-0000-0000-000049010000}"/>
    <cellStyle name="_МБ-2_Приложение_2010-2012 рус  КОРРЕКТИРОВКА_Приложение_пост_рус_авг_Анализ 3.03.2011г." xfId="2708" xr:uid="{00000000-0005-0000-0000-00004A010000}"/>
    <cellStyle name="_МБ-2_Приложение_2010-2012 рус  КОРРЕКТИРОВКА_Приложение_пост_рус_авг_Анализ 6.03.2011г." xfId="2709" xr:uid="{00000000-0005-0000-0000-00004B010000}"/>
    <cellStyle name="_МБ-2_Приложение_2010-2012 рус  КОРРЕКТИРОВКА_Приложение_пост_рус_авг_Анализ 9.03.2011г." xfId="2710" xr:uid="{00000000-0005-0000-0000-00004C010000}"/>
    <cellStyle name="_МБ-2_Приложение_2010-2012 рус  КОРРЕКТИРОВКА_Приложение_пост_рус_авг_Анализ_Приложение_рус _2012-2014_29,30" xfId="153" xr:uid="{00000000-0005-0000-0000-00004D010000}"/>
    <cellStyle name="_МБ-2_Приложение_2010-2012 рус  КОРРЕКТИРОВКА_Приложение_пост_рус_авг_Анализ_Приложение_рус _2012-2014_29,30 2" xfId="3586" xr:uid="{00000000-0005-0000-0000-00004E010000}"/>
    <cellStyle name="_МБ-2_Приложение_2010-2012 рус  КОРРЕКТИРОВКА_Приложение_пост_рус_авг_Пр 4     11.05.11. ИКС" xfId="154" xr:uid="{00000000-0005-0000-0000-00004F010000}"/>
    <cellStyle name="_МБ-2_Приложение_2010-2012 рус  КОРРЕКТИРОВКА_Приложение_пост_рус_авг_Пр 4     11.05.11. ИКС 2" xfId="3587" xr:uid="{00000000-0005-0000-0000-000050010000}"/>
    <cellStyle name="_МБ-2_Приложение_2010-2012 рус  КОРРЕКТИРОВКА_Приложение_пост_рус_авг_Пр 4     11.05.11. ИКС_Приложение_рус _2012-2014_29,30" xfId="155" xr:uid="{00000000-0005-0000-0000-000051010000}"/>
    <cellStyle name="_МБ-2_Приложение_2010-2012 рус  КОРРЕКТИРОВКА_Приложение_пост_рус_авг_Пр 4     11.05.11. ИКС_Приложение_рус _2012-2014_29,30 2" xfId="3588" xr:uid="{00000000-0005-0000-0000-000052010000}"/>
    <cellStyle name="_МБ-2_Приложение_2010-2012 рус  КОРРЕКТИРОВКА_Приложение_пост_рус_авг_Приложение 4 русс,каз 16.03.11. посл" xfId="156" xr:uid="{00000000-0005-0000-0000-000053010000}"/>
    <cellStyle name="_МБ-2_Приложение_2010-2012 рус  КОРРЕКТИРОВКА_Приложение_пост_рус_авг_Приложение 4 русс,каз 16.03.11. посл 2" xfId="3589" xr:uid="{00000000-0005-0000-0000-000054010000}"/>
    <cellStyle name="_МБ-2_Приложение_2010-2012 рус  КОРРЕКТИРОВКА_Приложение_пост_рус_авг_Приложение 4 русс,каз 16.03.11. посл_Приложение_рус _2012-2014_29,30" xfId="157" xr:uid="{00000000-0005-0000-0000-000055010000}"/>
    <cellStyle name="_МБ-2_Приложение_2010-2012 рус  КОРРЕКТИРОВКА_Приложение_пост_рус_авг_Приложение 4 русс,каз 16.03.11. посл_Приложение_рус _2012-2014_29,30 2" xfId="3590" xr:uid="{00000000-0005-0000-0000-000056010000}"/>
    <cellStyle name="_МБ-2_Приложение_2010-2012 рус  КОРРЕКТИРОВКА_Приложение_пост_рус_авг_Приложение_реал_рус 2011-2013 Уточнение" xfId="158" xr:uid="{00000000-0005-0000-0000-000057010000}"/>
    <cellStyle name="_МБ-2_Приложение_2010-2012 рус  КОРРЕКТИРОВКА_Приложение_пост_рус_авг_Приложение_реал_рус 2011-2013 Уточнение 2" xfId="3591" xr:uid="{00000000-0005-0000-0000-000058010000}"/>
    <cellStyle name="_МБ-2_Приложение_2010-2012 рус  КОРРЕКТИРОВКА_Приложение_пост_рус_авг_Приложение_реал_рус 2011-2013 Уточнение_Приложение_рус _2012-2014_29,30" xfId="159" xr:uid="{00000000-0005-0000-0000-000059010000}"/>
    <cellStyle name="_МБ-2_Приложение_2010-2012 рус  КОРРЕКТИРОВКА_Приложение_пост_рус_авг_Приложение_реал_рус 2011-2013 Уточнение_Приложение_рус _2012-2014_29,30 2" xfId="3592" xr:uid="{00000000-0005-0000-0000-00005A010000}"/>
    <cellStyle name="_МБ-2_Приложение_2010-2012 рус  КОРРЕКТИРОВКА_Приложение_пост_рус_авг_Приложение_рус _2012-2014_29,30" xfId="160" xr:uid="{00000000-0005-0000-0000-00005B010000}"/>
    <cellStyle name="_МБ-2_Приложение_2010-2012 рус  КОРРЕКТИРОВКА_Приложение_пост_рус_авг_Приложение_рус _2012-2014_29,30 2" xfId="3593" xr:uid="{00000000-0005-0000-0000-00005C010000}"/>
    <cellStyle name="_МБ-2_Приложение_2010-2012 рус  КОРРЕКТИРОВКА_Приложение_пост_рус_авг_приложения 2012 рус" xfId="161" xr:uid="{00000000-0005-0000-0000-00005D010000}"/>
    <cellStyle name="_МБ-2_Приложение_2010-2012 рус  КОРРЕКТИРОВКА_Приложение_пост_рус_авг_приложения 2012 рус 2" xfId="3594" xr:uid="{00000000-0005-0000-0000-00005E010000}"/>
    <cellStyle name="_МБ-2_Приложение_2010-2012 рус  КОРРЕКТИРОВКА_Приложение_реал_рус 2011-2013 Уточнение" xfId="162" xr:uid="{00000000-0005-0000-0000-00005F010000}"/>
    <cellStyle name="_МБ-2_Приложение_2010-2012 рус  КОРРЕКТИРОВКА_Приложение_реал_рус 2011-2013 Уточнение 2" xfId="3595" xr:uid="{00000000-0005-0000-0000-000060010000}"/>
    <cellStyle name="_МБ-2_Приложение_2010-2012 рус  КОРРЕКТИРОВКА_Приложение_реал_рус 2011-2013 Уточнение_Приложение_рус _2012-2014_29,30" xfId="163" xr:uid="{00000000-0005-0000-0000-000061010000}"/>
    <cellStyle name="_МБ-2_Приложение_2010-2012 рус  КОРРЕКТИРОВКА_Приложение_реал_рус 2011-2013 Уточнение_Приложение_рус _2012-2014_29,30 2" xfId="3596" xr:uid="{00000000-0005-0000-0000-000062010000}"/>
    <cellStyle name="_МБ-2_Приложение_2010-2012 рус  КОРРЕКТИРОВКА_Приложение_рус _2012-2014_29,30" xfId="164" xr:uid="{00000000-0005-0000-0000-000063010000}"/>
    <cellStyle name="_МБ-2_Приложение_2010-2012 рус  КОРРЕКТИРОВКА_Приложение_рус _2012-2014_29,30 2" xfId="3597" xr:uid="{00000000-0005-0000-0000-000064010000}"/>
    <cellStyle name="_МБ-2_Приложение_2010-2012 рус  КОРРЕКТИРОВКА_приложения 2012 рус" xfId="165" xr:uid="{00000000-0005-0000-0000-000065010000}"/>
    <cellStyle name="_МБ-2_Приложение_2010-2012 рус  КОРРЕКТИРОВКА_приложения 2012 рус 2" xfId="3598" xr:uid="{00000000-0005-0000-0000-000066010000}"/>
    <cellStyle name="_МБ-2_Приложение_2010-2012 рус 04.08.10" xfId="166" xr:uid="{00000000-0005-0000-0000-000067010000}"/>
    <cellStyle name="_МБ-2_Приложение_2010-2012 рус 04.08.10 2" xfId="3599" xr:uid="{00000000-0005-0000-0000-000068010000}"/>
    <cellStyle name="_МБ-2_Приложение_2010-2012 рус 04.08.10_Анализ" xfId="167" xr:uid="{00000000-0005-0000-0000-000069010000}"/>
    <cellStyle name="_МБ-2_Приложение_2010-2012 рус 04.08.10_Анализ 2" xfId="3600" xr:uid="{00000000-0005-0000-0000-00006A010000}"/>
    <cellStyle name="_МБ-2_Приложение_2010-2012 рус 04.08.10_Анализ 3.03.2011г." xfId="2711" xr:uid="{00000000-0005-0000-0000-00006B010000}"/>
    <cellStyle name="_МБ-2_Приложение_2010-2012 рус 04.08.10_Анализ 6.03.2011г." xfId="2712" xr:uid="{00000000-0005-0000-0000-00006C010000}"/>
    <cellStyle name="_МБ-2_Приложение_2010-2012 рус 04.08.10_Анализ 9.03.2011г." xfId="2713" xr:uid="{00000000-0005-0000-0000-00006D010000}"/>
    <cellStyle name="_МБ-2_Приложение_2010-2012 рус 04.08.10_Анализ_Приложение_рус _2012-2014_29,30" xfId="168" xr:uid="{00000000-0005-0000-0000-00006E010000}"/>
    <cellStyle name="_МБ-2_Приложение_2010-2012 рус 04.08.10_Анализ_Приложение_рус _2012-2014_29,30 2" xfId="3601" xr:uid="{00000000-0005-0000-0000-00006F010000}"/>
    <cellStyle name="_МБ-2_Приложение_2010-2012 рус 04.08.10_Пр 4     11.05.11. ИКС" xfId="169" xr:uid="{00000000-0005-0000-0000-000070010000}"/>
    <cellStyle name="_МБ-2_Приложение_2010-2012 рус 04.08.10_Пр 4     11.05.11. ИКС 2" xfId="3602" xr:uid="{00000000-0005-0000-0000-000071010000}"/>
    <cellStyle name="_МБ-2_Приложение_2010-2012 рус 04.08.10_Пр 4     11.05.11. ИКС_Приложение_рус _2012-2014_29,30" xfId="170" xr:uid="{00000000-0005-0000-0000-000072010000}"/>
    <cellStyle name="_МБ-2_Приложение_2010-2012 рус 04.08.10_Пр 4     11.05.11. ИКС_Приложение_рус _2012-2014_29,30 2" xfId="3603" xr:uid="{00000000-0005-0000-0000-000073010000}"/>
    <cellStyle name="_МБ-2_Приложение_2010-2012 рус 04.08.10_Приложение 4 русс,каз 16.03.11. посл" xfId="171" xr:uid="{00000000-0005-0000-0000-000074010000}"/>
    <cellStyle name="_МБ-2_Приложение_2010-2012 рус 04.08.10_Приложение 4 русс,каз 16.03.11. посл 2" xfId="3604" xr:uid="{00000000-0005-0000-0000-000075010000}"/>
    <cellStyle name="_МБ-2_Приложение_2010-2012 рус 04.08.10_Приложение 4 русс,каз 16.03.11. посл_Приложение_рус _2012-2014_29,30" xfId="172" xr:uid="{00000000-0005-0000-0000-000076010000}"/>
    <cellStyle name="_МБ-2_Приложение_2010-2012 рус 04.08.10_Приложение 4 русс,каз 16.03.11. посл_Приложение_рус _2012-2014_29,30 2" xfId="3605" xr:uid="{00000000-0005-0000-0000-000077010000}"/>
    <cellStyle name="_МБ-2_Приложение_2010-2012 рус 04.08.10_Приложение_реал_рус 2011-2013 Уточнение" xfId="173" xr:uid="{00000000-0005-0000-0000-000078010000}"/>
    <cellStyle name="_МБ-2_Приложение_2010-2012 рус 04.08.10_Приложение_реал_рус 2011-2013 Уточнение 2" xfId="3606" xr:uid="{00000000-0005-0000-0000-000079010000}"/>
    <cellStyle name="_МБ-2_Приложение_2010-2012 рус 04.08.10_Приложение_реал_рус 2011-2013 Уточнение_Приложение_рус _2012-2014_29,30" xfId="174" xr:uid="{00000000-0005-0000-0000-00007A010000}"/>
    <cellStyle name="_МБ-2_Приложение_2010-2012 рус 04.08.10_Приложение_реал_рус 2011-2013 Уточнение_Приложение_рус _2012-2014_29,30 2" xfId="3607" xr:uid="{00000000-0005-0000-0000-00007B010000}"/>
    <cellStyle name="_МБ-2_Приложение_2010-2012 рус 04.08.10_Приложение_рус _2012-2014_29,30" xfId="175" xr:uid="{00000000-0005-0000-0000-00007C010000}"/>
    <cellStyle name="_МБ-2_Приложение_2010-2012 рус 04.08.10_Приложение_рус _2012-2014_29,30 2" xfId="3608" xr:uid="{00000000-0005-0000-0000-00007D010000}"/>
    <cellStyle name="_МБ-2_Приложение_2010-2012 рус 04.08.10_приложения 2012 рус" xfId="176" xr:uid="{00000000-0005-0000-0000-00007E010000}"/>
    <cellStyle name="_МБ-2_Приложение_2010-2012 рус 04.08.10_приложения 2012 рус 2" xfId="3609" xr:uid="{00000000-0005-0000-0000-00007F010000}"/>
    <cellStyle name="_МБ-2_Приложение_2010-2012 рус март" xfId="177" xr:uid="{00000000-0005-0000-0000-000080010000}"/>
    <cellStyle name="_МБ-2_Приложение_2010-2012 рус март 2" xfId="3610" xr:uid="{00000000-0005-0000-0000-000081010000}"/>
    <cellStyle name="_МБ-2_Приложение_2010-2012 рус март_Анализ" xfId="178" xr:uid="{00000000-0005-0000-0000-000082010000}"/>
    <cellStyle name="_МБ-2_Приложение_2010-2012 рус март_Анализ 2" xfId="3611" xr:uid="{00000000-0005-0000-0000-000083010000}"/>
    <cellStyle name="_МБ-2_Приложение_2010-2012 рус март_Анализ 3.03.2011г." xfId="2714" xr:uid="{00000000-0005-0000-0000-000084010000}"/>
    <cellStyle name="_МБ-2_Приложение_2010-2012 рус март_Анализ 6.03.2011г." xfId="2715" xr:uid="{00000000-0005-0000-0000-000085010000}"/>
    <cellStyle name="_МБ-2_Приложение_2010-2012 рус март_Анализ 9.03.2011г." xfId="2716" xr:uid="{00000000-0005-0000-0000-000086010000}"/>
    <cellStyle name="_МБ-2_Приложение_2010-2012 рус март_Анализ_Приложение_рус _2012-2014_29,30" xfId="179" xr:uid="{00000000-0005-0000-0000-000087010000}"/>
    <cellStyle name="_МБ-2_Приложение_2010-2012 рус март_Анализ_Приложение_рус _2012-2014_29,30 2" xfId="3612" xr:uid="{00000000-0005-0000-0000-000088010000}"/>
    <cellStyle name="_МБ-2_Приложение_2010-2012 рус март_Пр 4     11.05.11. ИКС" xfId="180" xr:uid="{00000000-0005-0000-0000-000089010000}"/>
    <cellStyle name="_МБ-2_Приложение_2010-2012 рус март_Пр 4     11.05.11. ИКС 2" xfId="3613" xr:uid="{00000000-0005-0000-0000-00008A010000}"/>
    <cellStyle name="_МБ-2_Приложение_2010-2012 рус март_Пр 4     11.05.11. ИКС_Приложение_рус _2012-2014_29,30" xfId="181" xr:uid="{00000000-0005-0000-0000-00008B010000}"/>
    <cellStyle name="_МБ-2_Приложение_2010-2012 рус март_Пр 4     11.05.11. ИКС_Приложение_рус _2012-2014_29,30 2" xfId="3614" xr:uid="{00000000-0005-0000-0000-00008C010000}"/>
    <cellStyle name="_МБ-2_Приложение_2010-2012 рус март_Приложение 4 русс,каз 16.03.11. посл" xfId="182" xr:uid="{00000000-0005-0000-0000-00008D010000}"/>
    <cellStyle name="_МБ-2_Приложение_2010-2012 рус март_Приложение 4 русс,каз 16.03.11. посл 2" xfId="3615" xr:uid="{00000000-0005-0000-0000-00008E010000}"/>
    <cellStyle name="_МБ-2_Приложение_2010-2012 рус март_Приложение 4 русс,каз 16.03.11. посл_Приложение_рус _2012-2014_29,30" xfId="183" xr:uid="{00000000-0005-0000-0000-00008F010000}"/>
    <cellStyle name="_МБ-2_Приложение_2010-2012 рус март_Приложение 4 русс,каз 16.03.11. посл_Приложение_рус _2012-2014_29,30 2" xfId="3616" xr:uid="{00000000-0005-0000-0000-000090010000}"/>
    <cellStyle name="_МБ-2_Приложение_2010-2012 рус март_Приложение_2010-2012 рус 04.08.10" xfId="184" xr:uid="{00000000-0005-0000-0000-000091010000}"/>
    <cellStyle name="_МБ-2_Приложение_2010-2012 рус март_Приложение_2010-2012 рус 04.08.10 2" xfId="3617" xr:uid="{00000000-0005-0000-0000-000092010000}"/>
    <cellStyle name="_МБ-2_Приложение_2010-2012 рус март_Приложение_2010-2012 рус 04.08.10_Анализ" xfId="185" xr:uid="{00000000-0005-0000-0000-000093010000}"/>
    <cellStyle name="_МБ-2_Приложение_2010-2012 рус март_Приложение_2010-2012 рус 04.08.10_Анализ 2" xfId="3618" xr:uid="{00000000-0005-0000-0000-000094010000}"/>
    <cellStyle name="_МБ-2_Приложение_2010-2012 рус март_Приложение_2010-2012 рус 04.08.10_Анализ 3.03.2011г." xfId="2717" xr:uid="{00000000-0005-0000-0000-000095010000}"/>
    <cellStyle name="_МБ-2_Приложение_2010-2012 рус март_Приложение_2010-2012 рус 04.08.10_Анализ 6.03.2011г." xfId="2718" xr:uid="{00000000-0005-0000-0000-000096010000}"/>
    <cellStyle name="_МБ-2_Приложение_2010-2012 рус март_Приложение_2010-2012 рус 04.08.10_Анализ 9.03.2011г." xfId="2719" xr:uid="{00000000-0005-0000-0000-000097010000}"/>
    <cellStyle name="_МБ-2_Приложение_2010-2012 рус март_Приложение_2010-2012 рус 04.08.10_Анализ_Приложение_рус _2012-2014_29,30" xfId="186" xr:uid="{00000000-0005-0000-0000-000098010000}"/>
    <cellStyle name="_МБ-2_Приложение_2010-2012 рус март_Приложение_2010-2012 рус 04.08.10_Анализ_Приложение_рус _2012-2014_29,30 2" xfId="3619" xr:uid="{00000000-0005-0000-0000-000099010000}"/>
    <cellStyle name="_МБ-2_Приложение_2010-2012 рус март_Приложение_2010-2012 рус 04.08.10_Пр 4     11.05.11. ИКС" xfId="187" xr:uid="{00000000-0005-0000-0000-00009A010000}"/>
    <cellStyle name="_МБ-2_Приложение_2010-2012 рус март_Приложение_2010-2012 рус 04.08.10_Пр 4     11.05.11. ИКС 2" xfId="3620" xr:uid="{00000000-0005-0000-0000-00009B010000}"/>
    <cellStyle name="_МБ-2_Приложение_2010-2012 рус март_Приложение_2010-2012 рус 04.08.10_Пр 4     11.05.11. ИКС_Приложение_рус _2012-2014_29,30" xfId="188" xr:uid="{00000000-0005-0000-0000-00009C010000}"/>
    <cellStyle name="_МБ-2_Приложение_2010-2012 рус март_Приложение_2010-2012 рус 04.08.10_Пр 4     11.05.11. ИКС_Приложение_рус _2012-2014_29,30 2" xfId="3621" xr:uid="{00000000-0005-0000-0000-00009D010000}"/>
    <cellStyle name="_МБ-2_Приложение_2010-2012 рус март_Приложение_2010-2012 рус 04.08.10_Приложение 4 русс,каз 16.03.11. посл" xfId="189" xr:uid="{00000000-0005-0000-0000-00009E010000}"/>
    <cellStyle name="_МБ-2_Приложение_2010-2012 рус март_Приложение_2010-2012 рус 04.08.10_Приложение 4 русс,каз 16.03.11. посл 2" xfId="3622" xr:uid="{00000000-0005-0000-0000-00009F010000}"/>
    <cellStyle name="_МБ-2_Приложение_2010-2012 рус март_Приложение_2010-2012 рус 04.08.10_Приложение 4 русс,каз 16.03.11. посл_Приложение_рус _2012-2014_29,30" xfId="190" xr:uid="{00000000-0005-0000-0000-0000A0010000}"/>
    <cellStyle name="_МБ-2_Приложение_2010-2012 рус март_Приложение_2010-2012 рус 04.08.10_Приложение 4 русс,каз 16.03.11. посл_Приложение_рус _2012-2014_29,30 2" xfId="3623" xr:uid="{00000000-0005-0000-0000-0000A1010000}"/>
    <cellStyle name="_МБ-2_Приложение_2010-2012 рус март_Приложение_2010-2012 рус 04.08.10_Приложение_реал_рус 2011-2013 Уточнение" xfId="191" xr:uid="{00000000-0005-0000-0000-0000A2010000}"/>
    <cellStyle name="_МБ-2_Приложение_2010-2012 рус март_Приложение_2010-2012 рус 04.08.10_Приложение_реал_рус 2011-2013 Уточнение 2" xfId="3624" xr:uid="{00000000-0005-0000-0000-0000A3010000}"/>
    <cellStyle name="_МБ-2_Приложение_2010-2012 рус март_Приложение_2010-2012 рус 04.08.10_Приложение_реал_рус 2011-2013 Уточнение_Приложение_рус _2012-2014_29,30" xfId="192" xr:uid="{00000000-0005-0000-0000-0000A4010000}"/>
    <cellStyle name="_МБ-2_Приложение_2010-2012 рус март_Приложение_2010-2012 рус 04.08.10_Приложение_реал_рус 2011-2013 Уточнение_Приложение_рус _2012-2014_29,30 2" xfId="3625" xr:uid="{00000000-0005-0000-0000-0000A5010000}"/>
    <cellStyle name="_МБ-2_Приложение_2010-2012 рус март_Приложение_2010-2012 рус 04.08.10_Приложение_рус _2012-2014_29,30" xfId="193" xr:uid="{00000000-0005-0000-0000-0000A6010000}"/>
    <cellStyle name="_МБ-2_Приложение_2010-2012 рус март_Приложение_2010-2012 рус 04.08.10_Приложение_рус _2012-2014_29,30 2" xfId="3626" xr:uid="{00000000-0005-0000-0000-0000A7010000}"/>
    <cellStyle name="_МБ-2_Приложение_2010-2012 рус март_Приложение_2010-2012 рус 04.08.10_приложения 2012 рус" xfId="194" xr:uid="{00000000-0005-0000-0000-0000A8010000}"/>
    <cellStyle name="_МБ-2_Приложение_2010-2012 рус март_Приложение_2010-2012 рус 04.08.10_приложения 2012 рус 2" xfId="3627" xr:uid="{00000000-0005-0000-0000-0000A9010000}"/>
    <cellStyle name="_МБ-2_Приложение_2010-2012 рус март_Приложение_пост_рус_авг" xfId="195" xr:uid="{00000000-0005-0000-0000-0000AA010000}"/>
    <cellStyle name="_МБ-2_Приложение_2010-2012 рус март_Приложение_пост_рус_авг 2" xfId="3628" xr:uid="{00000000-0005-0000-0000-0000AB010000}"/>
    <cellStyle name="_МБ-2_Приложение_2010-2012 рус март_Приложение_пост_рус_авг_Анализ" xfId="196" xr:uid="{00000000-0005-0000-0000-0000AC010000}"/>
    <cellStyle name="_МБ-2_Приложение_2010-2012 рус март_Приложение_пост_рус_авг_Анализ 2" xfId="3629" xr:uid="{00000000-0005-0000-0000-0000AD010000}"/>
    <cellStyle name="_МБ-2_Приложение_2010-2012 рус март_Приложение_пост_рус_авг_Анализ 3.03.2011г." xfId="2720" xr:uid="{00000000-0005-0000-0000-0000AE010000}"/>
    <cellStyle name="_МБ-2_Приложение_2010-2012 рус март_Приложение_пост_рус_авг_Анализ 6.03.2011г." xfId="2721" xr:uid="{00000000-0005-0000-0000-0000AF010000}"/>
    <cellStyle name="_МБ-2_Приложение_2010-2012 рус март_Приложение_пост_рус_авг_Анализ 9.03.2011г." xfId="2722" xr:uid="{00000000-0005-0000-0000-0000B0010000}"/>
    <cellStyle name="_МБ-2_Приложение_2010-2012 рус март_Приложение_пост_рус_авг_Анализ_Приложение_рус _2012-2014_29,30" xfId="197" xr:uid="{00000000-0005-0000-0000-0000B1010000}"/>
    <cellStyle name="_МБ-2_Приложение_2010-2012 рус март_Приложение_пост_рус_авг_Анализ_Приложение_рус _2012-2014_29,30 2" xfId="3630" xr:uid="{00000000-0005-0000-0000-0000B2010000}"/>
    <cellStyle name="_МБ-2_Приложение_2010-2012 рус март_Приложение_пост_рус_авг_Пр 4     11.05.11. ИКС" xfId="198" xr:uid="{00000000-0005-0000-0000-0000B3010000}"/>
    <cellStyle name="_МБ-2_Приложение_2010-2012 рус март_Приложение_пост_рус_авг_Пр 4     11.05.11. ИКС 2" xfId="3631" xr:uid="{00000000-0005-0000-0000-0000B4010000}"/>
    <cellStyle name="_МБ-2_Приложение_2010-2012 рус март_Приложение_пост_рус_авг_Пр 4     11.05.11. ИКС_Приложение_рус _2012-2014_29,30" xfId="199" xr:uid="{00000000-0005-0000-0000-0000B5010000}"/>
    <cellStyle name="_МБ-2_Приложение_2010-2012 рус март_Приложение_пост_рус_авг_Пр 4     11.05.11. ИКС_Приложение_рус _2012-2014_29,30 2" xfId="3632" xr:uid="{00000000-0005-0000-0000-0000B6010000}"/>
    <cellStyle name="_МБ-2_Приложение_2010-2012 рус март_Приложение_пост_рус_авг_Приложение 4 русс,каз 16.03.11. посл" xfId="200" xr:uid="{00000000-0005-0000-0000-0000B7010000}"/>
    <cellStyle name="_МБ-2_Приложение_2010-2012 рус март_Приложение_пост_рус_авг_Приложение 4 русс,каз 16.03.11. посл 2" xfId="3633" xr:uid="{00000000-0005-0000-0000-0000B8010000}"/>
    <cellStyle name="_МБ-2_Приложение_2010-2012 рус март_Приложение_пост_рус_авг_Приложение 4 русс,каз 16.03.11. посл_Приложение_рус _2012-2014_29,30" xfId="201" xr:uid="{00000000-0005-0000-0000-0000B9010000}"/>
    <cellStyle name="_МБ-2_Приложение_2010-2012 рус март_Приложение_пост_рус_авг_Приложение 4 русс,каз 16.03.11. посл_Приложение_рус _2012-2014_29,30 2" xfId="3634" xr:uid="{00000000-0005-0000-0000-0000BA010000}"/>
    <cellStyle name="_МБ-2_Приложение_2010-2012 рус март_Приложение_пост_рус_авг_Приложение_реал_рус 2011-2013 Уточнение" xfId="202" xr:uid="{00000000-0005-0000-0000-0000BB010000}"/>
    <cellStyle name="_МБ-2_Приложение_2010-2012 рус март_Приложение_пост_рус_авг_Приложение_реал_рус 2011-2013 Уточнение 2" xfId="3635" xr:uid="{00000000-0005-0000-0000-0000BC010000}"/>
    <cellStyle name="_МБ-2_Приложение_2010-2012 рус март_Приложение_пост_рус_авг_Приложение_реал_рус 2011-2013 Уточнение_Приложение_рус _2012-2014_29,30" xfId="203" xr:uid="{00000000-0005-0000-0000-0000BD010000}"/>
    <cellStyle name="_МБ-2_Приложение_2010-2012 рус март_Приложение_пост_рус_авг_Приложение_реал_рус 2011-2013 Уточнение_Приложение_рус _2012-2014_29,30 2" xfId="3636" xr:uid="{00000000-0005-0000-0000-0000BE010000}"/>
    <cellStyle name="_МБ-2_Приложение_2010-2012 рус март_Приложение_пост_рус_авг_Приложение_рус _2012-2014_29,30" xfId="204" xr:uid="{00000000-0005-0000-0000-0000BF010000}"/>
    <cellStyle name="_МБ-2_Приложение_2010-2012 рус март_Приложение_пост_рус_авг_Приложение_рус _2012-2014_29,30 2" xfId="3637" xr:uid="{00000000-0005-0000-0000-0000C0010000}"/>
    <cellStyle name="_МБ-2_Приложение_2010-2012 рус март_Приложение_пост_рус_авг_приложения 2012 рус" xfId="205" xr:uid="{00000000-0005-0000-0000-0000C1010000}"/>
    <cellStyle name="_МБ-2_Приложение_2010-2012 рус март_Приложение_пост_рус_авг_приложения 2012 рус 2" xfId="3638" xr:uid="{00000000-0005-0000-0000-0000C2010000}"/>
    <cellStyle name="_МБ-2_Приложение_2010-2012 рус март_Приложение_реал_рус 2011-2013 Уточнение" xfId="206" xr:uid="{00000000-0005-0000-0000-0000C3010000}"/>
    <cellStyle name="_МБ-2_Приложение_2010-2012 рус март_Приложение_реал_рус 2011-2013 Уточнение 2" xfId="3639" xr:uid="{00000000-0005-0000-0000-0000C4010000}"/>
    <cellStyle name="_МБ-2_Приложение_2010-2012 рус март_Приложение_реал_рус 2011-2013 Уточнение_Приложение_рус _2012-2014_29,30" xfId="207" xr:uid="{00000000-0005-0000-0000-0000C5010000}"/>
    <cellStyle name="_МБ-2_Приложение_2010-2012 рус март_Приложение_реал_рус 2011-2013 Уточнение_Приложение_рус _2012-2014_29,30 2" xfId="3640" xr:uid="{00000000-0005-0000-0000-0000C6010000}"/>
    <cellStyle name="_МБ-2_Приложение_2010-2012 рус март_Приложение_рус _2012-2014_29,30" xfId="208" xr:uid="{00000000-0005-0000-0000-0000C7010000}"/>
    <cellStyle name="_МБ-2_Приложение_2010-2012 рус март_Приложение_рус _2012-2014_29,30 2" xfId="3641" xr:uid="{00000000-0005-0000-0000-0000C8010000}"/>
    <cellStyle name="_МБ-2_Приложение_2010-2012 рус март_приложения 2012 рус" xfId="209" xr:uid="{00000000-0005-0000-0000-0000C9010000}"/>
    <cellStyle name="_МБ-2_Приложение_2010-2012 рус март_приложения 2012 рус 2" xfId="3642" xr:uid="{00000000-0005-0000-0000-0000CA010000}"/>
    <cellStyle name="_МБ-2_Приложение_пост_каз_авг" xfId="210" xr:uid="{00000000-0005-0000-0000-0000CB010000}"/>
    <cellStyle name="_МБ-2_Приложение_пост_каз_авг 2" xfId="3643" xr:uid="{00000000-0005-0000-0000-0000CC010000}"/>
    <cellStyle name="_МБ-2_Приложение_пост_каз_авг_Анализ" xfId="211" xr:uid="{00000000-0005-0000-0000-0000CD010000}"/>
    <cellStyle name="_МБ-2_Приложение_пост_каз_авг_Анализ 2" xfId="3644" xr:uid="{00000000-0005-0000-0000-0000CE010000}"/>
    <cellStyle name="_МБ-2_Приложение_пост_каз_авг_Анализ 3.03.2011г." xfId="2723" xr:uid="{00000000-0005-0000-0000-0000CF010000}"/>
    <cellStyle name="_МБ-2_Приложение_пост_каз_авг_Анализ 6.03.2011г." xfId="2724" xr:uid="{00000000-0005-0000-0000-0000D0010000}"/>
    <cellStyle name="_МБ-2_Приложение_пост_каз_авг_Анализ 9.03.2011г." xfId="2725" xr:uid="{00000000-0005-0000-0000-0000D1010000}"/>
    <cellStyle name="_МБ-2_Приложение_пост_каз_авг_Анализ_Приложение_рус _2012-2014_29,30" xfId="212" xr:uid="{00000000-0005-0000-0000-0000D2010000}"/>
    <cellStyle name="_МБ-2_Приложение_пост_каз_авг_Анализ_Приложение_рус _2012-2014_29,30 2" xfId="3645" xr:uid="{00000000-0005-0000-0000-0000D3010000}"/>
    <cellStyle name="_МБ-2_Приложение_пост_каз_авг_Пр 4     11.05.11. ИКС" xfId="213" xr:uid="{00000000-0005-0000-0000-0000D4010000}"/>
    <cellStyle name="_МБ-2_Приложение_пост_каз_авг_Пр 4     11.05.11. ИКС 2" xfId="3646" xr:uid="{00000000-0005-0000-0000-0000D5010000}"/>
    <cellStyle name="_МБ-2_Приложение_пост_каз_авг_Пр 4     11.05.11. ИКС_Приложение_рус _2012-2014_29,30" xfId="214" xr:uid="{00000000-0005-0000-0000-0000D6010000}"/>
    <cellStyle name="_МБ-2_Приложение_пост_каз_авг_Пр 4     11.05.11. ИКС_Приложение_рус _2012-2014_29,30 2" xfId="3647" xr:uid="{00000000-0005-0000-0000-0000D7010000}"/>
    <cellStyle name="_МБ-2_Приложение_пост_каз_авг_Приложение 4 русс,каз 16.03.11. посл" xfId="215" xr:uid="{00000000-0005-0000-0000-0000D8010000}"/>
    <cellStyle name="_МБ-2_Приложение_пост_каз_авг_Приложение 4 русс,каз 16.03.11. посл 2" xfId="3648" xr:uid="{00000000-0005-0000-0000-0000D9010000}"/>
    <cellStyle name="_МБ-2_Приложение_пост_каз_авг_Приложение 4 русс,каз 16.03.11. посл_Приложение_рус _2012-2014_29,30" xfId="216" xr:uid="{00000000-0005-0000-0000-0000DA010000}"/>
    <cellStyle name="_МБ-2_Приложение_пост_каз_авг_Приложение 4 русс,каз 16.03.11. посл_Приложение_рус _2012-2014_29,30 2" xfId="3649" xr:uid="{00000000-0005-0000-0000-0000DB010000}"/>
    <cellStyle name="_МБ-2_Приложение_пост_каз_авг_Приложение_реал_рус 2011-2013 Уточнение" xfId="217" xr:uid="{00000000-0005-0000-0000-0000DC010000}"/>
    <cellStyle name="_МБ-2_Приложение_пост_каз_авг_Приложение_реал_рус 2011-2013 Уточнение 2" xfId="3650" xr:uid="{00000000-0005-0000-0000-0000DD010000}"/>
    <cellStyle name="_МБ-2_Приложение_пост_каз_авг_Приложение_реал_рус 2011-2013 Уточнение_Приложение_рус _2012-2014_29,30" xfId="218" xr:uid="{00000000-0005-0000-0000-0000DE010000}"/>
    <cellStyle name="_МБ-2_Приложение_пост_каз_авг_Приложение_реал_рус 2011-2013 Уточнение_Приложение_рус _2012-2014_29,30 2" xfId="3651" xr:uid="{00000000-0005-0000-0000-0000DF010000}"/>
    <cellStyle name="_МБ-2_Приложение_пост_каз_авг_Приложение_рус _2012-2014_29,30" xfId="219" xr:uid="{00000000-0005-0000-0000-0000E0010000}"/>
    <cellStyle name="_МБ-2_Приложение_пост_каз_авг_Приложение_рус _2012-2014_29,30 2" xfId="3652" xr:uid="{00000000-0005-0000-0000-0000E1010000}"/>
    <cellStyle name="_МБ-2_Приложение_пост_каз_авг_приложения 2012 рус" xfId="220" xr:uid="{00000000-0005-0000-0000-0000E2010000}"/>
    <cellStyle name="_МБ-2_Приложение_пост_каз_авг_приложения 2012 рус 2" xfId="3653" xr:uid="{00000000-0005-0000-0000-0000E3010000}"/>
    <cellStyle name="_МБ-2_Приложение_пост_рус_авг" xfId="221" xr:uid="{00000000-0005-0000-0000-0000E4010000}"/>
    <cellStyle name="_МБ-2_Приложение_пост_рус_авг 2" xfId="3654" xr:uid="{00000000-0005-0000-0000-0000E5010000}"/>
    <cellStyle name="_МБ-2_Приложение_пост_рус_авг_Анализ" xfId="222" xr:uid="{00000000-0005-0000-0000-0000E6010000}"/>
    <cellStyle name="_МБ-2_Приложение_пост_рус_авг_Анализ 2" xfId="3655" xr:uid="{00000000-0005-0000-0000-0000E7010000}"/>
    <cellStyle name="_МБ-2_Приложение_пост_рус_авг_Анализ 3.03.2011г." xfId="2726" xr:uid="{00000000-0005-0000-0000-0000E8010000}"/>
    <cellStyle name="_МБ-2_Приложение_пост_рус_авг_Анализ 6.03.2011г." xfId="2727" xr:uid="{00000000-0005-0000-0000-0000E9010000}"/>
    <cellStyle name="_МБ-2_Приложение_пост_рус_авг_Анализ 9.03.2011г." xfId="2728" xr:uid="{00000000-0005-0000-0000-0000EA010000}"/>
    <cellStyle name="_МБ-2_Приложение_пост_рус_авг_Анализ_Приложение_рус _2012-2014_29,30" xfId="223" xr:uid="{00000000-0005-0000-0000-0000EB010000}"/>
    <cellStyle name="_МБ-2_Приложение_пост_рус_авг_Анализ_Приложение_рус _2012-2014_29,30 2" xfId="3656" xr:uid="{00000000-0005-0000-0000-0000EC010000}"/>
    <cellStyle name="_МБ-2_Приложение_пост_рус_авг_Пр 4     11.05.11. ИКС" xfId="224" xr:uid="{00000000-0005-0000-0000-0000ED010000}"/>
    <cellStyle name="_МБ-2_Приложение_пост_рус_авг_Пр 4     11.05.11. ИКС 2" xfId="3657" xr:uid="{00000000-0005-0000-0000-0000EE010000}"/>
    <cellStyle name="_МБ-2_Приложение_пост_рус_авг_Пр 4     11.05.11. ИКС_Приложение_рус _2012-2014_29,30" xfId="225" xr:uid="{00000000-0005-0000-0000-0000EF010000}"/>
    <cellStyle name="_МБ-2_Приложение_пост_рус_авг_Пр 4     11.05.11. ИКС_Приложение_рус _2012-2014_29,30 2" xfId="3658" xr:uid="{00000000-0005-0000-0000-0000F0010000}"/>
    <cellStyle name="_МБ-2_Приложение_пост_рус_авг_Приложение 4 русс,каз 16.03.11. посл" xfId="226" xr:uid="{00000000-0005-0000-0000-0000F1010000}"/>
    <cellStyle name="_МБ-2_Приложение_пост_рус_авг_Приложение 4 русс,каз 16.03.11. посл 2" xfId="3659" xr:uid="{00000000-0005-0000-0000-0000F2010000}"/>
    <cellStyle name="_МБ-2_Приложение_пост_рус_авг_Приложение 4 русс,каз 16.03.11. посл_Приложение_рус _2012-2014_29,30" xfId="227" xr:uid="{00000000-0005-0000-0000-0000F3010000}"/>
    <cellStyle name="_МБ-2_Приложение_пост_рус_авг_Приложение 4 русс,каз 16.03.11. посл_Приложение_рус _2012-2014_29,30 2" xfId="3660" xr:uid="{00000000-0005-0000-0000-0000F4010000}"/>
    <cellStyle name="_МБ-2_Приложение_пост_рус_авг_Приложение_реал_рус 2011-2013 Уточнение" xfId="228" xr:uid="{00000000-0005-0000-0000-0000F5010000}"/>
    <cellStyle name="_МБ-2_Приложение_пост_рус_авг_Приложение_реал_рус 2011-2013 Уточнение 2" xfId="3661" xr:uid="{00000000-0005-0000-0000-0000F6010000}"/>
    <cellStyle name="_МБ-2_Приложение_пост_рус_авг_Приложение_реал_рус 2011-2013 Уточнение_Приложение_рус _2012-2014_29,30" xfId="229" xr:uid="{00000000-0005-0000-0000-0000F7010000}"/>
    <cellStyle name="_МБ-2_Приложение_пост_рус_авг_Приложение_реал_рус 2011-2013 Уточнение_Приложение_рус _2012-2014_29,30 2" xfId="3662" xr:uid="{00000000-0005-0000-0000-0000F8010000}"/>
    <cellStyle name="_МБ-2_Приложение_пост_рус_авг_Приложение_рус _2012-2014_29,30" xfId="230" xr:uid="{00000000-0005-0000-0000-0000F9010000}"/>
    <cellStyle name="_МБ-2_Приложение_пост_рус_авг_Приложение_рус _2012-2014_29,30 2" xfId="3663" xr:uid="{00000000-0005-0000-0000-0000FA010000}"/>
    <cellStyle name="_МБ-2_Приложение_пост_рус_авг_приложения 2012 рус" xfId="231" xr:uid="{00000000-0005-0000-0000-0000FB010000}"/>
    <cellStyle name="_МБ-2_Приложение_пост_рус_авг_приложения 2012 рус 2" xfId="3664" xr:uid="{00000000-0005-0000-0000-0000FC010000}"/>
    <cellStyle name="_МБ-2_Приложение_реал_рус 2011-2013 Уточнение" xfId="232" xr:uid="{00000000-0005-0000-0000-0000FD010000}"/>
    <cellStyle name="_МБ-2_Приложение_реал_рус 2011-2013 Уточнение 2" xfId="3665" xr:uid="{00000000-0005-0000-0000-0000FE010000}"/>
    <cellStyle name="_МБ-2_Приложение_реал_рус 2011-2013 Уточнение_Приложение_рус _2012-2014_29,30" xfId="233" xr:uid="{00000000-0005-0000-0000-0000FF010000}"/>
    <cellStyle name="_МБ-2_Приложение_реал_рус 2011-2013 Уточнение_Приложение_рус _2012-2014_29,30 2" xfId="3666" xr:uid="{00000000-0005-0000-0000-000000020000}"/>
    <cellStyle name="_МБ-2_Приложение_рус _2012-2014_29,30" xfId="234" xr:uid="{00000000-0005-0000-0000-000001020000}"/>
    <cellStyle name="_МБ-2_Приложение_рус _2012-2014_29,30 2" xfId="3667" xr:uid="{00000000-0005-0000-0000-000002020000}"/>
    <cellStyle name="_МБ-2_приложения 2012 рус" xfId="235" xr:uid="{00000000-0005-0000-0000-000003020000}"/>
    <cellStyle name="_МБ-2_приложения 2012 рус 2" xfId="3668" xr:uid="{00000000-0005-0000-0000-000004020000}"/>
    <cellStyle name="_МООС перечень инвест проектов на 2006-2008 гг (3)" xfId="236" xr:uid="{00000000-0005-0000-0000-000005020000}"/>
    <cellStyle name="_перечень 2010 Аскар ноябрь" xfId="237" xr:uid="{00000000-0005-0000-0000-000006020000}"/>
    <cellStyle name="_план 2010-2014 (5)" xfId="238" xr:uid="{00000000-0005-0000-0000-000007020000}"/>
    <cellStyle name="_план 2010-2014 (5) 2" xfId="3669" xr:uid="{00000000-0005-0000-0000-000008020000}"/>
    <cellStyle name="_ППРИП НА 2006-2008 ГОДЫ 31 Болат" xfId="239" xr:uid="{00000000-0005-0000-0000-000009020000}"/>
    <cellStyle name="_Приложение 02 русс на 16.04.2009 г. 1 сессия" xfId="240" xr:uid="{00000000-0005-0000-0000-00000A020000}"/>
    <cellStyle name="_Приложение 02 русс на 16.04.2009 г. 1 сессия 2" xfId="241" xr:uid="{00000000-0005-0000-0000-00000B020000}"/>
    <cellStyle name="_Приложение 02 русс на 16.04.2009 г. 1 сессия 2 2" xfId="3671" xr:uid="{00000000-0005-0000-0000-00000C020000}"/>
    <cellStyle name="_Приложение 02 русс на 16.04.2009 г. 1 сессия 3" xfId="3670" xr:uid="{00000000-0005-0000-0000-00000D020000}"/>
    <cellStyle name="_Приложение 02 русс на 16.04.2009 г. 1 сессия_Анализ" xfId="242" xr:uid="{00000000-0005-0000-0000-00000E020000}"/>
    <cellStyle name="_Приложение 02 русс на 16.04.2009 г. 1 сессия_Анализ 2" xfId="3672" xr:uid="{00000000-0005-0000-0000-00000F020000}"/>
    <cellStyle name="_Приложение 02 русс на 16.04.2009 г. 1 сессия_Анализ 3.03.2011г." xfId="2729" xr:uid="{00000000-0005-0000-0000-000010020000}"/>
    <cellStyle name="_Приложение 02 русс на 16.04.2009 г. 1 сессия_Анализ 6.03.2011г." xfId="2730" xr:uid="{00000000-0005-0000-0000-000011020000}"/>
    <cellStyle name="_Приложение 02 русс на 16.04.2009 г. 1 сессия_Анализ 9.03.2011г." xfId="2731" xr:uid="{00000000-0005-0000-0000-000012020000}"/>
    <cellStyle name="_Приложение 02 русс на 16.04.2009 г. 1 сессия_Анализ_Приложение_рус _2012-2014_29,30" xfId="243" xr:uid="{00000000-0005-0000-0000-000013020000}"/>
    <cellStyle name="_Приложение 02 русс на 16.04.2009 г. 1 сессия_Анализ_Приложение_рус _2012-2014_29,30 2" xfId="3673" xr:uid="{00000000-0005-0000-0000-000014020000}"/>
    <cellStyle name="_Приложение 02 русс на 16.04.2009 г. 1 сессия_Копия Приложение_2010-2012 рус март" xfId="244" xr:uid="{00000000-0005-0000-0000-000015020000}"/>
    <cellStyle name="_Приложение 02 русс на 16.04.2009 г. 1 сессия_Копия Приложение_2010-2012 рус март 2" xfId="3674" xr:uid="{00000000-0005-0000-0000-000016020000}"/>
    <cellStyle name="_Приложение 02 русс на 16.04.2009 г. 1 сессия_Копия Приложение_2010-2012 рус март_Анализ" xfId="245" xr:uid="{00000000-0005-0000-0000-000017020000}"/>
    <cellStyle name="_Приложение 02 русс на 16.04.2009 г. 1 сессия_Копия Приложение_2010-2012 рус март_Анализ 2" xfId="3675" xr:uid="{00000000-0005-0000-0000-000018020000}"/>
    <cellStyle name="_Приложение 02 русс на 16.04.2009 г. 1 сессия_Копия Приложение_2010-2012 рус март_Анализ 3.03.2011г." xfId="2732" xr:uid="{00000000-0005-0000-0000-000019020000}"/>
    <cellStyle name="_Приложение 02 русс на 16.04.2009 г. 1 сессия_Копия Приложение_2010-2012 рус март_Анализ 6.03.2011г." xfId="2733" xr:uid="{00000000-0005-0000-0000-00001A020000}"/>
    <cellStyle name="_Приложение 02 русс на 16.04.2009 г. 1 сессия_Копия Приложение_2010-2012 рус март_Анализ 9.03.2011г." xfId="2734" xr:uid="{00000000-0005-0000-0000-00001B020000}"/>
    <cellStyle name="_Приложение 02 русс на 16.04.2009 г. 1 сессия_Копия Приложение_2010-2012 рус март_Анализ_Приложение_рус _2012-2014_29,30" xfId="246" xr:uid="{00000000-0005-0000-0000-00001C020000}"/>
    <cellStyle name="_Приложение 02 русс на 16.04.2009 г. 1 сессия_Копия Приложение_2010-2012 рус март_Анализ_Приложение_рус _2012-2014_29,30 2" xfId="3676" xr:uid="{00000000-0005-0000-0000-00001D020000}"/>
    <cellStyle name="_Приложение 02 русс на 16.04.2009 г. 1 сессия_Копия Приложение_2010-2012 рус март_Пр 4     11.05.11. ИКС" xfId="247" xr:uid="{00000000-0005-0000-0000-00001E020000}"/>
    <cellStyle name="_Приложение 02 русс на 16.04.2009 г. 1 сессия_Копия Приложение_2010-2012 рус март_Пр 4     11.05.11. ИКС 2" xfId="3677" xr:uid="{00000000-0005-0000-0000-00001F020000}"/>
    <cellStyle name="_Приложение 02 русс на 16.04.2009 г. 1 сессия_Копия Приложение_2010-2012 рус март_Пр 4     11.05.11. ИКС_Приложение_рус _2012-2014_29,30" xfId="248" xr:uid="{00000000-0005-0000-0000-000020020000}"/>
    <cellStyle name="_Приложение 02 русс на 16.04.2009 г. 1 сессия_Копия Приложение_2010-2012 рус март_Пр 4     11.05.11. ИКС_Приложение_рус _2012-2014_29,30 2" xfId="3678" xr:uid="{00000000-0005-0000-0000-000021020000}"/>
    <cellStyle name="_Приложение 02 русс на 16.04.2009 г. 1 сессия_Копия Приложение_2010-2012 рус март_Приложение 4 русс,каз 16.03.11. посл" xfId="249" xr:uid="{00000000-0005-0000-0000-000022020000}"/>
    <cellStyle name="_Приложение 02 русс на 16.04.2009 г. 1 сессия_Копия Приложение_2010-2012 рус март_Приложение 4 русс,каз 16.03.11. посл 2" xfId="3679" xr:uid="{00000000-0005-0000-0000-000023020000}"/>
    <cellStyle name="_Приложение 02 русс на 16.04.2009 г. 1 сессия_Копия Приложение_2010-2012 рус март_Приложение 4 русс,каз 16.03.11. посл_Приложение_рус _2012-2014_29,30" xfId="250" xr:uid="{00000000-0005-0000-0000-000024020000}"/>
    <cellStyle name="_Приложение 02 русс на 16.04.2009 г. 1 сессия_Копия Приложение_2010-2012 рус март_Приложение 4 русс,каз 16.03.11. посл_Приложение_рус _2012-2014_29,30 2" xfId="3680" xr:uid="{00000000-0005-0000-0000-000025020000}"/>
    <cellStyle name="_Приложение 02 русс на 16.04.2009 г. 1 сессия_Копия Приложение_2010-2012 рус март_Приложение_2010-2012 рус 04.08.10" xfId="251" xr:uid="{00000000-0005-0000-0000-000026020000}"/>
    <cellStyle name="_Приложение 02 русс на 16.04.2009 г. 1 сессия_Копия Приложение_2010-2012 рус март_Приложение_2010-2012 рус 04.08.10 2" xfId="3681" xr:uid="{00000000-0005-0000-0000-000027020000}"/>
    <cellStyle name="_Приложение 02 русс на 16.04.2009 г. 1 сессия_Копия Приложение_2010-2012 рус март_Приложение_2010-2012 рус 04.08.10_Анализ" xfId="252" xr:uid="{00000000-0005-0000-0000-000028020000}"/>
    <cellStyle name="_Приложение 02 русс на 16.04.2009 г. 1 сессия_Копия Приложение_2010-2012 рус март_Приложение_2010-2012 рус 04.08.10_Анализ 2" xfId="3682" xr:uid="{00000000-0005-0000-0000-000029020000}"/>
    <cellStyle name="_Приложение 02 русс на 16.04.2009 г. 1 сессия_Копия Приложение_2010-2012 рус март_Приложение_2010-2012 рус 04.08.10_Анализ 3.03.2011г." xfId="2735" xr:uid="{00000000-0005-0000-0000-00002A020000}"/>
    <cellStyle name="_Приложение 02 русс на 16.04.2009 г. 1 сессия_Копия Приложение_2010-2012 рус март_Приложение_2010-2012 рус 04.08.10_Анализ 6.03.2011г." xfId="2736" xr:uid="{00000000-0005-0000-0000-00002B020000}"/>
    <cellStyle name="_Приложение 02 русс на 16.04.2009 г. 1 сессия_Копия Приложение_2010-2012 рус март_Приложение_2010-2012 рус 04.08.10_Анализ 9.03.2011г." xfId="2737" xr:uid="{00000000-0005-0000-0000-00002C020000}"/>
    <cellStyle name="_Приложение 02 русс на 16.04.2009 г. 1 сессия_Копия Приложение_2010-2012 рус март_Приложение_2010-2012 рус 04.08.10_Анализ_Приложение_рус _2012-2014_29,30" xfId="253" xr:uid="{00000000-0005-0000-0000-00002D020000}"/>
    <cellStyle name="_Приложение 02 русс на 16.04.2009 г. 1 сессия_Копия Приложение_2010-2012 рус март_Приложение_2010-2012 рус 04.08.10_Анализ_Приложение_рус _2012-2014_29,30 2" xfId="3683" xr:uid="{00000000-0005-0000-0000-00002E020000}"/>
    <cellStyle name="_Приложение 02 русс на 16.04.2009 г. 1 сессия_Копия Приложение_2010-2012 рус март_Приложение_2010-2012 рус 04.08.10_Пр 4     11.05.11. ИКС" xfId="254" xr:uid="{00000000-0005-0000-0000-00002F020000}"/>
    <cellStyle name="_Приложение 02 русс на 16.04.2009 г. 1 сессия_Копия Приложение_2010-2012 рус март_Приложение_2010-2012 рус 04.08.10_Пр 4     11.05.11. ИКС 2" xfId="3684" xr:uid="{00000000-0005-0000-0000-000030020000}"/>
    <cellStyle name="_Приложение 02 русс на 16.04.2009 г. 1 сессия_Копия Приложение_2010-2012 рус март_Приложение_2010-2012 рус 04.08.10_Пр 4     11.05.11. ИКС_Приложение_рус _2012-2014_29,30" xfId="255" xr:uid="{00000000-0005-0000-0000-000031020000}"/>
    <cellStyle name="_Приложение 02 русс на 16.04.2009 г. 1 сессия_Копия Приложение_2010-2012 рус март_Приложение_2010-2012 рус 04.08.10_Пр 4     11.05.11. ИКС_Приложение_рус _2012-2014_29,30 2" xfId="3685" xr:uid="{00000000-0005-0000-0000-000032020000}"/>
    <cellStyle name="_Приложение 02 русс на 16.04.2009 г. 1 сессия_Копия Приложение_2010-2012 рус март_Приложение_2010-2012 рус 04.08.10_Приложение 4 русс,каз 16.03.11. посл" xfId="256" xr:uid="{00000000-0005-0000-0000-000033020000}"/>
    <cellStyle name="_Приложение 02 русс на 16.04.2009 г. 1 сессия_Копия Приложение_2010-2012 рус март_Приложение_2010-2012 рус 04.08.10_Приложение 4 русс,каз 16.03.11. посл 2" xfId="3686" xr:uid="{00000000-0005-0000-0000-000034020000}"/>
    <cellStyle name="_Приложение 02 русс на 16.04.2009 г. 1 сессия_Копия Приложение_2010-2012 рус март_Приложение_2010-2012 рус 04.08.10_Приложение 4 русс,каз 16.03.11. посл_Приложение_рус _2012-2014_29,30" xfId="257" xr:uid="{00000000-0005-0000-0000-000035020000}"/>
    <cellStyle name="_Приложение 02 русс на 16.04.2009 г. 1 сессия_Копия Приложение_2010-2012 рус март_Приложение_2010-2012 рус 04.08.10_Приложение 4 русс,каз 16.03.11. посл_Приложение_рус _2012-2014_29,30 2" xfId="3687" xr:uid="{00000000-0005-0000-0000-000036020000}"/>
    <cellStyle name="_Приложение 02 русс на 16.04.2009 г. 1 сессия_Копия Приложение_2010-2012 рус март_Приложение_2010-2012 рус 04.08.10_Приложение_реал_рус 2011-2013 Уточнение" xfId="258" xr:uid="{00000000-0005-0000-0000-000037020000}"/>
    <cellStyle name="_Приложение 02 русс на 16.04.2009 г. 1 сессия_Копия Приложение_2010-2012 рус март_Приложение_2010-2012 рус 04.08.10_Приложение_реал_рус 2011-2013 Уточнение 2" xfId="3688" xr:uid="{00000000-0005-0000-0000-000038020000}"/>
    <cellStyle name="_Приложение 02 русс на 16.04.2009 г. 1 сессия_Копия Приложение_2010-2012 рус март_Приложение_2010-2012 рус 04.08.10_Приложение_реал_рус 2011-2013 Уточнение_Приложение_рус _2012-2014_29,30" xfId="259" xr:uid="{00000000-0005-0000-0000-000039020000}"/>
    <cellStyle name="_Приложение 02 русс на 16.04.2009 г. 1 сессия_Копия Приложение_2010-2012 рус март_Приложение_2010-2012 рус 04.08.10_Приложение_реал_рус 2011-2013 Уточнение_Приложение_рус _2012-2014_29,30 2" xfId="3689" xr:uid="{00000000-0005-0000-0000-00003A020000}"/>
    <cellStyle name="_Приложение 02 русс на 16.04.2009 г. 1 сессия_Копия Приложение_2010-2012 рус март_Приложение_2010-2012 рус 04.08.10_Приложение_рус _2012-2014_29,30" xfId="260" xr:uid="{00000000-0005-0000-0000-00003B020000}"/>
    <cellStyle name="_Приложение 02 русс на 16.04.2009 г. 1 сессия_Копия Приложение_2010-2012 рус март_Приложение_2010-2012 рус 04.08.10_Приложение_рус _2012-2014_29,30 2" xfId="3690" xr:uid="{00000000-0005-0000-0000-00003C020000}"/>
    <cellStyle name="_Приложение 02 русс на 16.04.2009 г. 1 сессия_Копия Приложение_2010-2012 рус март_Приложение_2010-2012 рус 04.08.10_приложения 2012 рус" xfId="261" xr:uid="{00000000-0005-0000-0000-00003D020000}"/>
    <cellStyle name="_Приложение 02 русс на 16.04.2009 г. 1 сессия_Копия Приложение_2010-2012 рус март_Приложение_2010-2012 рус 04.08.10_приложения 2012 рус 2" xfId="3691" xr:uid="{00000000-0005-0000-0000-00003E020000}"/>
    <cellStyle name="_Приложение 02 русс на 16.04.2009 г. 1 сессия_Копия Приложение_2010-2012 рус март_Приложение_пост_рус_авг" xfId="262" xr:uid="{00000000-0005-0000-0000-00003F020000}"/>
    <cellStyle name="_Приложение 02 русс на 16.04.2009 г. 1 сессия_Копия Приложение_2010-2012 рус март_Приложение_пост_рус_авг 2" xfId="3692" xr:uid="{00000000-0005-0000-0000-000040020000}"/>
    <cellStyle name="_Приложение 02 русс на 16.04.2009 г. 1 сессия_Копия Приложение_2010-2012 рус март_Приложение_пост_рус_авг_Анализ" xfId="263" xr:uid="{00000000-0005-0000-0000-000041020000}"/>
    <cellStyle name="_Приложение 02 русс на 16.04.2009 г. 1 сессия_Копия Приложение_2010-2012 рус март_Приложение_пост_рус_авг_Анализ 2" xfId="3693" xr:uid="{00000000-0005-0000-0000-000042020000}"/>
    <cellStyle name="_Приложение 02 русс на 16.04.2009 г. 1 сессия_Копия Приложение_2010-2012 рус март_Приложение_пост_рус_авг_Анализ 3.03.2011г." xfId="2738" xr:uid="{00000000-0005-0000-0000-000043020000}"/>
    <cellStyle name="_Приложение 02 русс на 16.04.2009 г. 1 сессия_Копия Приложение_2010-2012 рус март_Приложение_пост_рус_авг_Анализ 6.03.2011г." xfId="2739" xr:uid="{00000000-0005-0000-0000-000044020000}"/>
    <cellStyle name="_Приложение 02 русс на 16.04.2009 г. 1 сессия_Копия Приложение_2010-2012 рус март_Приложение_пост_рус_авг_Анализ 9.03.2011г." xfId="2740" xr:uid="{00000000-0005-0000-0000-000045020000}"/>
    <cellStyle name="_Приложение 02 русс на 16.04.2009 г. 1 сессия_Копия Приложение_2010-2012 рус март_Приложение_пост_рус_авг_Анализ_Приложение_рус _2012-2014_29,30" xfId="264" xr:uid="{00000000-0005-0000-0000-000046020000}"/>
    <cellStyle name="_Приложение 02 русс на 16.04.2009 г. 1 сессия_Копия Приложение_2010-2012 рус март_Приложение_пост_рус_авг_Анализ_Приложение_рус _2012-2014_29,30 2" xfId="3694" xr:uid="{00000000-0005-0000-0000-000047020000}"/>
    <cellStyle name="_Приложение 02 русс на 16.04.2009 г. 1 сессия_Копия Приложение_2010-2012 рус март_Приложение_пост_рус_авг_Пр 4     11.05.11. ИКС" xfId="265" xr:uid="{00000000-0005-0000-0000-000048020000}"/>
    <cellStyle name="_Приложение 02 русс на 16.04.2009 г. 1 сессия_Копия Приложение_2010-2012 рус март_Приложение_пост_рус_авг_Пр 4     11.05.11. ИКС 2" xfId="3695" xr:uid="{00000000-0005-0000-0000-000049020000}"/>
    <cellStyle name="_Приложение 02 русс на 16.04.2009 г. 1 сессия_Копия Приложение_2010-2012 рус март_Приложение_пост_рус_авг_Пр 4     11.05.11. ИКС_Приложение_рус _2012-2014_29,30" xfId="266" xr:uid="{00000000-0005-0000-0000-00004A020000}"/>
    <cellStyle name="_Приложение 02 русс на 16.04.2009 г. 1 сессия_Копия Приложение_2010-2012 рус март_Приложение_пост_рус_авг_Пр 4     11.05.11. ИКС_Приложение_рус _2012-2014_29,30 2" xfId="3696" xr:uid="{00000000-0005-0000-0000-00004B020000}"/>
    <cellStyle name="_Приложение 02 русс на 16.04.2009 г. 1 сессия_Копия Приложение_2010-2012 рус март_Приложение_пост_рус_авг_Приложение 4 русс,каз 16.03.11. посл" xfId="267" xr:uid="{00000000-0005-0000-0000-00004C020000}"/>
    <cellStyle name="_Приложение 02 русс на 16.04.2009 г. 1 сессия_Копия Приложение_2010-2012 рус март_Приложение_пост_рус_авг_Приложение 4 русс,каз 16.03.11. посл 2" xfId="3697" xr:uid="{00000000-0005-0000-0000-00004D020000}"/>
    <cellStyle name="_Приложение 02 русс на 16.04.2009 г. 1 сессия_Копия Приложение_2010-2012 рус март_Приложение_пост_рус_авг_Приложение 4 русс,каз 16.03.11. посл_Приложение_рус _2012-2014_29,30" xfId="268" xr:uid="{00000000-0005-0000-0000-00004E020000}"/>
    <cellStyle name="_Приложение 02 русс на 16.04.2009 г. 1 сессия_Копия Приложение_2010-2012 рус март_Приложение_пост_рус_авг_Приложение 4 русс,каз 16.03.11. посл_Приложение_рус _2012-2014_29,30 2" xfId="3698" xr:uid="{00000000-0005-0000-0000-00004F020000}"/>
    <cellStyle name="_Приложение 02 русс на 16.04.2009 г. 1 сессия_Копия Приложение_2010-2012 рус март_Приложение_пост_рус_авг_Приложение_реал_рус 2011-2013 Уточнение" xfId="269" xr:uid="{00000000-0005-0000-0000-000050020000}"/>
    <cellStyle name="_Приложение 02 русс на 16.04.2009 г. 1 сессия_Копия Приложение_2010-2012 рус март_Приложение_пост_рус_авг_Приложение_реал_рус 2011-2013 Уточнение 2" xfId="3699" xr:uid="{00000000-0005-0000-0000-000051020000}"/>
    <cellStyle name="_Приложение 02 русс на 16.04.2009 г. 1 сессия_Копия Приложение_2010-2012 рус март_Приложение_пост_рус_авг_Приложение_реал_рус 2011-2013 Уточнение_Приложение_рус _2012-2014_29,30" xfId="270" xr:uid="{00000000-0005-0000-0000-000052020000}"/>
    <cellStyle name="_Приложение 02 русс на 16.04.2009 г. 1 сессия_Копия Приложение_2010-2012 рус март_Приложение_пост_рус_авг_Приложение_реал_рус 2011-2013 Уточнение_Приложение_рус _2012-2014_29,30 2" xfId="3700" xr:uid="{00000000-0005-0000-0000-000053020000}"/>
    <cellStyle name="_Приложение 02 русс на 16.04.2009 г. 1 сессия_Копия Приложение_2010-2012 рус март_Приложение_пост_рус_авг_Приложение_рус _2012-2014_29,30" xfId="271" xr:uid="{00000000-0005-0000-0000-000054020000}"/>
    <cellStyle name="_Приложение 02 русс на 16.04.2009 г. 1 сессия_Копия Приложение_2010-2012 рус март_Приложение_пост_рус_авг_Приложение_рус _2012-2014_29,30 2" xfId="3701" xr:uid="{00000000-0005-0000-0000-000055020000}"/>
    <cellStyle name="_Приложение 02 русс на 16.04.2009 г. 1 сессия_Копия Приложение_2010-2012 рус март_Приложение_пост_рус_авг_приложения 2012 рус" xfId="272" xr:uid="{00000000-0005-0000-0000-000056020000}"/>
    <cellStyle name="_Приложение 02 русс на 16.04.2009 г. 1 сессия_Копия Приложение_2010-2012 рус март_Приложение_пост_рус_авг_приложения 2012 рус 2" xfId="3702" xr:uid="{00000000-0005-0000-0000-000057020000}"/>
    <cellStyle name="_Приложение 02 русс на 16.04.2009 г. 1 сессия_Копия Приложение_2010-2012 рус март_Приложение_реал_рус 2011-2013 Уточнение" xfId="273" xr:uid="{00000000-0005-0000-0000-000058020000}"/>
    <cellStyle name="_Приложение 02 русс на 16.04.2009 г. 1 сессия_Копия Приложение_2010-2012 рус март_Приложение_реал_рус 2011-2013 Уточнение 2" xfId="3703" xr:uid="{00000000-0005-0000-0000-000059020000}"/>
    <cellStyle name="_Приложение 02 русс на 16.04.2009 г. 1 сессия_Копия Приложение_2010-2012 рус март_Приложение_реал_рус 2011-2013 Уточнение_Приложение_рус _2012-2014_29,30" xfId="274" xr:uid="{00000000-0005-0000-0000-00005A020000}"/>
    <cellStyle name="_Приложение 02 русс на 16.04.2009 г. 1 сессия_Копия Приложение_2010-2012 рус март_Приложение_реал_рус 2011-2013 Уточнение_Приложение_рус _2012-2014_29,30 2" xfId="3704" xr:uid="{00000000-0005-0000-0000-00005B020000}"/>
    <cellStyle name="_Приложение 02 русс на 16.04.2009 г. 1 сессия_Копия Приложение_2010-2012 рус март_Приложение_рус _2012-2014_29,30" xfId="275" xr:uid="{00000000-0005-0000-0000-00005C020000}"/>
    <cellStyle name="_Приложение 02 русс на 16.04.2009 г. 1 сессия_Копия Приложение_2010-2012 рус март_Приложение_рус _2012-2014_29,30 2" xfId="3705" xr:uid="{00000000-0005-0000-0000-00005D020000}"/>
    <cellStyle name="_Приложение 02 русс на 16.04.2009 г. 1 сессия_Копия Приложение_2010-2012 рус март_приложения 2012 рус" xfId="276" xr:uid="{00000000-0005-0000-0000-00005E020000}"/>
    <cellStyle name="_Приложение 02 русс на 16.04.2009 г. 1 сессия_Копия Приложение_2010-2012 рус март_приложения 2012 рус 2" xfId="3706" xr:uid="{00000000-0005-0000-0000-00005F020000}"/>
    <cellStyle name="_Приложение 02 русс на 16.04.2009 г. 1 сессия_Пр 4     11.05.11. ИКС" xfId="277" xr:uid="{00000000-0005-0000-0000-000060020000}"/>
    <cellStyle name="_Приложение 02 русс на 16.04.2009 г. 1 сессия_Пр 4     11.05.11. ИКС 2" xfId="3707" xr:uid="{00000000-0005-0000-0000-000061020000}"/>
    <cellStyle name="_Приложение 02 русс на 16.04.2009 г. 1 сессия_Пр 4     11.05.11. ИКС_Приложение_рус _2012-2014_29,30" xfId="278" xr:uid="{00000000-0005-0000-0000-000062020000}"/>
    <cellStyle name="_Приложение 02 русс на 16.04.2009 г. 1 сессия_Пр 4     11.05.11. ИКС_Приложение_рус _2012-2014_29,30 2" xfId="3708" xr:uid="{00000000-0005-0000-0000-000063020000}"/>
    <cellStyle name="_Приложение 02 русс на 16.04.2009 г. 1 сессия_Прилож.к бюдж 2010г." xfId="279" xr:uid="{00000000-0005-0000-0000-000064020000}"/>
    <cellStyle name="_Приложение 02 русс на 16.04.2009 г. 1 сессия_Прилож.к бюдж 2010г. 2" xfId="3709" xr:uid="{00000000-0005-0000-0000-000065020000}"/>
    <cellStyle name="_Приложение 02 русс на 16.04.2009 г. 1 сессия_Прилож.к бюдж 2010г._Анализ" xfId="280" xr:uid="{00000000-0005-0000-0000-000066020000}"/>
    <cellStyle name="_Приложение 02 русс на 16.04.2009 г. 1 сессия_Прилож.к бюдж 2010г._Анализ 2" xfId="3710" xr:uid="{00000000-0005-0000-0000-000067020000}"/>
    <cellStyle name="_Приложение 02 русс на 16.04.2009 г. 1 сессия_Прилож.к бюдж 2010г._Анализ 3.03.2011г." xfId="2741" xr:uid="{00000000-0005-0000-0000-000068020000}"/>
    <cellStyle name="_Приложение 02 русс на 16.04.2009 г. 1 сессия_Прилож.к бюдж 2010г._Анализ 6.03.2011г." xfId="2742" xr:uid="{00000000-0005-0000-0000-000069020000}"/>
    <cellStyle name="_Приложение 02 русс на 16.04.2009 г. 1 сессия_Прилож.к бюдж 2010г._Анализ 9.03.2011г." xfId="2743" xr:uid="{00000000-0005-0000-0000-00006A020000}"/>
    <cellStyle name="_Приложение 02 русс на 16.04.2009 г. 1 сессия_Прилож.к бюдж 2010г._Анализ_Приложение_рус _2012-2014_29,30" xfId="281" xr:uid="{00000000-0005-0000-0000-00006B020000}"/>
    <cellStyle name="_Приложение 02 русс на 16.04.2009 г. 1 сессия_Прилож.к бюдж 2010г._Анализ_Приложение_рус _2012-2014_29,30 2" xfId="3711" xr:uid="{00000000-0005-0000-0000-00006C020000}"/>
    <cellStyle name="_Приложение 02 русс на 16.04.2009 г. 1 сессия_Прилож.к бюдж 2010г._Копия Приложение_2010-2012 рус март" xfId="282" xr:uid="{00000000-0005-0000-0000-00006D020000}"/>
    <cellStyle name="_Приложение 02 русс на 16.04.2009 г. 1 сессия_Прилож.к бюдж 2010г._Копия Приложение_2010-2012 рус март 2" xfId="3712" xr:uid="{00000000-0005-0000-0000-00006E020000}"/>
    <cellStyle name="_Приложение 02 русс на 16.04.2009 г. 1 сессия_Прилож.к бюдж 2010г._Копия Приложение_2010-2012 рус март_Анализ" xfId="283" xr:uid="{00000000-0005-0000-0000-00006F020000}"/>
    <cellStyle name="_Приложение 02 русс на 16.04.2009 г. 1 сессия_Прилож.к бюдж 2010г._Копия Приложение_2010-2012 рус март_Анализ 2" xfId="3713" xr:uid="{00000000-0005-0000-0000-000070020000}"/>
    <cellStyle name="_Приложение 02 русс на 16.04.2009 г. 1 сессия_Прилож.к бюдж 2010г._Копия Приложение_2010-2012 рус март_Анализ 3.03.2011г." xfId="2744" xr:uid="{00000000-0005-0000-0000-000071020000}"/>
    <cellStyle name="_Приложение 02 русс на 16.04.2009 г. 1 сессия_Прилож.к бюдж 2010г._Копия Приложение_2010-2012 рус март_Анализ 6.03.2011г." xfId="2745" xr:uid="{00000000-0005-0000-0000-000072020000}"/>
    <cellStyle name="_Приложение 02 русс на 16.04.2009 г. 1 сессия_Прилож.к бюдж 2010г._Копия Приложение_2010-2012 рус март_Анализ 9.03.2011г." xfId="2746" xr:uid="{00000000-0005-0000-0000-000073020000}"/>
    <cellStyle name="_Приложение 02 русс на 16.04.2009 г. 1 сессия_Прилож.к бюдж 2010г._Копия Приложение_2010-2012 рус март_Анализ_Приложение_рус _2012-2014_29,30" xfId="284" xr:uid="{00000000-0005-0000-0000-000074020000}"/>
    <cellStyle name="_Приложение 02 русс на 16.04.2009 г. 1 сессия_Прилож.к бюдж 2010г._Копия Приложение_2010-2012 рус март_Анализ_Приложение_рус _2012-2014_29,30 2" xfId="3714" xr:uid="{00000000-0005-0000-0000-000075020000}"/>
    <cellStyle name="_Приложение 02 русс на 16.04.2009 г. 1 сессия_Прилож.к бюдж 2010г._Копия Приложение_2010-2012 рус март_Пр 4     11.05.11. ИКС" xfId="285" xr:uid="{00000000-0005-0000-0000-000076020000}"/>
    <cellStyle name="_Приложение 02 русс на 16.04.2009 г. 1 сессия_Прилож.к бюдж 2010г._Копия Приложение_2010-2012 рус март_Пр 4     11.05.11. ИКС 2" xfId="3715" xr:uid="{00000000-0005-0000-0000-000077020000}"/>
    <cellStyle name="_Приложение 02 русс на 16.04.2009 г. 1 сессия_Прилож.к бюдж 2010г._Копия Приложение_2010-2012 рус март_Пр 4     11.05.11. ИКС_Приложение_рус _2012-2014_29,30" xfId="286" xr:uid="{00000000-0005-0000-0000-000078020000}"/>
    <cellStyle name="_Приложение 02 русс на 16.04.2009 г. 1 сессия_Прилож.к бюдж 2010г._Копия Приложение_2010-2012 рус март_Пр 4     11.05.11. ИКС_Приложение_рус _2012-2014_29,30 2" xfId="3716" xr:uid="{00000000-0005-0000-0000-000079020000}"/>
    <cellStyle name="_Приложение 02 русс на 16.04.2009 г. 1 сессия_Прилож.к бюдж 2010г._Копия Приложение_2010-2012 рус март_Приложение 4 русс,каз 16.03.11. посл" xfId="287" xr:uid="{00000000-0005-0000-0000-00007A020000}"/>
    <cellStyle name="_Приложение 02 русс на 16.04.2009 г. 1 сессия_Прилож.к бюдж 2010г._Копия Приложение_2010-2012 рус март_Приложение 4 русс,каз 16.03.11. посл 2" xfId="3717" xr:uid="{00000000-0005-0000-0000-00007B020000}"/>
    <cellStyle name="_Приложение 02 русс на 16.04.2009 г. 1 сессия_Прилож.к бюдж 2010г._Копия Приложение_2010-2012 рус март_Приложение 4 русс,каз 16.03.11. посл_Приложение_рус _2012-2014_29,30" xfId="288" xr:uid="{00000000-0005-0000-0000-00007C020000}"/>
    <cellStyle name="_Приложение 02 русс на 16.04.2009 г. 1 сессия_Прилож.к бюдж 2010г._Копия Приложение_2010-2012 рус март_Приложение 4 русс,каз 16.03.11. посл_Приложение_рус _2012-2014_29,30 2" xfId="3718" xr:uid="{00000000-0005-0000-0000-00007D020000}"/>
    <cellStyle name="_Приложение 02 русс на 16.04.2009 г. 1 сессия_Прилож.к бюдж 2010г._Копия Приложение_2010-2012 рус март_Приложение_2010-2012 рус 04.08.10" xfId="289" xr:uid="{00000000-0005-0000-0000-00007E020000}"/>
    <cellStyle name="_Приложение 02 русс на 16.04.2009 г. 1 сессия_Прилож.к бюдж 2010г._Копия Приложение_2010-2012 рус март_Приложение_2010-2012 рус 04.08.10 2" xfId="3719" xr:uid="{00000000-0005-0000-0000-00007F020000}"/>
    <cellStyle name="_Приложение 02 русс на 16.04.2009 г. 1 сессия_Прилож.к бюдж 2010г._Копия Приложение_2010-2012 рус март_Приложение_2010-2012 рус 04.08.10_Анализ" xfId="290" xr:uid="{00000000-0005-0000-0000-000080020000}"/>
    <cellStyle name="_Приложение 02 русс на 16.04.2009 г. 1 сессия_Прилож.к бюдж 2010г._Копия Приложение_2010-2012 рус март_Приложение_2010-2012 рус 04.08.10_Анализ 2" xfId="3720" xr:uid="{00000000-0005-0000-0000-000081020000}"/>
    <cellStyle name="_Приложение 02 русс на 16.04.2009 г. 1 сессия_Прилож.к бюдж 2010г._Копия Приложение_2010-2012 рус март_Приложение_2010-2012 рус 04.08.10_Анализ 3.03.2011г." xfId="2747" xr:uid="{00000000-0005-0000-0000-000082020000}"/>
    <cellStyle name="_Приложение 02 русс на 16.04.2009 г. 1 сессия_Прилож.к бюдж 2010г._Копия Приложение_2010-2012 рус март_Приложение_2010-2012 рус 04.08.10_Анализ 6.03.2011г." xfId="2748" xr:uid="{00000000-0005-0000-0000-000083020000}"/>
    <cellStyle name="_Приложение 02 русс на 16.04.2009 г. 1 сессия_Прилож.к бюдж 2010г._Копия Приложение_2010-2012 рус март_Приложение_2010-2012 рус 04.08.10_Анализ 9.03.2011г." xfId="2749" xr:uid="{00000000-0005-0000-0000-000084020000}"/>
    <cellStyle name="_Приложение 02 русс на 16.04.2009 г. 1 сессия_Прилож.к бюдж 2010г._Копия Приложение_2010-2012 рус март_Приложение_2010-2012 рус 04.08.10_Анализ_Приложение_рус _2012-2014_29,30" xfId="291" xr:uid="{00000000-0005-0000-0000-000085020000}"/>
    <cellStyle name="_Приложение 02 русс на 16.04.2009 г. 1 сессия_Прилож.к бюдж 2010г._Копия Приложение_2010-2012 рус март_Приложение_2010-2012 рус 04.08.10_Анализ_Приложение_рус _2012-2014_29,30 2" xfId="3721" xr:uid="{00000000-0005-0000-0000-000086020000}"/>
    <cellStyle name="_Приложение 02 русс на 16.04.2009 г. 1 сессия_Прилож.к бюдж 2010г._Копия Приложение_2010-2012 рус март_Приложение_2010-2012 рус 04.08.10_Пр 4     11.05.11. ИКС" xfId="292" xr:uid="{00000000-0005-0000-0000-000087020000}"/>
    <cellStyle name="_Приложение 02 русс на 16.04.2009 г. 1 сессия_Прилож.к бюдж 2010г._Копия Приложение_2010-2012 рус март_Приложение_2010-2012 рус 04.08.10_Пр 4     11.05.11. ИКС 2" xfId="3722" xr:uid="{00000000-0005-0000-0000-000088020000}"/>
    <cellStyle name="_Приложение 02 русс на 16.04.2009 г. 1 сессия_Прилож.к бюдж 2010г._Копия Приложение_2010-2012 рус март_Приложение_2010-2012 рус 04.08.10_Пр 4     11.05.11. ИКС_Приложение_рус _2012-2014_29,30" xfId="293" xr:uid="{00000000-0005-0000-0000-000089020000}"/>
    <cellStyle name="_Приложение 02 русс на 16.04.2009 г. 1 сессия_Прилож.к бюдж 2010г._Копия Приложение_2010-2012 рус март_Приложение_2010-2012 рус 04.08.10_Пр 4     11.05.11. ИКС_Приложение_рус _2012-2014_29,30 2" xfId="3723" xr:uid="{00000000-0005-0000-0000-00008A020000}"/>
    <cellStyle name="_Приложение 02 русс на 16.04.2009 г. 1 сессия_Прилож.к бюдж 2010г._Копия Приложение_2010-2012 рус март_Приложение_2010-2012 рус 04.08.10_Приложение 4 русс,каз 16.03.11. посл" xfId="294" xr:uid="{00000000-0005-0000-0000-00008B020000}"/>
    <cellStyle name="_Приложение 02 русс на 16.04.2009 г. 1 сессия_Прилож.к бюдж 2010г._Копия Приложение_2010-2012 рус март_Приложение_2010-2012 рус 04.08.10_Приложение 4 русс,каз 16.03.11. посл 2" xfId="3724" xr:uid="{00000000-0005-0000-0000-00008C020000}"/>
    <cellStyle name="_Приложение 02 русс на 16.04.2009 г. 1 сессия_Прилож.к бюдж 2010г._Копия Приложение_2010-2012 рус март_Приложение_2010-2012 рус 04.08.10_Приложение 4 русс,каз 16.03.11. посл_Приложение_рус _2012-2014_29,30" xfId="295" xr:uid="{00000000-0005-0000-0000-00008D020000}"/>
    <cellStyle name="_Приложение 02 русс на 16.04.2009 г. 1 сессия_Прилож.к бюдж 2010г._Копия Приложение_2010-2012 рус март_Приложение_2010-2012 рус 04.08.10_Приложение 4 русс,каз 16.03.11. посл_Приложение_рус _2012-2014_29,30 2" xfId="3725" xr:uid="{00000000-0005-0000-0000-00008E020000}"/>
    <cellStyle name="_Приложение 02 русс на 16.04.2009 г. 1 сессия_Прилож.к бюдж 2010г._Копия Приложение_2010-2012 рус март_Приложение_2010-2012 рус 04.08.10_Приложение_реал_рус 2011-2013 Уточнение" xfId="296" xr:uid="{00000000-0005-0000-0000-00008F020000}"/>
    <cellStyle name="_Приложение 02 русс на 16.04.2009 г. 1 сессия_Прилож.к бюдж 2010г._Копия Приложение_2010-2012 рус март_Приложение_2010-2012 рус 04.08.10_Приложение_реал_рус 2011-2013 Уточнение 2" xfId="3726" xr:uid="{00000000-0005-0000-0000-000090020000}"/>
    <cellStyle name="_Приложение 02 русс на 16.04.2009 г. 1 сессия_Прилож.к бюдж 2010г._Копия Приложение_2010-2012 рус март_Приложение_2010-2012 рус 04.08.10_Приложение_реал_рус 2011-2013 Уточнение_Приложение_рус _2012-2014_29,30" xfId="297" xr:uid="{00000000-0005-0000-0000-000091020000}"/>
    <cellStyle name="_Приложение 02 русс на 16.04.2009 г. 1 сессия_Прилож.к бюдж 2010г._Копия Приложение_2010-2012 рус март_Приложение_2010-2012 рус 04.08.10_Приложение_реал_рус 2011-2013 Уточнение_Приложение_рус _2012-2014_29,30 2" xfId="3727" xr:uid="{00000000-0005-0000-0000-000092020000}"/>
    <cellStyle name="_Приложение 02 русс на 16.04.2009 г. 1 сессия_Прилож.к бюдж 2010г._Копия Приложение_2010-2012 рус март_Приложение_2010-2012 рус 04.08.10_Приложение_рус _2012-2014_29,30" xfId="298" xr:uid="{00000000-0005-0000-0000-000093020000}"/>
    <cellStyle name="_Приложение 02 русс на 16.04.2009 г. 1 сессия_Прилож.к бюдж 2010г._Копия Приложение_2010-2012 рус март_Приложение_2010-2012 рус 04.08.10_Приложение_рус _2012-2014_29,30 2" xfId="3728" xr:uid="{00000000-0005-0000-0000-000094020000}"/>
    <cellStyle name="_Приложение 02 русс на 16.04.2009 г. 1 сессия_Прилож.к бюдж 2010г._Копия Приложение_2010-2012 рус март_Приложение_2010-2012 рус 04.08.10_приложения 2012 рус" xfId="299" xr:uid="{00000000-0005-0000-0000-000095020000}"/>
    <cellStyle name="_Приложение 02 русс на 16.04.2009 г. 1 сессия_Прилож.к бюдж 2010г._Копия Приложение_2010-2012 рус март_Приложение_2010-2012 рус 04.08.10_приложения 2012 рус 2" xfId="3729" xr:uid="{00000000-0005-0000-0000-000096020000}"/>
    <cellStyle name="_Приложение 02 русс на 16.04.2009 г. 1 сессия_Прилож.к бюдж 2010г._Копия Приложение_2010-2012 рус март_Приложение_пост_рус_авг" xfId="300" xr:uid="{00000000-0005-0000-0000-000097020000}"/>
    <cellStyle name="_Приложение 02 русс на 16.04.2009 г. 1 сессия_Прилож.к бюдж 2010г._Копия Приложение_2010-2012 рус март_Приложение_пост_рус_авг 2" xfId="3730" xr:uid="{00000000-0005-0000-0000-000098020000}"/>
    <cellStyle name="_Приложение 02 русс на 16.04.2009 г. 1 сессия_Прилож.к бюдж 2010г._Копия Приложение_2010-2012 рус март_Приложение_пост_рус_авг_Анализ" xfId="301" xr:uid="{00000000-0005-0000-0000-000099020000}"/>
    <cellStyle name="_Приложение 02 русс на 16.04.2009 г. 1 сессия_Прилож.к бюдж 2010г._Копия Приложение_2010-2012 рус март_Приложение_пост_рус_авг_Анализ 2" xfId="3731" xr:uid="{00000000-0005-0000-0000-00009A020000}"/>
    <cellStyle name="_Приложение 02 русс на 16.04.2009 г. 1 сессия_Прилож.к бюдж 2010г._Копия Приложение_2010-2012 рус март_Приложение_пост_рус_авг_Анализ 3.03.2011г." xfId="2750" xr:uid="{00000000-0005-0000-0000-00009B020000}"/>
    <cellStyle name="_Приложение 02 русс на 16.04.2009 г. 1 сессия_Прилож.к бюдж 2010г._Копия Приложение_2010-2012 рус март_Приложение_пост_рус_авг_Анализ 6.03.2011г." xfId="2751" xr:uid="{00000000-0005-0000-0000-00009C020000}"/>
    <cellStyle name="_Приложение 02 русс на 16.04.2009 г. 1 сессия_Прилож.к бюдж 2010г._Копия Приложение_2010-2012 рус март_Приложение_пост_рус_авг_Анализ 9.03.2011г." xfId="2752" xr:uid="{00000000-0005-0000-0000-00009D020000}"/>
    <cellStyle name="_Приложение 02 русс на 16.04.2009 г. 1 сессия_Прилож.к бюдж 2010г._Копия Приложение_2010-2012 рус март_Приложение_пост_рус_авг_Анализ_Приложение_рус _2012-2014_29,30" xfId="302" xr:uid="{00000000-0005-0000-0000-00009E020000}"/>
    <cellStyle name="_Приложение 02 русс на 16.04.2009 г. 1 сессия_Прилож.к бюдж 2010г._Копия Приложение_2010-2012 рус март_Приложение_пост_рус_авг_Анализ_Приложение_рус _2012-2014_29,30 2" xfId="3732" xr:uid="{00000000-0005-0000-0000-00009F020000}"/>
    <cellStyle name="_Приложение 02 русс на 16.04.2009 г. 1 сессия_Прилож.к бюдж 2010г._Копия Приложение_2010-2012 рус март_Приложение_пост_рус_авг_Пр 4     11.05.11. ИКС" xfId="303" xr:uid="{00000000-0005-0000-0000-0000A0020000}"/>
    <cellStyle name="_Приложение 02 русс на 16.04.2009 г. 1 сессия_Прилож.к бюдж 2010г._Копия Приложение_2010-2012 рус март_Приложение_пост_рус_авг_Пр 4     11.05.11. ИКС 2" xfId="3733" xr:uid="{00000000-0005-0000-0000-0000A1020000}"/>
    <cellStyle name="_Приложение 02 русс на 16.04.2009 г. 1 сессия_Прилож.к бюдж 2010г._Копия Приложение_2010-2012 рус март_Приложение_пост_рус_авг_Пр 4     11.05.11. ИКС_Приложение_рус _2012-2014_29,30" xfId="304" xr:uid="{00000000-0005-0000-0000-0000A2020000}"/>
    <cellStyle name="_Приложение 02 русс на 16.04.2009 г. 1 сессия_Прилож.к бюдж 2010г._Копия Приложение_2010-2012 рус март_Приложение_пост_рус_авг_Пр 4     11.05.11. ИКС_Приложение_рус _2012-2014_29,30 2" xfId="3734" xr:uid="{00000000-0005-0000-0000-0000A3020000}"/>
    <cellStyle name="_Приложение 02 русс на 16.04.2009 г. 1 сессия_Прилож.к бюдж 2010г._Копия Приложение_2010-2012 рус март_Приложение_пост_рус_авг_Приложение 4 русс,каз 16.03.11. посл" xfId="305" xr:uid="{00000000-0005-0000-0000-0000A4020000}"/>
    <cellStyle name="_Приложение 02 русс на 16.04.2009 г. 1 сессия_Прилож.к бюдж 2010г._Копия Приложение_2010-2012 рус март_Приложение_пост_рус_авг_Приложение 4 русс,каз 16.03.11. посл 2" xfId="3735" xr:uid="{00000000-0005-0000-0000-0000A5020000}"/>
    <cellStyle name="_Приложение 02 русс на 16.04.2009 г. 1 сессия_Прилож.к бюдж 2010г._Копия Приложение_2010-2012 рус март_Приложение_пост_рус_авг_Приложение 4 русс,каз 16.03.11. посл_Приложение_рус _2012-2014_29,30" xfId="306" xr:uid="{00000000-0005-0000-0000-0000A6020000}"/>
    <cellStyle name="_Приложение 02 русс на 16.04.2009 г. 1 сессия_Прилож.к бюдж 2010г._Копия Приложение_2010-2012 рус март_Приложение_пост_рус_авг_Приложение 4 русс,каз 16.03.11. посл_Приложение_рус _2012-2014_29,30 2" xfId="3736" xr:uid="{00000000-0005-0000-0000-0000A7020000}"/>
    <cellStyle name="_Приложение 02 русс на 16.04.2009 г. 1 сессия_Прилож.к бюдж 2010г._Копия Приложение_2010-2012 рус март_Приложение_пост_рус_авг_Приложение_реал_рус 2011-2013 Уточнение" xfId="307" xr:uid="{00000000-0005-0000-0000-0000A8020000}"/>
    <cellStyle name="_Приложение 02 русс на 16.04.2009 г. 1 сессия_Прилож.к бюдж 2010г._Копия Приложение_2010-2012 рус март_Приложение_пост_рус_авг_Приложение_реал_рус 2011-2013 Уточнение 2" xfId="3737" xr:uid="{00000000-0005-0000-0000-0000A9020000}"/>
    <cellStyle name="_Приложение 02 русс на 16.04.2009 г. 1 сессия_Прилож.к бюдж 2010г._Копия Приложение_2010-2012 рус март_Приложение_пост_рус_авг_Приложение_реал_рус 2011-2013 Уточнение_Приложение_рус _2012-2014_29,30" xfId="308" xr:uid="{00000000-0005-0000-0000-0000AA020000}"/>
    <cellStyle name="_Приложение 02 русс на 16.04.2009 г. 1 сессия_Прилож.к бюдж 2010г._Копия Приложение_2010-2012 рус март_Приложение_пост_рус_авг_Приложение_реал_рус 2011-2013 Уточнение_Приложение_рус _2012-2014_29,30 2" xfId="3738" xr:uid="{00000000-0005-0000-0000-0000AB020000}"/>
    <cellStyle name="_Приложение 02 русс на 16.04.2009 г. 1 сессия_Прилож.к бюдж 2010г._Копия Приложение_2010-2012 рус март_Приложение_пост_рус_авг_Приложение_рус _2012-2014_29,30" xfId="309" xr:uid="{00000000-0005-0000-0000-0000AC020000}"/>
    <cellStyle name="_Приложение 02 русс на 16.04.2009 г. 1 сессия_Прилож.к бюдж 2010г._Копия Приложение_2010-2012 рус март_Приложение_пост_рус_авг_Приложение_рус _2012-2014_29,30 2" xfId="3739" xr:uid="{00000000-0005-0000-0000-0000AD020000}"/>
    <cellStyle name="_Приложение 02 русс на 16.04.2009 г. 1 сессия_Прилож.к бюдж 2010г._Копия Приложение_2010-2012 рус март_Приложение_пост_рус_авг_приложения 2012 рус" xfId="310" xr:uid="{00000000-0005-0000-0000-0000AE020000}"/>
    <cellStyle name="_Приложение 02 русс на 16.04.2009 г. 1 сессия_Прилож.к бюдж 2010г._Копия Приложение_2010-2012 рус март_Приложение_пост_рус_авг_приложения 2012 рус 2" xfId="3740" xr:uid="{00000000-0005-0000-0000-0000AF020000}"/>
    <cellStyle name="_Приложение 02 русс на 16.04.2009 г. 1 сессия_Прилож.к бюдж 2010г._Копия Приложение_2010-2012 рус март_Приложение_реал_рус 2011-2013 Уточнение" xfId="311" xr:uid="{00000000-0005-0000-0000-0000B0020000}"/>
    <cellStyle name="_Приложение 02 русс на 16.04.2009 г. 1 сессия_Прилож.к бюдж 2010г._Копия Приложение_2010-2012 рус март_Приложение_реал_рус 2011-2013 Уточнение 2" xfId="3741" xr:uid="{00000000-0005-0000-0000-0000B1020000}"/>
    <cellStyle name="_Приложение 02 русс на 16.04.2009 г. 1 сессия_Прилож.к бюдж 2010г._Копия Приложение_2010-2012 рус март_Приложение_реал_рус 2011-2013 Уточнение_Приложение_рус _2012-2014_29,30" xfId="312" xr:uid="{00000000-0005-0000-0000-0000B2020000}"/>
    <cellStyle name="_Приложение 02 русс на 16.04.2009 г. 1 сессия_Прилож.к бюдж 2010г._Копия Приложение_2010-2012 рус март_Приложение_реал_рус 2011-2013 Уточнение_Приложение_рус _2012-2014_29,30 2" xfId="3742" xr:uid="{00000000-0005-0000-0000-0000B3020000}"/>
    <cellStyle name="_Приложение 02 русс на 16.04.2009 г. 1 сессия_Прилож.к бюдж 2010г._Копия Приложение_2010-2012 рус март_Приложение_рус _2012-2014_29,30" xfId="313" xr:uid="{00000000-0005-0000-0000-0000B4020000}"/>
    <cellStyle name="_Приложение 02 русс на 16.04.2009 г. 1 сессия_Прилож.к бюдж 2010г._Копия Приложение_2010-2012 рус март_Приложение_рус _2012-2014_29,30 2" xfId="3743" xr:uid="{00000000-0005-0000-0000-0000B5020000}"/>
    <cellStyle name="_Приложение 02 русс на 16.04.2009 г. 1 сессия_Прилож.к бюдж 2010г._Копия Приложение_2010-2012 рус март_приложения 2012 рус" xfId="314" xr:uid="{00000000-0005-0000-0000-0000B6020000}"/>
    <cellStyle name="_Приложение 02 русс на 16.04.2009 г. 1 сессия_Прилож.к бюдж 2010г._Копия Приложение_2010-2012 рус март_приложения 2012 рус 2" xfId="3744" xr:uid="{00000000-0005-0000-0000-0000B7020000}"/>
    <cellStyle name="_Приложение 02 русс на 16.04.2009 г. 1 сессия_Прилож.к бюдж 2010г._Пр 4     11.05.11. ИКС" xfId="315" xr:uid="{00000000-0005-0000-0000-0000B8020000}"/>
    <cellStyle name="_Приложение 02 русс на 16.04.2009 г. 1 сессия_Прилож.к бюдж 2010г._Пр 4     11.05.11. ИКС 2" xfId="3745" xr:uid="{00000000-0005-0000-0000-0000B9020000}"/>
    <cellStyle name="_Приложение 02 русс на 16.04.2009 г. 1 сессия_Прилож.к бюдж 2010г._Пр 4     11.05.11. ИКС_Приложение_рус _2012-2014_29,30" xfId="316" xr:uid="{00000000-0005-0000-0000-0000BA020000}"/>
    <cellStyle name="_Приложение 02 русс на 16.04.2009 г. 1 сессия_Прилож.к бюдж 2010г._Пр 4     11.05.11. ИКС_Приложение_рус _2012-2014_29,30 2" xfId="3746" xr:uid="{00000000-0005-0000-0000-0000BB020000}"/>
    <cellStyle name="_Приложение 02 русс на 16.04.2009 г. 1 сессия_Прилож.к бюдж 2010г._прил4р_к" xfId="317" xr:uid="{00000000-0005-0000-0000-0000BC020000}"/>
    <cellStyle name="_Приложение 02 русс на 16.04.2009 г. 1 сессия_Прилож.к бюдж 2010г._прил4р_к 2" xfId="318" xr:uid="{00000000-0005-0000-0000-0000BD020000}"/>
    <cellStyle name="_Приложение 02 русс на 16.04.2009 г. 1 сессия_Прилож.к бюдж 2010г._прил4р_к 2 2" xfId="3748" xr:uid="{00000000-0005-0000-0000-0000BE020000}"/>
    <cellStyle name="_Приложение 02 русс на 16.04.2009 г. 1 сессия_Прилож.к бюдж 2010г._прил4р_к 3" xfId="3747" xr:uid="{00000000-0005-0000-0000-0000BF020000}"/>
    <cellStyle name="_Приложение 02 русс на 16.04.2009 г. 1 сессия_Прилож.к бюдж 2010г._прил4р_к_Анализ" xfId="319" xr:uid="{00000000-0005-0000-0000-0000C0020000}"/>
    <cellStyle name="_Приложение 02 русс на 16.04.2009 г. 1 сессия_Прилож.к бюдж 2010г._прил4р_к_Анализ 2" xfId="3749" xr:uid="{00000000-0005-0000-0000-0000C1020000}"/>
    <cellStyle name="_Приложение 02 русс на 16.04.2009 г. 1 сессия_Прилож.к бюдж 2010г._прил4р_к_Анализ 3.03.2011г." xfId="2753" xr:uid="{00000000-0005-0000-0000-0000C2020000}"/>
    <cellStyle name="_Приложение 02 русс на 16.04.2009 г. 1 сессия_Прилож.к бюдж 2010г._прил4р_к_Анализ 6.03.2011г." xfId="2754" xr:uid="{00000000-0005-0000-0000-0000C3020000}"/>
    <cellStyle name="_Приложение 02 русс на 16.04.2009 г. 1 сессия_Прилож.к бюдж 2010г._прил4р_к_Анализ 9.03.2011г." xfId="2755" xr:uid="{00000000-0005-0000-0000-0000C4020000}"/>
    <cellStyle name="_Приложение 02 русс на 16.04.2009 г. 1 сессия_Прилож.к бюдж 2010г._прил4р_к_Анализ_Приложение_рус _2012-2014_29,30" xfId="320" xr:uid="{00000000-0005-0000-0000-0000C5020000}"/>
    <cellStyle name="_Приложение 02 русс на 16.04.2009 г. 1 сессия_Прилож.к бюдж 2010г._прил4р_к_Анализ_Приложение_рус _2012-2014_29,30 2" xfId="3750" xr:uid="{00000000-0005-0000-0000-0000C6020000}"/>
    <cellStyle name="_Приложение 02 русс на 16.04.2009 г. 1 сессия_Прилож.к бюдж 2010г._прил4р_к_Пр 4     11.05.11. ИКС" xfId="321" xr:uid="{00000000-0005-0000-0000-0000C7020000}"/>
    <cellStyle name="_Приложение 02 русс на 16.04.2009 г. 1 сессия_Прилож.к бюдж 2010г._прил4р_к_Пр 4     11.05.11. ИКС 2" xfId="3751" xr:uid="{00000000-0005-0000-0000-0000C8020000}"/>
    <cellStyle name="_Приложение 02 русс на 16.04.2009 г. 1 сессия_Прилож.к бюдж 2010г._прил4р_к_Пр 4     11.05.11. ИКС_Приложение_рус _2012-2014_29,30" xfId="322" xr:uid="{00000000-0005-0000-0000-0000C9020000}"/>
    <cellStyle name="_Приложение 02 русс на 16.04.2009 г. 1 сессия_Прилож.к бюдж 2010г._прил4р_к_Пр 4     11.05.11. ИКС_Приложение_рус _2012-2014_29,30 2" xfId="3752" xr:uid="{00000000-0005-0000-0000-0000CA020000}"/>
    <cellStyle name="_Приложение 02 русс на 16.04.2009 г. 1 сессия_Прилож.к бюдж 2010г._прил4р_к_Приложение 4 русс,каз 16.03.11. посл" xfId="323" xr:uid="{00000000-0005-0000-0000-0000CB020000}"/>
    <cellStyle name="_Приложение 02 русс на 16.04.2009 г. 1 сессия_Прилож.к бюдж 2010г._прил4р_к_Приложение 4 русс,каз 16.03.11. посл 2" xfId="3753" xr:uid="{00000000-0005-0000-0000-0000CC020000}"/>
    <cellStyle name="_Приложение 02 русс на 16.04.2009 г. 1 сессия_Прилож.к бюдж 2010г._прил4р_к_Приложение 4 русс,каз 16.03.11. посл_Приложение_рус _2012-2014_29,30" xfId="324" xr:uid="{00000000-0005-0000-0000-0000CD020000}"/>
    <cellStyle name="_Приложение 02 русс на 16.04.2009 г. 1 сессия_Прилож.к бюдж 2010г._прил4р_к_Приложение 4 русс,каз 16.03.11. посл_Приложение_рус _2012-2014_29,30 2" xfId="3754" xr:uid="{00000000-0005-0000-0000-0000CE020000}"/>
    <cellStyle name="_Приложение 02 русс на 16.04.2009 г. 1 сессия_Прилож.к бюдж 2010г._прил4р_к_Приложение_пост_каз_авг" xfId="325" xr:uid="{00000000-0005-0000-0000-0000CF020000}"/>
    <cellStyle name="_Приложение 02 русс на 16.04.2009 г. 1 сессия_Прилож.к бюдж 2010г._прил4р_к_Приложение_пост_каз_авг 2" xfId="3755" xr:uid="{00000000-0005-0000-0000-0000D0020000}"/>
    <cellStyle name="_Приложение 02 русс на 16.04.2009 г. 1 сессия_Прилож.к бюдж 2010г._прил4р_к_Приложение_пост_каз_авг_Анализ" xfId="326" xr:uid="{00000000-0005-0000-0000-0000D1020000}"/>
    <cellStyle name="_Приложение 02 русс на 16.04.2009 г. 1 сессия_Прилож.к бюдж 2010г._прил4р_к_Приложение_пост_каз_авг_Анализ 2" xfId="3756" xr:uid="{00000000-0005-0000-0000-0000D2020000}"/>
    <cellStyle name="_Приложение 02 русс на 16.04.2009 г. 1 сессия_Прилож.к бюдж 2010г._прил4р_к_Приложение_пост_каз_авг_Анализ 3.03.2011г." xfId="2756" xr:uid="{00000000-0005-0000-0000-0000D3020000}"/>
    <cellStyle name="_Приложение 02 русс на 16.04.2009 г. 1 сессия_Прилож.к бюдж 2010г._прил4р_к_Приложение_пост_каз_авг_Анализ 6.03.2011г." xfId="2757" xr:uid="{00000000-0005-0000-0000-0000D4020000}"/>
    <cellStyle name="_Приложение 02 русс на 16.04.2009 г. 1 сессия_Прилож.к бюдж 2010г._прил4р_к_Приложение_пост_каз_авг_Анализ 9.03.2011г." xfId="2758" xr:uid="{00000000-0005-0000-0000-0000D5020000}"/>
    <cellStyle name="_Приложение 02 русс на 16.04.2009 г. 1 сессия_Прилож.к бюдж 2010г._прил4р_к_Приложение_пост_каз_авг_Анализ_Приложение_рус _2012-2014_29,30" xfId="327" xr:uid="{00000000-0005-0000-0000-0000D6020000}"/>
    <cellStyle name="_Приложение 02 русс на 16.04.2009 г. 1 сессия_Прилож.к бюдж 2010г._прил4р_к_Приложение_пост_каз_авг_Анализ_Приложение_рус _2012-2014_29,30 2" xfId="3757" xr:uid="{00000000-0005-0000-0000-0000D7020000}"/>
    <cellStyle name="_Приложение 02 русс на 16.04.2009 г. 1 сессия_Прилож.к бюдж 2010г._прил4р_к_Приложение_пост_каз_авг_Пр 4     11.05.11. ИКС" xfId="328" xr:uid="{00000000-0005-0000-0000-0000D8020000}"/>
    <cellStyle name="_Приложение 02 русс на 16.04.2009 г. 1 сессия_Прилож.к бюдж 2010г._прил4р_к_Приложение_пост_каз_авг_Пр 4     11.05.11. ИКС 2" xfId="3758" xr:uid="{00000000-0005-0000-0000-0000D9020000}"/>
    <cellStyle name="_Приложение 02 русс на 16.04.2009 г. 1 сессия_Прилож.к бюдж 2010г._прил4р_к_Приложение_пост_каз_авг_Пр 4     11.05.11. ИКС_Приложение_рус _2012-2014_29,30" xfId="329" xr:uid="{00000000-0005-0000-0000-0000DA020000}"/>
    <cellStyle name="_Приложение 02 русс на 16.04.2009 г. 1 сессия_Прилож.к бюдж 2010г._прил4р_к_Приложение_пост_каз_авг_Пр 4     11.05.11. ИКС_Приложение_рус _2012-2014_29,30 2" xfId="3759" xr:uid="{00000000-0005-0000-0000-0000DB020000}"/>
    <cellStyle name="_Приложение 02 русс на 16.04.2009 г. 1 сессия_Прилож.к бюдж 2010г._прил4р_к_Приложение_пост_каз_авг_Приложение 4 русс,каз 16.03.11. посл" xfId="330" xr:uid="{00000000-0005-0000-0000-0000DC020000}"/>
    <cellStyle name="_Приложение 02 русс на 16.04.2009 г. 1 сессия_Прилож.к бюдж 2010г._прил4р_к_Приложение_пост_каз_авг_Приложение 4 русс,каз 16.03.11. посл 2" xfId="3760" xr:uid="{00000000-0005-0000-0000-0000DD020000}"/>
    <cellStyle name="_Приложение 02 русс на 16.04.2009 г. 1 сессия_Прилож.к бюдж 2010г._прил4р_к_Приложение_пост_каз_авг_Приложение 4 русс,каз 16.03.11. посл_Приложение_рус _2012-2014_29,30" xfId="331" xr:uid="{00000000-0005-0000-0000-0000DE020000}"/>
    <cellStyle name="_Приложение 02 русс на 16.04.2009 г. 1 сессия_Прилож.к бюдж 2010г._прил4р_к_Приложение_пост_каз_авг_Приложение 4 русс,каз 16.03.11. посл_Приложение_рус _2012-2014_29,30 2" xfId="3761" xr:uid="{00000000-0005-0000-0000-0000DF020000}"/>
    <cellStyle name="_Приложение 02 русс на 16.04.2009 г. 1 сессия_Прилож.к бюдж 2010г._прил4р_к_Приложение_пост_каз_авг_Приложение_реал_рус 2011-2013 Уточнение" xfId="332" xr:uid="{00000000-0005-0000-0000-0000E0020000}"/>
    <cellStyle name="_Приложение 02 русс на 16.04.2009 г. 1 сессия_Прилож.к бюдж 2010г._прил4р_к_Приложение_пост_каз_авг_Приложение_реал_рус 2011-2013 Уточнение 2" xfId="3762" xr:uid="{00000000-0005-0000-0000-0000E1020000}"/>
    <cellStyle name="_Приложение 02 русс на 16.04.2009 г. 1 сессия_Прилож.к бюдж 2010г._прил4р_к_Приложение_пост_каз_авг_Приложение_реал_рус 2011-2013 Уточнение_Приложение_рус _2012-2014_29,30" xfId="333" xr:uid="{00000000-0005-0000-0000-0000E2020000}"/>
    <cellStyle name="_Приложение 02 русс на 16.04.2009 г. 1 сессия_Прилож.к бюдж 2010г._прил4р_к_Приложение_пост_каз_авг_Приложение_реал_рус 2011-2013 Уточнение_Приложение_рус _2012-2014_29,30 2" xfId="3763" xr:uid="{00000000-0005-0000-0000-0000E3020000}"/>
    <cellStyle name="_Приложение 02 русс на 16.04.2009 г. 1 сессия_Прилож.к бюдж 2010г._прил4р_к_Приложение_пост_каз_авг_Приложение_рус _2012-2014_29,30" xfId="334" xr:uid="{00000000-0005-0000-0000-0000E4020000}"/>
    <cellStyle name="_Приложение 02 русс на 16.04.2009 г. 1 сессия_Прилож.к бюдж 2010г._прил4р_к_Приложение_пост_каз_авг_Приложение_рус _2012-2014_29,30 2" xfId="3764" xr:uid="{00000000-0005-0000-0000-0000E5020000}"/>
    <cellStyle name="_Приложение 02 русс на 16.04.2009 г. 1 сессия_Прилож.к бюдж 2010г._прил4р_к_Приложение_пост_каз_авг_приложения 2012 рус" xfId="335" xr:uid="{00000000-0005-0000-0000-0000E6020000}"/>
    <cellStyle name="_Приложение 02 русс на 16.04.2009 г. 1 сессия_Прилож.к бюдж 2010г._прил4р_к_Приложение_пост_каз_авг_приложения 2012 рус 2" xfId="3765" xr:uid="{00000000-0005-0000-0000-0000E7020000}"/>
    <cellStyle name="_Приложение 02 русс на 16.04.2009 г. 1 сессия_Прилож.к бюдж 2010г._прил4р_к_Приложение_пост_рус_авг" xfId="336" xr:uid="{00000000-0005-0000-0000-0000E8020000}"/>
    <cellStyle name="_Приложение 02 русс на 16.04.2009 г. 1 сессия_Прилож.к бюдж 2010г._прил4р_к_Приложение_пост_рус_авг 2" xfId="3766" xr:uid="{00000000-0005-0000-0000-0000E9020000}"/>
    <cellStyle name="_Приложение 02 русс на 16.04.2009 г. 1 сессия_Прилож.к бюдж 2010г._прил4р_к_Приложение_пост_рус_авг_Анализ" xfId="337" xr:uid="{00000000-0005-0000-0000-0000EA020000}"/>
    <cellStyle name="_Приложение 02 русс на 16.04.2009 г. 1 сессия_Прилож.к бюдж 2010г._прил4р_к_Приложение_пост_рус_авг_Анализ 2" xfId="3767" xr:uid="{00000000-0005-0000-0000-0000EB020000}"/>
    <cellStyle name="_Приложение 02 русс на 16.04.2009 г. 1 сессия_Прилож.к бюдж 2010г._прил4р_к_Приложение_пост_рус_авг_Анализ 3.03.2011г." xfId="2759" xr:uid="{00000000-0005-0000-0000-0000EC020000}"/>
    <cellStyle name="_Приложение 02 русс на 16.04.2009 г. 1 сессия_Прилож.к бюдж 2010г._прил4р_к_Приложение_пост_рус_авг_Анализ 6.03.2011г." xfId="2760" xr:uid="{00000000-0005-0000-0000-0000ED020000}"/>
    <cellStyle name="_Приложение 02 русс на 16.04.2009 г. 1 сессия_Прилож.к бюдж 2010г._прил4р_к_Приложение_пост_рус_авг_Анализ 9.03.2011г." xfId="2761" xr:uid="{00000000-0005-0000-0000-0000EE020000}"/>
    <cellStyle name="_Приложение 02 русс на 16.04.2009 г. 1 сессия_Прилож.к бюдж 2010г._прил4р_к_Приложение_пост_рус_авг_Анализ_Приложение_рус _2012-2014_29,30" xfId="338" xr:uid="{00000000-0005-0000-0000-0000EF020000}"/>
    <cellStyle name="_Приложение 02 русс на 16.04.2009 г. 1 сессия_Прилож.к бюдж 2010г._прил4р_к_Приложение_пост_рус_авг_Анализ_Приложение_рус _2012-2014_29,30 2" xfId="3768" xr:uid="{00000000-0005-0000-0000-0000F0020000}"/>
    <cellStyle name="_Приложение 02 русс на 16.04.2009 г. 1 сессия_Прилож.к бюдж 2010г._прил4р_к_Приложение_пост_рус_авг_Пр 4     11.05.11. ИКС" xfId="339" xr:uid="{00000000-0005-0000-0000-0000F1020000}"/>
    <cellStyle name="_Приложение 02 русс на 16.04.2009 г. 1 сессия_Прилож.к бюдж 2010г._прил4р_к_Приложение_пост_рус_авг_Пр 4     11.05.11. ИКС 2" xfId="3769" xr:uid="{00000000-0005-0000-0000-0000F2020000}"/>
    <cellStyle name="_Приложение 02 русс на 16.04.2009 г. 1 сессия_Прилож.к бюдж 2010г._прил4р_к_Приложение_пост_рус_авг_Пр 4     11.05.11. ИКС_Приложение_рус _2012-2014_29,30" xfId="340" xr:uid="{00000000-0005-0000-0000-0000F3020000}"/>
    <cellStyle name="_Приложение 02 русс на 16.04.2009 г. 1 сессия_Прилож.к бюдж 2010г._прил4р_к_Приложение_пост_рус_авг_Пр 4     11.05.11. ИКС_Приложение_рус _2012-2014_29,30 2" xfId="3770" xr:uid="{00000000-0005-0000-0000-0000F4020000}"/>
    <cellStyle name="_Приложение 02 русс на 16.04.2009 г. 1 сессия_Прилож.к бюдж 2010г._прил4р_к_Приложение_пост_рус_авг_Приложение 4 русс,каз 16.03.11. посл" xfId="341" xr:uid="{00000000-0005-0000-0000-0000F5020000}"/>
    <cellStyle name="_Приложение 02 русс на 16.04.2009 г. 1 сессия_Прилож.к бюдж 2010г._прил4р_к_Приложение_пост_рус_авг_Приложение 4 русс,каз 16.03.11. посл 2" xfId="3771" xr:uid="{00000000-0005-0000-0000-0000F6020000}"/>
    <cellStyle name="_Приложение 02 русс на 16.04.2009 г. 1 сессия_Прилож.к бюдж 2010г._прил4р_к_Приложение_пост_рус_авг_Приложение 4 русс,каз 16.03.11. посл_Приложение_рус _2012-2014_29,30" xfId="342" xr:uid="{00000000-0005-0000-0000-0000F7020000}"/>
    <cellStyle name="_Приложение 02 русс на 16.04.2009 г. 1 сессия_Прилож.к бюдж 2010г._прил4р_к_Приложение_пост_рус_авг_Приложение 4 русс,каз 16.03.11. посл_Приложение_рус _2012-2014_29,30 2" xfId="3772" xr:uid="{00000000-0005-0000-0000-0000F8020000}"/>
    <cellStyle name="_Приложение 02 русс на 16.04.2009 г. 1 сессия_Прилож.к бюдж 2010г._прил4р_к_Приложение_пост_рус_авг_Приложение_реал_рус 2011-2013 Уточнение" xfId="343" xr:uid="{00000000-0005-0000-0000-0000F9020000}"/>
    <cellStyle name="_Приложение 02 русс на 16.04.2009 г. 1 сессия_Прилож.к бюдж 2010г._прил4р_к_Приложение_пост_рус_авг_Приложение_реал_рус 2011-2013 Уточнение 2" xfId="3773" xr:uid="{00000000-0005-0000-0000-0000FA020000}"/>
    <cellStyle name="_Приложение 02 русс на 16.04.2009 г. 1 сессия_Прилож.к бюдж 2010г._прил4р_к_Приложение_пост_рус_авг_Приложение_реал_рус 2011-2013 Уточнение_Приложение_рус _2012-2014_29,30" xfId="344" xr:uid="{00000000-0005-0000-0000-0000FB020000}"/>
    <cellStyle name="_Приложение 02 русс на 16.04.2009 г. 1 сессия_Прилож.к бюдж 2010г._прил4р_к_Приложение_пост_рус_авг_Приложение_реал_рус 2011-2013 Уточнение_Приложение_рус _2012-2014_29,30 2" xfId="3774" xr:uid="{00000000-0005-0000-0000-0000FC020000}"/>
    <cellStyle name="_Приложение 02 русс на 16.04.2009 г. 1 сессия_Прилож.к бюдж 2010г._прил4р_к_Приложение_пост_рус_авг_Приложение_рус _2012-2014_29,30" xfId="345" xr:uid="{00000000-0005-0000-0000-0000FD020000}"/>
    <cellStyle name="_Приложение 02 русс на 16.04.2009 г. 1 сессия_Прилож.к бюдж 2010г._прил4р_к_Приложение_пост_рус_авг_Приложение_рус _2012-2014_29,30 2" xfId="3775" xr:uid="{00000000-0005-0000-0000-0000FE020000}"/>
    <cellStyle name="_Приложение 02 русс на 16.04.2009 г. 1 сессия_Прилож.к бюдж 2010г._прил4р_к_Приложение_пост_рус_авг_приложения 2012 рус" xfId="346" xr:uid="{00000000-0005-0000-0000-0000FF020000}"/>
    <cellStyle name="_Приложение 02 русс на 16.04.2009 г. 1 сессия_Прилож.к бюдж 2010г._прил4р_к_Приложение_пост_рус_авг_приложения 2012 рус 2" xfId="3776" xr:uid="{00000000-0005-0000-0000-000000030000}"/>
    <cellStyle name="_Приложение 02 русс на 16.04.2009 г. 1 сессия_Прилож.к бюдж 2010г._прил4р_к_Приложение_реал_рус 2011-2013 Уточнение" xfId="347" xr:uid="{00000000-0005-0000-0000-000001030000}"/>
    <cellStyle name="_Приложение 02 русс на 16.04.2009 г. 1 сессия_Прилож.к бюдж 2010г._прил4р_к_Приложение_реал_рус 2011-2013 Уточнение 2" xfId="3777" xr:uid="{00000000-0005-0000-0000-000002030000}"/>
    <cellStyle name="_Приложение 02 русс на 16.04.2009 г. 1 сессия_Прилож.к бюдж 2010г._прил4р_к_Приложение_реал_рус 2011-2013 Уточнение_Приложение_рус _2012-2014_29,30" xfId="348" xr:uid="{00000000-0005-0000-0000-000003030000}"/>
    <cellStyle name="_Приложение 02 русс на 16.04.2009 г. 1 сессия_Прилож.к бюдж 2010г._прил4р_к_Приложение_реал_рус 2011-2013 Уточнение_Приложение_рус _2012-2014_29,30 2" xfId="3778" xr:uid="{00000000-0005-0000-0000-000004030000}"/>
    <cellStyle name="_Приложение 02 русс на 16.04.2009 г. 1 сессия_Прилож.к бюдж 2010г._прил4р_к_Приложение_рус _2012-2014_29,30" xfId="349" xr:uid="{00000000-0005-0000-0000-000005030000}"/>
    <cellStyle name="_Приложение 02 русс на 16.04.2009 г. 1 сессия_Прилож.к бюдж 2010г._прил4р_к_Приложение_рус _2012-2014_29,30 2" xfId="3779" xr:uid="{00000000-0005-0000-0000-000006030000}"/>
    <cellStyle name="_Приложение 02 русс на 16.04.2009 г. 1 сессия_Прилож.к бюдж 2010г._прил4р_к_приложения 2012 рус" xfId="350" xr:uid="{00000000-0005-0000-0000-000007030000}"/>
    <cellStyle name="_Приложение 02 русс на 16.04.2009 г. 1 сессия_Прилож.к бюдж 2010г._прил4р_к_приложения 2012 рус 2" xfId="3780" xr:uid="{00000000-0005-0000-0000-000008030000}"/>
    <cellStyle name="_Приложение 02 русс на 16.04.2009 г. 1 сессия_Прилож.к бюдж 2010г._Приложение 4 русс,каз 16.03.11. посл" xfId="351" xr:uid="{00000000-0005-0000-0000-000009030000}"/>
    <cellStyle name="_Приложение 02 русс на 16.04.2009 г. 1 сессия_Прилож.к бюдж 2010г._Приложение 4 русс,каз 16.03.11. посл 2" xfId="3781" xr:uid="{00000000-0005-0000-0000-00000A030000}"/>
    <cellStyle name="_Приложение 02 русс на 16.04.2009 г. 1 сессия_Прилож.к бюдж 2010г._Приложение 4 русс,каз 16.03.11. посл_Приложение_рус _2012-2014_29,30" xfId="352" xr:uid="{00000000-0005-0000-0000-00000B030000}"/>
    <cellStyle name="_Приложение 02 русс на 16.04.2009 г. 1 сессия_Прилож.к бюдж 2010г._Приложение 4 русс,каз 16.03.11. посл_Приложение_рус _2012-2014_29,30 2" xfId="3782" xr:uid="{00000000-0005-0000-0000-00000C030000}"/>
    <cellStyle name="_Приложение 02 русс на 16.04.2009 г. 1 сессия_Прилож.к бюдж 2010г._Приложение_2010-2012 каз 04.08.10_ДК-2020" xfId="353" xr:uid="{00000000-0005-0000-0000-00000D030000}"/>
    <cellStyle name="_Приложение 02 русс на 16.04.2009 г. 1 сессия_Прилож.к бюдж 2010г._Приложение_2010-2012 каз 04.08.10_ДК-2020 2" xfId="3783" xr:uid="{00000000-0005-0000-0000-00000E030000}"/>
    <cellStyle name="_Приложение 02 русс на 16.04.2009 г. 1 сессия_Прилож.к бюдж 2010г._Приложение_2010-2012 каз 04.08.10_ДК-2020_Анализ" xfId="354" xr:uid="{00000000-0005-0000-0000-00000F030000}"/>
    <cellStyle name="_Приложение 02 русс на 16.04.2009 г. 1 сессия_Прилож.к бюдж 2010г._Приложение_2010-2012 каз 04.08.10_ДК-2020_Анализ 2" xfId="3784" xr:uid="{00000000-0005-0000-0000-000010030000}"/>
    <cellStyle name="_Приложение 02 русс на 16.04.2009 г. 1 сессия_Прилож.к бюдж 2010г._Приложение_2010-2012 каз 04.08.10_ДК-2020_Анализ 3.03.2011г." xfId="2762" xr:uid="{00000000-0005-0000-0000-000011030000}"/>
    <cellStyle name="_Приложение 02 русс на 16.04.2009 г. 1 сессия_Прилож.к бюдж 2010г._Приложение_2010-2012 каз 04.08.10_ДК-2020_Анализ 6.03.2011г." xfId="2763" xr:uid="{00000000-0005-0000-0000-000012030000}"/>
    <cellStyle name="_Приложение 02 русс на 16.04.2009 г. 1 сессия_Прилож.к бюдж 2010г._Приложение_2010-2012 каз 04.08.10_ДК-2020_Анализ 9.03.2011г." xfId="2764" xr:uid="{00000000-0005-0000-0000-000013030000}"/>
    <cellStyle name="_Приложение 02 русс на 16.04.2009 г. 1 сессия_Прилож.к бюдж 2010г._Приложение_2010-2012 каз 04.08.10_ДК-2020_Анализ_Приложение_рус _2012-2014_29,30" xfId="355" xr:uid="{00000000-0005-0000-0000-000014030000}"/>
    <cellStyle name="_Приложение 02 русс на 16.04.2009 г. 1 сессия_Прилож.к бюдж 2010г._Приложение_2010-2012 каз 04.08.10_ДК-2020_Анализ_Приложение_рус _2012-2014_29,30 2" xfId="3785" xr:uid="{00000000-0005-0000-0000-000015030000}"/>
    <cellStyle name="_Приложение 02 русс на 16.04.2009 г. 1 сессия_Прилож.к бюдж 2010г._Приложение_2010-2012 каз 04.08.10_ДК-2020_Пр 4     11.05.11. ИКС" xfId="356" xr:uid="{00000000-0005-0000-0000-000016030000}"/>
    <cellStyle name="_Приложение 02 русс на 16.04.2009 г. 1 сессия_Прилож.к бюдж 2010г._Приложение_2010-2012 каз 04.08.10_ДК-2020_Пр 4     11.05.11. ИКС 2" xfId="3786" xr:uid="{00000000-0005-0000-0000-000017030000}"/>
    <cellStyle name="_Приложение 02 русс на 16.04.2009 г. 1 сессия_Прилож.к бюдж 2010г._Приложение_2010-2012 каз 04.08.10_ДК-2020_Пр 4     11.05.11. ИКС_Приложение_рус _2012-2014_29,30" xfId="357" xr:uid="{00000000-0005-0000-0000-000018030000}"/>
    <cellStyle name="_Приложение 02 русс на 16.04.2009 г. 1 сессия_Прилож.к бюдж 2010г._Приложение_2010-2012 каз 04.08.10_ДК-2020_Пр 4     11.05.11. ИКС_Приложение_рус _2012-2014_29,30 2" xfId="3787" xr:uid="{00000000-0005-0000-0000-000019030000}"/>
    <cellStyle name="_Приложение 02 русс на 16.04.2009 г. 1 сессия_Прилож.к бюдж 2010г._Приложение_2010-2012 каз 04.08.10_ДК-2020_Приложение 4 русс,каз 16.03.11. посл" xfId="358" xr:uid="{00000000-0005-0000-0000-00001A030000}"/>
    <cellStyle name="_Приложение 02 русс на 16.04.2009 г. 1 сессия_Прилож.к бюдж 2010г._Приложение_2010-2012 каз 04.08.10_ДК-2020_Приложение 4 русс,каз 16.03.11. посл 2" xfId="3788" xr:uid="{00000000-0005-0000-0000-00001B030000}"/>
    <cellStyle name="_Приложение 02 русс на 16.04.2009 г. 1 сессия_Прилож.к бюдж 2010г._Приложение_2010-2012 каз 04.08.10_ДК-2020_Приложение 4 русс,каз 16.03.11. посл_Приложение_рус _2012-2014_29,30" xfId="359" xr:uid="{00000000-0005-0000-0000-00001C030000}"/>
    <cellStyle name="_Приложение 02 русс на 16.04.2009 г. 1 сессия_Прилож.к бюдж 2010г._Приложение_2010-2012 каз 04.08.10_ДК-2020_Приложение 4 русс,каз 16.03.11. посл_Приложение_рус _2012-2014_29,30 2" xfId="3789" xr:uid="{00000000-0005-0000-0000-00001D030000}"/>
    <cellStyle name="_Приложение 02 русс на 16.04.2009 г. 1 сессия_Прилож.к бюдж 2010г._Приложение_2010-2012 каз 04.08.10_ДК-2020_Приложение_реал_рус 2011-2013 Уточнение" xfId="360" xr:uid="{00000000-0005-0000-0000-00001E030000}"/>
    <cellStyle name="_Приложение 02 русс на 16.04.2009 г. 1 сессия_Прилож.к бюдж 2010г._Приложение_2010-2012 каз 04.08.10_ДК-2020_Приложение_реал_рус 2011-2013 Уточнение 2" xfId="3790" xr:uid="{00000000-0005-0000-0000-00001F030000}"/>
    <cellStyle name="_Приложение 02 русс на 16.04.2009 г. 1 сессия_Прилож.к бюдж 2010г._Приложение_2010-2012 каз 04.08.10_ДК-2020_Приложение_реал_рус 2011-2013 Уточнение_Приложение_рус _2012-2014_29,30" xfId="361" xr:uid="{00000000-0005-0000-0000-000020030000}"/>
    <cellStyle name="_Приложение 02 русс на 16.04.2009 г. 1 сессия_Прилож.к бюдж 2010г._Приложение_2010-2012 каз 04.08.10_ДК-2020_Приложение_реал_рус 2011-2013 Уточнение_Приложение_рус _2012-2014_29,30 2" xfId="3791" xr:uid="{00000000-0005-0000-0000-000021030000}"/>
    <cellStyle name="_Приложение 02 русс на 16.04.2009 г. 1 сессия_Прилож.к бюдж 2010г._Приложение_2010-2012 каз 04.08.10_ДК-2020_Приложение_рус _2012-2014_29,30" xfId="362" xr:uid="{00000000-0005-0000-0000-000022030000}"/>
    <cellStyle name="_Приложение 02 русс на 16.04.2009 г. 1 сессия_Прилож.к бюдж 2010г._Приложение_2010-2012 каз 04.08.10_ДК-2020_Приложение_рус _2012-2014_29,30 2" xfId="3792" xr:uid="{00000000-0005-0000-0000-000023030000}"/>
    <cellStyle name="_Приложение 02 русс на 16.04.2009 г. 1 сессия_Прилож.к бюдж 2010г._Приложение_2010-2012 каз 04.08.10_ДК-2020_приложения 2012 рус" xfId="363" xr:uid="{00000000-0005-0000-0000-000024030000}"/>
    <cellStyle name="_Приложение 02 русс на 16.04.2009 г. 1 сессия_Прилож.к бюдж 2010г._Приложение_2010-2012 каз 04.08.10_ДК-2020_приложения 2012 рус 2" xfId="3793" xr:uid="{00000000-0005-0000-0000-000025030000}"/>
    <cellStyle name="_Приложение 02 русс на 16.04.2009 г. 1 сессия_Прилож.к бюдж 2010г._Приложение_2010-2012 каз_март" xfId="364" xr:uid="{00000000-0005-0000-0000-000026030000}"/>
    <cellStyle name="_Приложение 02 русс на 16.04.2009 г. 1 сессия_Прилож.к бюдж 2010г._Приложение_2010-2012 каз_март 2" xfId="365" xr:uid="{00000000-0005-0000-0000-000027030000}"/>
    <cellStyle name="_Приложение 02 русс на 16.04.2009 г. 1 сессия_Прилож.к бюдж 2010г._Приложение_2010-2012 каз_март 2 2" xfId="3795" xr:uid="{00000000-0005-0000-0000-000028030000}"/>
    <cellStyle name="_Приложение 02 русс на 16.04.2009 г. 1 сессия_Прилож.к бюдж 2010г._Приложение_2010-2012 каз_март 3" xfId="3794" xr:uid="{00000000-0005-0000-0000-000029030000}"/>
    <cellStyle name="_Приложение 02 русс на 16.04.2009 г. 1 сессия_Прилож.к бюдж 2010г._Приложение_2010-2012 каз_март_Анализ" xfId="366" xr:uid="{00000000-0005-0000-0000-00002A030000}"/>
    <cellStyle name="_Приложение 02 русс на 16.04.2009 г. 1 сессия_Прилож.к бюдж 2010г._Приложение_2010-2012 каз_март_Анализ 2" xfId="3796" xr:uid="{00000000-0005-0000-0000-00002B030000}"/>
    <cellStyle name="_Приложение 02 русс на 16.04.2009 г. 1 сессия_Прилож.к бюдж 2010г._Приложение_2010-2012 каз_март_Анализ 3.03.2011г." xfId="2765" xr:uid="{00000000-0005-0000-0000-00002C030000}"/>
    <cellStyle name="_Приложение 02 русс на 16.04.2009 г. 1 сессия_Прилож.к бюдж 2010г._Приложение_2010-2012 каз_март_Анализ 6.03.2011г." xfId="2766" xr:uid="{00000000-0005-0000-0000-00002D030000}"/>
    <cellStyle name="_Приложение 02 русс на 16.04.2009 г. 1 сессия_Прилож.к бюдж 2010г._Приложение_2010-2012 каз_март_Анализ 9.03.2011г." xfId="2767" xr:uid="{00000000-0005-0000-0000-00002E030000}"/>
    <cellStyle name="_Приложение 02 русс на 16.04.2009 г. 1 сессия_Прилож.к бюдж 2010г._Приложение_2010-2012 каз_март_Анализ_Приложение_рус _2012-2014_29,30" xfId="367" xr:uid="{00000000-0005-0000-0000-00002F030000}"/>
    <cellStyle name="_Приложение 02 русс на 16.04.2009 г. 1 сессия_Прилож.к бюдж 2010г._Приложение_2010-2012 каз_март_Анализ_Приложение_рус _2012-2014_29,30 2" xfId="3797" xr:uid="{00000000-0005-0000-0000-000030030000}"/>
    <cellStyle name="_Приложение 02 русс на 16.04.2009 г. 1 сессия_Прилож.к бюдж 2010г._Приложение_2010-2012 каз_март_Пр 4     11.05.11. ИКС" xfId="368" xr:uid="{00000000-0005-0000-0000-000031030000}"/>
    <cellStyle name="_Приложение 02 русс на 16.04.2009 г. 1 сессия_Прилож.к бюдж 2010г._Приложение_2010-2012 каз_март_Пр 4     11.05.11. ИКС 2" xfId="3798" xr:uid="{00000000-0005-0000-0000-000032030000}"/>
    <cellStyle name="_Приложение 02 русс на 16.04.2009 г. 1 сессия_Прилож.к бюдж 2010г._Приложение_2010-2012 каз_март_Пр 4     11.05.11. ИКС_Приложение_рус _2012-2014_29,30" xfId="369" xr:uid="{00000000-0005-0000-0000-000033030000}"/>
    <cellStyle name="_Приложение 02 русс на 16.04.2009 г. 1 сессия_Прилож.к бюдж 2010г._Приложение_2010-2012 каз_март_Пр 4     11.05.11. ИКС_Приложение_рус _2012-2014_29,30 2" xfId="3799" xr:uid="{00000000-0005-0000-0000-000034030000}"/>
    <cellStyle name="_Приложение 02 русс на 16.04.2009 г. 1 сессия_Прилож.к бюдж 2010г._Приложение_2010-2012 каз_март_Приложение 4 русс,каз 16.03.11. посл" xfId="370" xr:uid="{00000000-0005-0000-0000-000035030000}"/>
    <cellStyle name="_Приложение 02 русс на 16.04.2009 г. 1 сессия_Прилож.к бюдж 2010г._Приложение_2010-2012 каз_март_Приложение 4 русс,каз 16.03.11. посл 2" xfId="3800" xr:uid="{00000000-0005-0000-0000-000036030000}"/>
    <cellStyle name="_Приложение 02 русс на 16.04.2009 г. 1 сессия_Прилож.к бюдж 2010г._Приложение_2010-2012 каз_март_Приложение 4 русс,каз 16.03.11. посл_Приложение_рус _2012-2014_29,30" xfId="371" xr:uid="{00000000-0005-0000-0000-000037030000}"/>
    <cellStyle name="_Приложение 02 русс на 16.04.2009 г. 1 сессия_Прилож.к бюдж 2010г._Приложение_2010-2012 каз_март_Приложение 4 русс,каз 16.03.11. посл_Приложение_рус _2012-2014_29,30 2" xfId="3801" xr:uid="{00000000-0005-0000-0000-000038030000}"/>
    <cellStyle name="_Приложение 02 русс на 16.04.2009 г. 1 сессия_Прилож.к бюдж 2010г._Приложение_2010-2012 каз_март_Приложение_пост_каз_авг" xfId="372" xr:uid="{00000000-0005-0000-0000-000039030000}"/>
    <cellStyle name="_Приложение 02 русс на 16.04.2009 г. 1 сессия_Прилож.к бюдж 2010г._Приложение_2010-2012 каз_март_Приложение_пост_каз_авг 2" xfId="3802" xr:uid="{00000000-0005-0000-0000-00003A030000}"/>
    <cellStyle name="_Приложение 02 русс на 16.04.2009 г. 1 сессия_Прилож.к бюдж 2010г._Приложение_2010-2012 каз_март_Приложение_пост_каз_авг_Анализ" xfId="373" xr:uid="{00000000-0005-0000-0000-00003B030000}"/>
    <cellStyle name="_Приложение 02 русс на 16.04.2009 г. 1 сессия_Прилож.к бюдж 2010г._Приложение_2010-2012 каз_март_Приложение_пост_каз_авг_Анализ 2" xfId="3803" xr:uid="{00000000-0005-0000-0000-00003C030000}"/>
    <cellStyle name="_Приложение 02 русс на 16.04.2009 г. 1 сессия_Прилож.к бюдж 2010г._Приложение_2010-2012 каз_март_Приложение_пост_каз_авг_Анализ 3.03.2011г." xfId="2768" xr:uid="{00000000-0005-0000-0000-00003D030000}"/>
    <cellStyle name="_Приложение 02 русс на 16.04.2009 г. 1 сессия_Прилож.к бюдж 2010г._Приложение_2010-2012 каз_март_Приложение_пост_каз_авг_Анализ 6.03.2011г." xfId="2769" xr:uid="{00000000-0005-0000-0000-00003E030000}"/>
    <cellStyle name="_Приложение 02 русс на 16.04.2009 г. 1 сессия_Прилож.к бюдж 2010г._Приложение_2010-2012 каз_март_Приложение_пост_каз_авг_Анализ 9.03.2011г." xfId="2770" xr:uid="{00000000-0005-0000-0000-00003F030000}"/>
    <cellStyle name="_Приложение 02 русс на 16.04.2009 г. 1 сессия_Прилож.к бюдж 2010г._Приложение_2010-2012 каз_март_Приложение_пост_каз_авг_Анализ_Приложение_рус _2012-2014_29,30" xfId="374" xr:uid="{00000000-0005-0000-0000-000040030000}"/>
    <cellStyle name="_Приложение 02 русс на 16.04.2009 г. 1 сессия_Прилож.к бюдж 2010г._Приложение_2010-2012 каз_март_Приложение_пост_каз_авг_Анализ_Приложение_рус _2012-2014_29,30 2" xfId="3804" xr:uid="{00000000-0005-0000-0000-000041030000}"/>
    <cellStyle name="_Приложение 02 русс на 16.04.2009 г. 1 сессия_Прилож.к бюдж 2010г._Приложение_2010-2012 каз_март_Приложение_пост_каз_авг_Пр 4     11.05.11. ИКС" xfId="375" xr:uid="{00000000-0005-0000-0000-000042030000}"/>
    <cellStyle name="_Приложение 02 русс на 16.04.2009 г. 1 сессия_Прилож.к бюдж 2010г._Приложение_2010-2012 каз_март_Приложение_пост_каз_авг_Пр 4     11.05.11. ИКС 2" xfId="3805" xr:uid="{00000000-0005-0000-0000-000043030000}"/>
    <cellStyle name="_Приложение 02 русс на 16.04.2009 г. 1 сессия_Прилож.к бюдж 2010г._Приложение_2010-2012 каз_март_Приложение_пост_каз_авг_Пр 4     11.05.11. ИКС_Приложение_рус _2012-2014_29,30" xfId="376" xr:uid="{00000000-0005-0000-0000-000044030000}"/>
    <cellStyle name="_Приложение 02 русс на 16.04.2009 г. 1 сессия_Прилож.к бюдж 2010г._Приложение_2010-2012 каз_март_Приложение_пост_каз_авг_Пр 4     11.05.11. ИКС_Приложение_рус _2012-2014_29,30 2" xfId="3806" xr:uid="{00000000-0005-0000-0000-000045030000}"/>
    <cellStyle name="_Приложение 02 русс на 16.04.2009 г. 1 сессия_Прилож.к бюдж 2010г._Приложение_2010-2012 каз_март_Приложение_пост_каз_авг_Приложение 4 русс,каз 16.03.11. посл" xfId="377" xr:uid="{00000000-0005-0000-0000-000046030000}"/>
    <cellStyle name="_Приложение 02 русс на 16.04.2009 г. 1 сессия_Прилож.к бюдж 2010г._Приложение_2010-2012 каз_март_Приложение_пост_каз_авг_Приложение 4 русс,каз 16.03.11. посл 2" xfId="3807" xr:uid="{00000000-0005-0000-0000-000047030000}"/>
    <cellStyle name="_Приложение 02 русс на 16.04.2009 г. 1 сессия_Прилож.к бюдж 2010г._Приложение_2010-2012 каз_март_Приложение_пост_каз_авг_Приложение 4 русс,каз 16.03.11. посл_Приложение_рус _2012-2014_29,30" xfId="378" xr:uid="{00000000-0005-0000-0000-000048030000}"/>
    <cellStyle name="_Приложение 02 русс на 16.04.2009 г. 1 сессия_Прилож.к бюдж 2010г._Приложение_2010-2012 каз_март_Приложение_пост_каз_авг_Приложение 4 русс,каз 16.03.11. посл_Приложение_рус _2012-2014_29,30 2" xfId="3808" xr:uid="{00000000-0005-0000-0000-000049030000}"/>
    <cellStyle name="_Приложение 02 русс на 16.04.2009 г. 1 сессия_Прилож.к бюдж 2010г._Приложение_2010-2012 каз_март_Приложение_пост_каз_авг_Приложение_реал_рус 2011-2013 Уточнение" xfId="379" xr:uid="{00000000-0005-0000-0000-00004A030000}"/>
    <cellStyle name="_Приложение 02 русс на 16.04.2009 г. 1 сессия_Прилож.к бюдж 2010г._Приложение_2010-2012 каз_март_Приложение_пост_каз_авг_Приложение_реал_рус 2011-2013 Уточнение 2" xfId="3809" xr:uid="{00000000-0005-0000-0000-00004B030000}"/>
    <cellStyle name="_Приложение 02 русс на 16.04.2009 г. 1 сессия_Прилож.к бюдж 2010г._Приложение_2010-2012 каз_март_Приложение_пост_каз_авг_Приложение_реал_рус 2011-2013 Уточнение_Приложение_рус _2012-2014_29,30" xfId="380" xr:uid="{00000000-0005-0000-0000-00004C030000}"/>
    <cellStyle name="_Приложение 02 русс на 16.04.2009 г. 1 сессия_Прилож.к бюдж 2010г._Приложение_2010-2012 каз_март_Приложение_пост_каз_авг_Приложение_реал_рус 2011-2013 Уточнение_Приложение_рус _2012-2014_29,30 2" xfId="3810" xr:uid="{00000000-0005-0000-0000-00004D030000}"/>
    <cellStyle name="_Приложение 02 русс на 16.04.2009 г. 1 сессия_Прилож.к бюдж 2010г._Приложение_2010-2012 каз_март_Приложение_пост_каз_авг_Приложение_рус _2012-2014_29,30" xfId="381" xr:uid="{00000000-0005-0000-0000-00004E030000}"/>
    <cellStyle name="_Приложение 02 русс на 16.04.2009 г. 1 сессия_Прилож.к бюдж 2010г._Приложение_2010-2012 каз_март_Приложение_пост_каз_авг_Приложение_рус _2012-2014_29,30 2" xfId="3811" xr:uid="{00000000-0005-0000-0000-00004F030000}"/>
    <cellStyle name="_Приложение 02 русс на 16.04.2009 г. 1 сессия_Прилож.к бюдж 2010г._Приложение_2010-2012 каз_март_Приложение_пост_каз_авг_приложения 2012 рус" xfId="382" xr:uid="{00000000-0005-0000-0000-000050030000}"/>
    <cellStyle name="_Приложение 02 русс на 16.04.2009 г. 1 сессия_Прилож.к бюдж 2010г._Приложение_2010-2012 каз_март_Приложение_пост_каз_авг_приложения 2012 рус 2" xfId="3812" xr:uid="{00000000-0005-0000-0000-000051030000}"/>
    <cellStyle name="_Приложение 02 русс на 16.04.2009 г. 1 сессия_Прилож.к бюдж 2010г._Приложение_2010-2012 каз_март_Приложение_пост_рус_авг" xfId="383" xr:uid="{00000000-0005-0000-0000-000052030000}"/>
    <cellStyle name="_Приложение 02 русс на 16.04.2009 г. 1 сессия_Прилож.к бюдж 2010г._Приложение_2010-2012 каз_март_Приложение_пост_рус_авг 2" xfId="3813" xr:uid="{00000000-0005-0000-0000-000053030000}"/>
    <cellStyle name="_Приложение 02 русс на 16.04.2009 г. 1 сессия_Прилож.к бюдж 2010г._Приложение_2010-2012 каз_март_Приложение_пост_рус_авг_Анализ" xfId="384" xr:uid="{00000000-0005-0000-0000-000054030000}"/>
    <cellStyle name="_Приложение 02 русс на 16.04.2009 г. 1 сессия_Прилож.к бюдж 2010г._Приложение_2010-2012 каз_март_Приложение_пост_рус_авг_Анализ 2" xfId="3814" xr:uid="{00000000-0005-0000-0000-000055030000}"/>
    <cellStyle name="_Приложение 02 русс на 16.04.2009 г. 1 сессия_Прилож.к бюдж 2010г._Приложение_2010-2012 каз_март_Приложение_пост_рус_авг_Анализ 3.03.2011г." xfId="2771" xr:uid="{00000000-0005-0000-0000-000056030000}"/>
    <cellStyle name="_Приложение 02 русс на 16.04.2009 г. 1 сессия_Прилож.к бюдж 2010г._Приложение_2010-2012 каз_март_Приложение_пост_рус_авг_Анализ 6.03.2011г." xfId="2772" xr:uid="{00000000-0005-0000-0000-000057030000}"/>
    <cellStyle name="_Приложение 02 русс на 16.04.2009 г. 1 сессия_Прилож.к бюдж 2010г._Приложение_2010-2012 каз_март_Приложение_пост_рус_авг_Анализ 9.03.2011г." xfId="2773" xr:uid="{00000000-0005-0000-0000-000058030000}"/>
    <cellStyle name="_Приложение 02 русс на 16.04.2009 г. 1 сессия_Прилож.к бюдж 2010г._Приложение_2010-2012 каз_март_Приложение_пост_рус_авг_Анализ_Приложение_рус _2012-2014_29,30" xfId="385" xr:uid="{00000000-0005-0000-0000-000059030000}"/>
    <cellStyle name="_Приложение 02 русс на 16.04.2009 г. 1 сессия_Прилож.к бюдж 2010г._Приложение_2010-2012 каз_март_Приложение_пост_рус_авг_Анализ_Приложение_рус _2012-2014_29,30 2" xfId="3815" xr:uid="{00000000-0005-0000-0000-00005A030000}"/>
    <cellStyle name="_Приложение 02 русс на 16.04.2009 г. 1 сессия_Прилож.к бюдж 2010г._Приложение_2010-2012 каз_март_Приложение_пост_рус_авг_Пр 4     11.05.11. ИКС" xfId="386" xr:uid="{00000000-0005-0000-0000-00005B030000}"/>
    <cellStyle name="_Приложение 02 русс на 16.04.2009 г. 1 сессия_Прилож.к бюдж 2010г._Приложение_2010-2012 каз_март_Приложение_пост_рус_авг_Пр 4     11.05.11. ИКС 2" xfId="3816" xr:uid="{00000000-0005-0000-0000-00005C030000}"/>
    <cellStyle name="_Приложение 02 русс на 16.04.2009 г. 1 сессия_Прилож.к бюдж 2010г._Приложение_2010-2012 каз_март_Приложение_пост_рус_авг_Пр 4     11.05.11. ИКС_Приложение_рус _2012-2014_29,30" xfId="387" xr:uid="{00000000-0005-0000-0000-00005D030000}"/>
    <cellStyle name="_Приложение 02 русс на 16.04.2009 г. 1 сессия_Прилож.к бюдж 2010г._Приложение_2010-2012 каз_март_Приложение_пост_рус_авг_Пр 4     11.05.11. ИКС_Приложение_рус _2012-2014_29,30 2" xfId="3817" xr:uid="{00000000-0005-0000-0000-00005E030000}"/>
    <cellStyle name="_Приложение 02 русс на 16.04.2009 г. 1 сессия_Прилож.к бюдж 2010г._Приложение_2010-2012 каз_март_Приложение_пост_рус_авг_Приложение 4 русс,каз 16.03.11. посл" xfId="388" xr:uid="{00000000-0005-0000-0000-00005F030000}"/>
    <cellStyle name="_Приложение 02 русс на 16.04.2009 г. 1 сессия_Прилож.к бюдж 2010г._Приложение_2010-2012 каз_март_Приложение_пост_рус_авг_Приложение 4 русс,каз 16.03.11. посл 2" xfId="3818" xr:uid="{00000000-0005-0000-0000-000060030000}"/>
    <cellStyle name="_Приложение 02 русс на 16.04.2009 г. 1 сессия_Прилож.к бюдж 2010г._Приложение_2010-2012 каз_март_Приложение_пост_рус_авг_Приложение 4 русс,каз 16.03.11. посл_Приложение_рус _2012-2014_29,30" xfId="389" xr:uid="{00000000-0005-0000-0000-000061030000}"/>
    <cellStyle name="_Приложение 02 русс на 16.04.2009 г. 1 сессия_Прилож.к бюдж 2010г._Приложение_2010-2012 каз_март_Приложение_пост_рус_авг_Приложение 4 русс,каз 16.03.11. посл_Приложение_рус _2012-2014_29,30 2" xfId="3819" xr:uid="{00000000-0005-0000-0000-000062030000}"/>
    <cellStyle name="_Приложение 02 русс на 16.04.2009 г. 1 сессия_Прилож.к бюдж 2010г._Приложение_2010-2012 каз_март_Приложение_пост_рус_авг_Приложение_реал_рус 2011-2013 Уточнение" xfId="390" xr:uid="{00000000-0005-0000-0000-000063030000}"/>
    <cellStyle name="_Приложение 02 русс на 16.04.2009 г. 1 сессия_Прилож.к бюдж 2010г._Приложение_2010-2012 каз_март_Приложение_пост_рус_авг_Приложение_реал_рус 2011-2013 Уточнение 2" xfId="3820" xr:uid="{00000000-0005-0000-0000-000064030000}"/>
    <cellStyle name="_Приложение 02 русс на 16.04.2009 г. 1 сессия_Прилож.к бюдж 2010г._Приложение_2010-2012 каз_март_Приложение_пост_рус_авг_Приложение_реал_рус 2011-2013 Уточнение_Приложение_рус _2012-2014_29,30" xfId="391" xr:uid="{00000000-0005-0000-0000-000065030000}"/>
    <cellStyle name="_Приложение 02 русс на 16.04.2009 г. 1 сессия_Прилож.к бюдж 2010г._Приложение_2010-2012 каз_март_Приложение_пост_рус_авг_Приложение_реал_рус 2011-2013 Уточнение_Приложение_рус _2012-2014_29,30 2" xfId="3821" xr:uid="{00000000-0005-0000-0000-000066030000}"/>
    <cellStyle name="_Приложение 02 русс на 16.04.2009 г. 1 сессия_Прилож.к бюдж 2010г._Приложение_2010-2012 каз_март_Приложение_пост_рус_авг_Приложение_рус _2012-2014_29,30" xfId="392" xr:uid="{00000000-0005-0000-0000-000067030000}"/>
    <cellStyle name="_Приложение 02 русс на 16.04.2009 г. 1 сессия_Прилож.к бюдж 2010г._Приложение_2010-2012 каз_март_Приложение_пост_рус_авг_Приложение_рус _2012-2014_29,30 2" xfId="3822" xr:uid="{00000000-0005-0000-0000-000068030000}"/>
    <cellStyle name="_Приложение 02 русс на 16.04.2009 г. 1 сессия_Прилож.к бюдж 2010г._Приложение_2010-2012 каз_март_Приложение_пост_рус_авг_приложения 2012 рус" xfId="393" xr:uid="{00000000-0005-0000-0000-000069030000}"/>
    <cellStyle name="_Приложение 02 русс на 16.04.2009 г. 1 сессия_Прилож.к бюдж 2010г._Приложение_2010-2012 каз_март_Приложение_пост_рус_авг_приложения 2012 рус 2" xfId="3823" xr:uid="{00000000-0005-0000-0000-00006A030000}"/>
    <cellStyle name="_Приложение 02 русс на 16.04.2009 г. 1 сессия_Прилож.к бюдж 2010г._Приложение_2010-2012 каз_март_Приложение_реал_рус 2011-2013 Уточнение" xfId="394" xr:uid="{00000000-0005-0000-0000-00006B030000}"/>
    <cellStyle name="_Приложение 02 русс на 16.04.2009 г. 1 сессия_Прилож.к бюдж 2010г._Приложение_2010-2012 каз_март_Приложение_реал_рус 2011-2013 Уточнение 2" xfId="3824" xr:uid="{00000000-0005-0000-0000-00006C030000}"/>
    <cellStyle name="_Приложение 02 русс на 16.04.2009 г. 1 сессия_Прилож.к бюдж 2010г._Приложение_2010-2012 каз_март_Приложение_реал_рус 2011-2013 Уточнение_Приложение_рус _2012-2014_29,30" xfId="395" xr:uid="{00000000-0005-0000-0000-00006D030000}"/>
    <cellStyle name="_Приложение 02 русс на 16.04.2009 г. 1 сессия_Прилож.к бюдж 2010г._Приложение_2010-2012 каз_март_Приложение_реал_рус 2011-2013 Уточнение_Приложение_рус _2012-2014_29,30 2" xfId="3825" xr:uid="{00000000-0005-0000-0000-00006E030000}"/>
    <cellStyle name="_Приложение 02 русс на 16.04.2009 г. 1 сессия_Прилож.к бюдж 2010г._Приложение_2010-2012 каз_март_Приложение_рус _2012-2014_29,30" xfId="396" xr:uid="{00000000-0005-0000-0000-00006F030000}"/>
    <cellStyle name="_Приложение 02 русс на 16.04.2009 г. 1 сессия_Прилож.к бюдж 2010г._Приложение_2010-2012 каз_март_Приложение_рус _2012-2014_29,30 2" xfId="3826" xr:uid="{00000000-0005-0000-0000-000070030000}"/>
    <cellStyle name="_Приложение 02 русс на 16.04.2009 г. 1 сессия_Прилож.к бюдж 2010г._Приложение_2010-2012 каз_март_приложения 2012 рус" xfId="397" xr:uid="{00000000-0005-0000-0000-000071030000}"/>
    <cellStyle name="_Приложение 02 русс на 16.04.2009 г. 1 сессия_Прилож.к бюдж 2010г._Приложение_2010-2012 каз_март_приложения 2012 рус 2" xfId="3827" xr:uid="{00000000-0005-0000-0000-000072030000}"/>
    <cellStyle name="_Приложение 02 русс на 16.04.2009 г. 1 сессия_Прилож.к бюдж 2010г._Приложение_2010-2012 рус  КОРРЕКТИРОВКА" xfId="398" xr:uid="{00000000-0005-0000-0000-000073030000}"/>
    <cellStyle name="_Приложение 02 русс на 16.04.2009 г. 1 сессия_Прилож.к бюдж 2010г._Приложение_2010-2012 рус  КОРРЕКТИРОВКА 2" xfId="3828" xr:uid="{00000000-0005-0000-0000-000074030000}"/>
    <cellStyle name="_Приложение 02 русс на 16.04.2009 г. 1 сессия_Прилож.к бюдж 2010г._Приложение_2010-2012 рус  КОРРЕКТИРОВКА_Анализ" xfId="399" xr:uid="{00000000-0005-0000-0000-000075030000}"/>
    <cellStyle name="_Приложение 02 русс на 16.04.2009 г. 1 сессия_Прилож.к бюдж 2010г._Приложение_2010-2012 рус  КОРРЕКТИРОВКА_Анализ 2" xfId="3829" xr:uid="{00000000-0005-0000-0000-000076030000}"/>
    <cellStyle name="_Приложение 02 русс на 16.04.2009 г. 1 сессия_Прилож.к бюдж 2010г._Приложение_2010-2012 рус  КОРРЕКТИРОВКА_Анализ 3.03.2011г." xfId="2774" xr:uid="{00000000-0005-0000-0000-000077030000}"/>
    <cellStyle name="_Приложение 02 русс на 16.04.2009 г. 1 сессия_Прилож.к бюдж 2010г._Приложение_2010-2012 рус  КОРРЕКТИРОВКА_Анализ 6.03.2011г." xfId="2775" xr:uid="{00000000-0005-0000-0000-000078030000}"/>
    <cellStyle name="_Приложение 02 русс на 16.04.2009 г. 1 сессия_Прилож.к бюдж 2010г._Приложение_2010-2012 рус  КОРРЕКТИРОВКА_Анализ 9.03.2011г." xfId="2776" xr:uid="{00000000-0005-0000-0000-000079030000}"/>
    <cellStyle name="_Приложение 02 русс на 16.04.2009 г. 1 сессия_Прилож.к бюдж 2010г._Приложение_2010-2012 рус  КОРРЕКТИРОВКА_Анализ_Приложение_рус _2012-2014_29,30" xfId="400" xr:uid="{00000000-0005-0000-0000-00007A030000}"/>
    <cellStyle name="_Приложение 02 русс на 16.04.2009 г. 1 сессия_Прилож.к бюдж 2010г._Приложение_2010-2012 рус  КОРРЕКТИРОВКА_Анализ_Приложение_рус _2012-2014_29,30 2" xfId="3830" xr:uid="{00000000-0005-0000-0000-00007B030000}"/>
    <cellStyle name="_Приложение 02 русс на 16.04.2009 г. 1 сессия_Прилож.к бюдж 2010г._Приложение_2010-2012 рус  КОРРЕКТИРОВКА_Пр 4     11.05.11. ИКС" xfId="401" xr:uid="{00000000-0005-0000-0000-00007C030000}"/>
    <cellStyle name="_Приложение 02 русс на 16.04.2009 г. 1 сессия_Прилож.к бюдж 2010г._Приложение_2010-2012 рус  КОРРЕКТИРОВКА_Пр 4     11.05.11. ИКС 2" xfId="3831" xr:uid="{00000000-0005-0000-0000-00007D030000}"/>
    <cellStyle name="_Приложение 02 русс на 16.04.2009 г. 1 сессия_Прилож.к бюдж 2010г._Приложение_2010-2012 рус  КОРРЕКТИРОВКА_Пр 4     11.05.11. ИКС_Приложение_рус _2012-2014_29,30" xfId="402" xr:uid="{00000000-0005-0000-0000-00007E030000}"/>
    <cellStyle name="_Приложение 02 русс на 16.04.2009 г. 1 сессия_Прилож.к бюдж 2010г._Приложение_2010-2012 рус  КОРРЕКТИРОВКА_Пр 4     11.05.11. ИКС_Приложение_рус _2012-2014_29,30 2" xfId="3832" xr:uid="{00000000-0005-0000-0000-00007F030000}"/>
    <cellStyle name="_Приложение 02 русс на 16.04.2009 г. 1 сессия_Прилож.к бюдж 2010г._Приложение_2010-2012 рус  КОРРЕКТИРОВКА_Приложение 4 русс,каз 16.03.11. посл" xfId="403" xr:uid="{00000000-0005-0000-0000-000080030000}"/>
    <cellStyle name="_Приложение 02 русс на 16.04.2009 г. 1 сессия_Прилож.к бюдж 2010г._Приложение_2010-2012 рус  КОРРЕКТИРОВКА_Приложение 4 русс,каз 16.03.11. посл 2" xfId="3833" xr:uid="{00000000-0005-0000-0000-000081030000}"/>
    <cellStyle name="_Приложение 02 русс на 16.04.2009 г. 1 сессия_Прилож.к бюдж 2010г._Приложение_2010-2012 рус  КОРРЕКТИРОВКА_Приложение 4 русс,каз 16.03.11. посл_Приложение_рус _2012-2014_29,30" xfId="404" xr:uid="{00000000-0005-0000-0000-000082030000}"/>
    <cellStyle name="_Приложение 02 русс на 16.04.2009 г. 1 сессия_Прилож.к бюдж 2010г._Приложение_2010-2012 рус  КОРРЕКТИРОВКА_Приложение 4 русс,каз 16.03.11. посл_Приложение_рус _2012-2014_29,30 2" xfId="3834" xr:uid="{00000000-0005-0000-0000-000083030000}"/>
    <cellStyle name="_Приложение 02 русс на 16.04.2009 г. 1 сессия_Прилож.к бюдж 2010г._Приложение_2010-2012 рус  КОРРЕКТИРОВКА_Приложение_2010-2012 рус 04.08.10" xfId="405" xr:uid="{00000000-0005-0000-0000-000084030000}"/>
    <cellStyle name="_Приложение 02 русс на 16.04.2009 г. 1 сессия_Прилож.к бюдж 2010г._Приложение_2010-2012 рус  КОРРЕКТИРОВКА_Приложение_2010-2012 рус 04.08.10 2" xfId="3835" xr:uid="{00000000-0005-0000-0000-000085030000}"/>
    <cellStyle name="_Приложение 02 русс на 16.04.2009 г. 1 сессия_Прилож.к бюдж 2010г._Приложение_2010-2012 рус  КОРРЕКТИРОВКА_Приложение_2010-2012 рус 04.08.10_Анализ" xfId="406" xr:uid="{00000000-0005-0000-0000-000086030000}"/>
    <cellStyle name="_Приложение 02 русс на 16.04.2009 г. 1 сессия_Прилож.к бюдж 2010г._Приложение_2010-2012 рус  КОРРЕКТИРОВКА_Приложение_2010-2012 рус 04.08.10_Анализ 2" xfId="3836" xr:uid="{00000000-0005-0000-0000-000087030000}"/>
    <cellStyle name="_Приложение 02 русс на 16.04.2009 г. 1 сессия_Прилож.к бюдж 2010г._Приложение_2010-2012 рус  КОРРЕКТИРОВКА_Приложение_2010-2012 рус 04.08.10_Анализ 3.03.2011г." xfId="2777" xr:uid="{00000000-0005-0000-0000-000088030000}"/>
    <cellStyle name="_Приложение 02 русс на 16.04.2009 г. 1 сессия_Прилож.к бюдж 2010г._Приложение_2010-2012 рус  КОРРЕКТИРОВКА_Приложение_2010-2012 рус 04.08.10_Анализ 6.03.2011г." xfId="2778" xr:uid="{00000000-0005-0000-0000-000089030000}"/>
    <cellStyle name="_Приложение 02 русс на 16.04.2009 г. 1 сессия_Прилож.к бюдж 2010г._Приложение_2010-2012 рус  КОРРЕКТИРОВКА_Приложение_2010-2012 рус 04.08.10_Анализ 9.03.2011г." xfId="2779" xr:uid="{00000000-0005-0000-0000-00008A030000}"/>
    <cellStyle name="_Приложение 02 русс на 16.04.2009 г. 1 сессия_Прилож.к бюдж 2010г._Приложение_2010-2012 рус  КОРРЕКТИРОВКА_Приложение_2010-2012 рус 04.08.10_Анализ_Приложение_рус _2012-2014_29,30" xfId="407" xr:uid="{00000000-0005-0000-0000-00008B030000}"/>
    <cellStyle name="_Приложение 02 русс на 16.04.2009 г. 1 сессия_Прилож.к бюдж 2010г._Приложение_2010-2012 рус  КОРРЕКТИРОВКА_Приложение_2010-2012 рус 04.08.10_Анализ_Приложение_рус _2012-2014_29,30 2" xfId="3837" xr:uid="{00000000-0005-0000-0000-00008C030000}"/>
    <cellStyle name="_Приложение 02 русс на 16.04.2009 г. 1 сессия_Прилож.к бюдж 2010г._Приложение_2010-2012 рус  КОРРЕКТИРОВКА_Приложение_2010-2012 рус 04.08.10_Пр 4     11.05.11. ИКС" xfId="408" xr:uid="{00000000-0005-0000-0000-00008D030000}"/>
    <cellStyle name="_Приложение 02 русс на 16.04.2009 г. 1 сессия_Прилож.к бюдж 2010г._Приложение_2010-2012 рус  КОРРЕКТИРОВКА_Приложение_2010-2012 рус 04.08.10_Пр 4     11.05.11. ИКС 2" xfId="3838" xr:uid="{00000000-0005-0000-0000-00008E030000}"/>
    <cellStyle name="_Приложение 02 русс на 16.04.2009 г. 1 сессия_Прилож.к бюдж 2010г._Приложение_2010-2012 рус  КОРРЕКТИРОВКА_Приложение_2010-2012 рус 04.08.10_Пр 4     11.05.11. ИКС_Приложение_рус _2012-2014_29,30" xfId="409" xr:uid="{00000000-0005-0000-0000-00008F030000}"/>
    <cellStyle name="_Приложение 02 русс на 16.04.2009 г. 1 сессия_Прилож.к бюдж 2010г._Приложение_2010-2012 рус  КОРРЕКТИРОВКА_Приложение_2010-2012 рус 04.08.10_Пр 4     11.05.11. ИКС_Приложение_рус _2012-2014_29,30 2" xfId="3839" xr:uid="{00000000-0005-0000-0000-000090030000}"/>
    <cellStyle name="_Приложение 02 русс на 16.04.2009 г. 1 сессия_Прилож.к бюдж 2010г._Приложение_2010-2012 рус  КОРРЕКТИРОВКА_Приложение_2010-2012 рус 04.08.10_Приложение 4 русс,каз 16.03.11. посл" xfId="410" xr:uid="{00000000-0005-0000-0000-000091030000}"/>
    <cellStyle name="_Приложение 02 русс на 16.04.2009 г. 1 сессия_Прилож.к бюдж 2010г._Приложение_2010-2012 рус  КОРРЕКТИРОВКА_Приложение_2010-2012 рус 04.08.10_Приложение 4 русс,каз 16.03.11. посл 2" xfId="3840" xr:uid="{00000000-0005-0000-0000-000092030000}"/>
    <cellStyle name="_Приложение 02 русс на 16.04.2009 г. 1 сессия_Прилож.к бюдж 2010г._Приложение_2010-2012 рус  КОРРЕКТИРОВКА_Приложение_2010-2012 рус 04.08.10_Приложение 4 русс,каз 16.03.11. посл_Приложение_рус _2012-2014_29,30" xfId="411" xr:uid="{00000000-0005-0000-0000-000093030000}"/>
    <cellStyle name="_Приложение 02 русс на 16.04.2009 г. 1 сессия_Прилож.к бюдж 2010г._Приложение_2010-2012 рус  КОРРЕКТИРОВКА_Приложение_2010-2012 рус 04.08.10_Приложение 4 русс,каз 16.03.11. посл_Приложение_рус _2012-2014_29,30 2" xfId="3841" xr:uid="{00000000-0005-0000-0000-000094030000}"/>
    <cellStyle name="_Приложение 02 русс на 16.04.2009 г. 1 сессия_Прилож.к бюдж 2010г._Приложение_2010-2012 рус  КОРРЕКТИРОВКА_Приложение_2010-2012 рус 04.08.10_Приложение_реал_рус 2011-2013 Уточнение" xfId="412" xr:uid="{00000000-0005-0000-0000-000095030000}"/>
    <cellStyle name="_Приложение 02 русс на 16.04.2009 г. 1 сессия_Прилож.к бюдж 2010г._Приложение_2010-2012 рус  КОРРЕКТИРОВКА_Приложение_2010-2012 рус 04.08.10_Приложение_реал_рус 2011-2013 Уточнение 2" xfId="3842" xr:uid="{00000000-0005-0000-0000-000096030000}"/>
    <cellStyle name="_Приложение 02 русс на 16.04.2009 г. 1 сессия_Прилож.к бюдж 2010г._Приложение_2010-2012 рус  КОРРЕКТИРОВКА_Приложение_2010-2012 рус 04.08.10_Приложение_реал_рус 2011-2013 Уточнение_Приложение_рус _2012-2014_29,30" xfId="413" xr:uid="{00000000-0005-0000-0000-000097030000}"/>
    <cellStyle name="_Приложение 02 русс на 16.04.2009 г. 1 сессия_Прилож.к бюдж 2010г._Приложение_2010-2012 рус  КОРРЕКТИРОВКА_Приложение_2010-2012 рус 04.08.10_Приложение_реал_рус 2011-2013 Уточнение_Приложение_рус _2012-2014_29,30 2" xfId="3843" xr:uid="{00000000-0005-0000-0000-000098030000}"/>
    <cellStyle name="_Приложение 02 русс на 16.04.2009 г. 1 сессия_Прилож.к бюдж 2010г._Приложение_2010-2012 рус  КОРРЕКТИРОВКА_Приложение_2010-2012 рус 04.08.10_Приложение_рус _2012-2014_29,30" xfId="414" xr:uid="{00000000-0005-0000-0000-000099030000}"/>
    <cellStyle name="_Приложение 02 русс на 16.04.2009 г. 1 сессия_Прилож.к бюдж 2010г._Приложение_2010-2012 рус  КОРРЕКТИРОВКА_Приложение_2010-2012 рус 04.08.10_Приложение_рус _2012-2014_29,30 2" xfId="3844" xr:uid="{00000000-0005-0000-0000-00009A030000}"/>
    <cellStyle name="_Приложение 02 русс на 16.04.2009 г. 1 сессия_Прилож.к бюдж 2010г._Приложение_2010-2012 рус  КОРРЕКТИРОВКА_Приложение_2010-2012 рус 04.08.10_приложения 2012 рус" xfId="415" xr:uid="{00000000-0005-0000-0000-00009B030000}"/>
    <cellStyle name="_Приложение 02 русс на 16.04.2009 г. 1 сессия_Прилож.к бюдж 2010г._Приложение_2010-2012 рус  КОРРЕКТИРОВКА_Приложение_2010-2012 рус 04.08.10_приложения 2012 рус 2" xfId="3845" xr:uid="{00000000-0005-0000-0000-00009C030000}"/>
    <cellStyle name="_Приложение 02 русс на 16.04.2009 г. 1 сессия_Прилож.к бюдж 2010г._Приложение_2010-2012 рус  КОРРЕКТИРОВКА_Приложение_пост_рус_авг" xfId="416" xr:uid="{00000000-0005-0000-0000-00009D030000}"/>
    <cellStyle name="_Приложение 02 русс на 16.04.2009 г. 1 сессия_Прилож.к бюдж 2010г._Приложение_2010-2012 рус  КОРРЕКТИРОВКА_Приложение_пост_рус_авг 2" xfId="3846" xr:uid="{00000000-0005-0000-0000-00009E030000}"/>
    <cellStyle name="_Приложение 02 русс на 16.04.2009 г. 1 сессия_Прилож.к бюдж 2010г._Приложение_2010-2012 рус  КОРРЕКТИРОВКА_Приложение_пост_рус_авг_Анализ" xfId="417" xr:uid="{00000000-0005-0000-0000-00009F030000}"/>
    <cellStyle name="_Приложение 02 русс на 16.04.2009 г. 1 сессия_Прилож.к бюдж 2010г._Приложение_2010-2012 рус  КОРРЕКТИРОВКА_Приложение_пост_рус_авг_Анализ 2" xfId="3847" xr:uid="{00000000-0005-0000-0000-0000A0030000}"/>
    <cellStyle name="_Приложение 02 русс на 16.04.2009 г. 1 сессия_Прилож.к бюдж 2010г._Приложение_2010-2012 рус  КОРРЕКТИРОВКА_Приложение_пост_рус_авг_Анализ 3.03.2011г." xfId="2780" xr:uid="{00000000-0005-0000-0000-0000A1030000}"/>
    <cellStyle name="_Приложение 02 русс на 16.04.2009 г. 1 сессия_Прилож.к бюдж 2010г._Приложение_2010-2012 рус  КОРРЕКТИРОВКА_Приложение_пост_рус_авг_Анализ 6.03.2011г." xfId="2781" xr:uid="{00000000-0005-0000-0000-0000A2030000}"/>
    <cellStyle name="_Приложение 02 русс на 16.04.2009 г. 1 сессия_Прилож.к бюдж 2010г._Приложение_2010-2012 рус  КОРРЕКТИРОВКА_Приложение_пост_рус_авг_Анализ 9.03.2011г." xfId="2782" xr:uid="{00000000-0005-0000-0000-0000A3030000}"/>
    <cellStyle name="_Приложение 02 русс на 16.04.2009 г. 1 сессия_Прилож.к бюдж 2010г._Приложение_2010-2012 рус  КОРРЕКТИРОВКА_Приложение_пост_рус_авг_Анализ_Приложение_рус _2012-2014_29,30" xfId="418" xr:uid="{00000000-0005-0000-0000-0000A4030000}"/>
    <cellStyle name="_Приложение 02 русс на 16.04.2009 г. 1 сессия_Прилож.к бюдж 2010г._Приложение_2010-2012 рус  КОРРЕКТИРОВКА_Приложение_пост_рус_авг_Анализ_Приложение_рус _2012-2014_29,30 2" xfId="3848" xr:uid="{00000000-0005-0000-0000-0000A5030000}"/>
    <cellStyle name="_Приложение 02 русс на 16.04.2009 г. 1 сессия_Прилож.к бюдж 2010г._Приложение_2010-2012 рус  КОРРЕКТИРОВКА_Приложение_пост_рус_авг_Пр 4     11.05.11. ИКС" xfId="419" xr:uid="{00000000-0005-0000-0000-0000A6030000}"/>
    <cellStyle name="_Приложение 02 русс на 16.04.2009 г. 1 сессия_Прилож.к бюдж 2010г._Приложение_2010-2012 рус  КОРРЕКТИРОВКА_Приложение_пост_рус_авг_Пр 4     11.05.11. ИКС 2" xfId="3849" xr:uid="{00000000-0005-0000-0000-0000A7030000}"/>
    <cellStyle name="_Приложение 02 русс на 16.04.2009 г. 1 сессия_Прилож.к бюдж 2010г._Приложение_2010-2012 рус  КОРРЕКТИРОВКА_Приложение_пост_рус_авг_Пр 4     11.05.11. ИКС_Приложение_рус _2012-2014_29,30" xfId="420" xr:uid="{00000000-0005-0000-0000-0000A8030000}"/>
    <cellStyle name="_Приложение 02 русс на 16.04.2009 г. 1 сессия_Прилож.к бюдж 2010г._Приложение_2010-2012 рус  КОРРЕКТИРОВКА_Приложение_пост_рус_авг_Пр 4     11.05.11. ИКС_Приложение_рус _2012-2014_29,30 2" xfId="3850" xr:uid="{00000000-0005-0000-0000-0000A9030000}"/>
    <cellStyle name="_Приложение 02 русс на 16.04.2009 г. 1 сессия_Прилож.к бюдж 2010г._Приложение_2010-2012 рус  КОРРЕКТИРОВКА_Приложение_пост_рус_авг_Приложение 4 русс,каз 16.03.11. посл" xfId="421" xr:uid="{00000000-0005-0000-0000-0000AA030000}"/>
    <cellStyle name="_Приложение 02 русс на 16.04.2009 г. 1 сессия_Прилож.к бюдж 2010г._Приложение_2010-2012 рус  КОРРЕКТИРОВКА_Приложение_пост_рус_авг_Приложение 4 русс,каз 16.03.11. посл 2" xfId="3851" xr:uid="{00000000-0005-0000-0000-0000AB030000}"/>
    <cellStyle name="_Приложение 02 русс на 16.04.2009 г. 1 сессия_Прилож.к бюдж 2010г._Приложение_2010-2012 рус  КОРРЕКТИРОВКА_Приложение_пост_рус_авг_Приложение 4 русс,каз 16.03.11. посл_Приложение_рус _2012-2014_29,30" xfId="422" xr:uid="{00000000-0005-0000-0000-0000AC030000}"/>
    <cellStyle name="_Приложение 02 русс на 16.04.2009 г. 1 сессия_Прилож.к бюдж 2010г._Приложение_2010-2012 рус  КОРРЕКТИРОВКА_Приложение_пост_рус_авг_Приложение 4 русс,каз 16.03.11. посл_Приложение_рус _2012-2014_29,30 2" xfId="3852" xr:uid="{00000000-0005-0000-0000-0000AD030000}"/>
    <cellStyle name="_Приложение 02 русс на 16.04.2009 г. 1 сессия_Прилож.к бюдж 2010г._Приложение_2010-2012 рус  КОРРЕКТИРОВКА_Приложение_пост_рус_авг_Приложение_реал_рус 2011-2013 Уточнение" xfId="423" xr:uid="{00000000-0005-0000-0000-0000AE030000}"/>
    <cellStyle name="_Приложение 02 русс на 16.04.2009 г. 1 сессия_Прилож.к бюдж 2010г._Приложение_2010-2012 рус  КОРРЕКТИРОВКА_Приложение_пост_рус_авг_Приложение_реал_рус 2011-2013 Уточнение 2" xfId="3853" xr:uid="{00000000-0005-0000-0000-0000AF030000}"/>
    <cellStyle name="_Приложение 02 русс на 16.04.2009 г. 1 сессия_Прилож.к бюдж 2010г._Приложение_2010-2012 рус  КОРРЕКТИРОВКА_Приложение_пост_рус_авг_Приложение_реал_рус 2011-2013 Уточнение_Приложение_рус _2012-2014_29,30" xfId="424" xr:uid="{00000000-0005-0000-0000-0000B0030000}"/>
    <cellStyle name="_Приложение 02 русс на 16.04.2009 г. 1 сессия_Прилож.к бюдж 2010г._Приложение_2010-2012 рус  КОРРЕКТИРОВКА_Приложение_пост_рус_авг_Приложение_реал_рус 2011-2013 Уточнение_Приложение_рус _2012-2014_29,30 2" xfId="3854" xr:uid="{00000000-0005-0000-0000-0000B1030000}"/>
    <cellStyle name="_Приложение 02 русс на 16.04.2009 г. 1 сессия_Прилож.к бюдж 2010г._Приложение_2010-2012 рус  КОРРЕКТИРОВКА_Приложение_пост_рус_авг_Приложение_рус _2012-2014_29,30" xfId="425" xr:uid="{00000000-0005-0000-0000-0000B2030000}"/>
    <cellStyle name="_Приложение 02 русс на 16.04.2009 г. 1 сессия_Прилож.к бюдж 2010г._Приложение_2010-2012 рус  КОРРЕКТИРОВКА_Приложение_пост_рус_авг_Приложение_рус _2012-2014_29,30 2" xfId="3855" xr:uid="{00000000-0005-0000-0000-0000B3030000}"/>
    <cellStyle name="_Приложение 02 русс на 16.04.2009 г. 1 сессия_Прилож.к бюдж 2010г._Приложение_2010-2012 рус  КОРРЕКТИРОВКА_Приложение_пост_рус_авг_приложения 2012 рус" xfId="426" xr:uid="{00000000-0005-0000-0000-0000B4030000}"/>
    <cellStyle name="_Приложение 02 русс на 16.04.2009 г. 1 сессия_Прилож.к бюдж 2010г._Приложение_2010-2012 рус  КОРРЕКТИРОВКА_Приложение_пост_рус_авг_приложения 2012 рус 2" xfId="3856" xr:uid="{00000000-0005-0000-0000-0000B5030000}"/>
    <cellStyle name="_Приложение 02 русс на 16.04.2009 г. 1 сессия_Прилож.к бюдж 2010г._Приложение_2010-2012 рус  КОРРЕКТИРОВКА_Приложение_реал_рус 2011-2013 Уточнение" xfId="427" xr:uid="{00000000-0005-0000-0000-0000B6030000}"/>
    <cellStyle name="_Приложение 02 русс на 16.04.2009 г. 1 сессия_Прилож.к бюдж 2010г._Приложение_2010-2012 рус  КОРРЕКТИРОВКА_Приложение_реал_рус 2011-2013 Уточнение 2" xfId="3857" xr:uid="{00000000-0005-0000-0000-0000B7030000}"/>
    <cellStyle name="_Приложение 02 русс на 16.04.2009 г. 1 сессия_Прилож.к бюдж 2010г._Приложение_2010-2012 рус  КОРРЕКТИРОВКА_Приложение_реал_рус 2011-2013 Уточнение_Приложение_рус _2012-2014_29,30" xfId="428" xr:uid="{00000000-0005-0000-0000-0000B8030000}"/>
    <cellStyle name="_Приложение 02 русс на 16.04.2009 г. 1 сессия_Прилож.к бюдж 2010г._Приложение_2010-2012 рус  КОРРЕКТИРОВКА_Приложение_реал_рус 2011-2013 Уточнение_Приложение_рус _2012-2014_29,30 2" xfId="3858" xr:uid="{00000000-0005-0000-0000-0000B9030000}"/>
    <cellStyle name="_Приложение 02 русс на 16.04.2009 г. 1 сессия_Прилож.к бюдж 2010г._Приложение_2010-2012 рус  КОРРЕКТИРОВКА_Приложение_рус _2012-2014_29,30" xfId="429" xr:uid="{00000000-0005-0000-0000-0000BA030000}"/>
    <cellStyle name="_Приложение 02 русс на 16.04.2009 г. 1 сессия_Прилож.к бюдж 2010г._Приложение_2010-2012 рус  КОРРЕКТИРОВКА_Приложение_рус _2012-2014_29,30 2" xfId="3859" xr:uid="{00000000-0005-0000-0000-0000BB030000}"/>
    <cellStyle name="_Приложение 02 русс на 16.04.2009 г. 1 сессия_Прилож.к бюдж 2010г._Приложение_2010-2012 рус  КОРРЕКТИРОВКА_приложения 2012 рус" xfId="430" xr:uid="{00000000-0005-0000-0000-0000BC030000}"/>
    <cellStyle name="_Приложение 02 русс на 16.04.2009 г. 1 сессия_Прилож.к бюдж 2010г._Приложение_2010-2012 рус  КОРРЕКТИРОВКА_приложения 2012 рус 2" xfId="3860" xr:uid="{00000000-0005-0000-0000-0000BD030000}"/>
    <cellStyle name="_Приложение 02 русс на 16.04.2009 г. 1 сессия_Прилож.к бюдж 2010г._Приложение_2010-2012 рус 04.08.10" xfId="431" xr:uid="{00000000-0005-0000-0000-0000BE030000}"/>
    <cellStyle name="_Приложение 02 русс на 16.04.2009 г. 1 сессия_Прилож.к бюдж 2010г._Приложение_2010-2012 рус 04.08.10 2" xfId="3861" xr:uid="{00000000-0005-0000-0000-0000BF030000}"/>
    <cellStyle name="_Приложение 02 русс на 16.04.2009 г. 1 сессия_Прилож.к бюдж 2010г._Приложение_2010-2012 рус 04.08.10_Анализ" xfId="432" xr:uid="{00000000-0005-0000-0000-0000C0030000}"/>
    <cellStyle name="_Приложение 02 русс на 16.04.2009 г. 1 сессия_Прилож.к бюдж 2010г._Приложение_2010-2012 рус 04.08.10_Анализ 2" xfId="3862" xr:uid="{00000000-0005-0000-0000-0000C1030000}"/>
    <cellStyle name="_Приложение 02 русс на 16.04.2009 г. 1 сессия_Прилож.к бюдж 2010г._Приложение_2010-2012 рус 04.08.10_Анализ 3.03.2011г." xfId="2783" xr:uid="{00000000-0005-0000-0000-0000C2030000}"/>
    <cellStyle name="_Приложение 02 русс на 16.04.2009 г. 1 сессия_Прилож.к бюдж 2010г._Приложение_2010-2012 рус 04.08.10_Анализ 6.03.2011г." xfId="2784" xr:uid="{00000000-0005-0000-0000-0000C3030000}"/>
    <cellStyle name="_Приложение 02 русс на 16.04.2009 г. 1 сессия_Прилож.к бюдж 2010г._Приложение_2010-2012 рус 04.08.10_Анализ 9.03.2011г." xfId="2785" xr:uid="{00000000-0005-0000-0000-0000C4030000}"/>
    <cellStyle name="_Приложение 02 русс на 16.04.2009 г. 1 сессия_Прилож.к бюдж 2010г._Приложение_2010-2012 рус 04.08.10_Анализ_Приложение_рус _2012-2014_29,30" xfId="433" xr:uid="{00000000-0005-0000-0000-0000C5030000}"/>
    <cellStyle name="_Приложение 02 русс на 16.04.2009 г. 1 сессия_Прилож.к бюдж 2010г._Приложение_2010-2012 рус 04.08.10_Анализ_Приложение_рус _2012-2014_29,30 2" xfId="3863" xr:uid="{00000000-0005-0000-0000-0000C6030000}"/>
    <cellStyle name="_Приложение 02 русс на 16.04.2009 г. 1 сессия_Прилож.к бюдж 2010г._Приложение_2010-2012 рус 04.08.10_Пр 4     11.05.11. ИКС" xfId="434" xr:uid="{00000000-0005-0000-0000-0000C7030000}"/>
    <cellStyle name="_Приложение 02 русс на 16.04.2009 г. 1 сессия_Прилож.к бюдж 2010г._Приложение_2010-2012 рус 04.08.10_Пр 4     11.05.11. ИКС 2" xfId="3864" xr:uid="{00000000-0005-0000-0000-0000C8030000}"/>
    <cellStyle name="_Приложение 02 русс на 16.04.2009 г. 1 сессия_Прилож.к бюдж 2010г._Приложение_2010-2012 рус 04.08.10_Пр 4     11.05.11. ИКС_Приложение_рус _2012-2014_29,30" xfId="435" xr:uid="{00000000-0005-0000-0000-0000C9030000}"/>
    <cellStyle name="_Приложение 02 русс на 16.04.2009 г. 1 сессия_Прилож.к бюдж 2010г._Приложение_2010-2012 рус 04.08.10_Пр 4     11.05.11. ИКС_Приложение_рус _2012-2014_29,30 2" xfId="3865" xr:uid="{00000000-0005-0000-0000-0000CA030000}"/>
    <cellStyle name="_Приложение 02 русс на 16.04.2009 г. 1 сессия_Прилож.к бюдж 2010г._Приложение_2010-2012 рус 04.08.10_Приложение 4 русс,каз 16.03.11. посл" xfId="436" xr:uid="{00000000-0005-0000-0000-0000CB030000}"/>
    <cellStyle name="_Приложение 02 русс на 16.04.2009 г. 1 сессия_Прилож.к бюдж 2010г._Приложение_2010-2012 рус 04.08.10_Приложение 4 русс,каз 16.03.11. посл 2" xfId="3866" xr:uid="{00000000-0005-0000-0000-0000CC030000}"/>
    <cellStyle name="_Приложение 02 русс на 16.04.2009 г. 1 сессия_Прилож.к бюдж 2010г._Приложение_2010-2012 рус 04.08.10_Приложение 4 русс,каз 16.03.11. посл_Приложение_рус _2012-2014_29,30" xfId="437" xr:uid="{00000000-0005-0000-0000-0000CD030000}"/>
    <cellStyle name="_Приложение 02 русс на 16.04.2009 г. 1 сессия_Прилож.к бюдж 2010г._Приложение_2010-2012 рус 04.08.10_Приложение 4 русс,каз 16.03.11. посл_Приложение_рус _2012-2014_29,30 2" xfId="3867" xr:uid="{00000000-0005-0000-0000-0000CE030000}"/>
    <cellStyle name="_Приложение 02 русс на 16.04.2009 г. 1 сессия_Прилож.к бюдж 2010г._Приложение_2010-2012 рус 04.08.10_Приложение_реал_рус 2011-2013 Уточнение" xfId="438" xr:uid="{00000000-0005-0000-0000-0000CF030000}"/>
    <cellStyle name="_Приложение 02 русс на 16.04.2009 г. 1 сессия_Прилож.к бюдж 2010г._Приложение_2010-2012 рус 04.08.10_Приложение_реал_рус 2011-2013 Уточнение 2" xfId="3868" xr:uid="{00000000-0005-0000-0000-0000D0030000}"/>
    <cellStyle name="_Приложение 02 русс на 16.04.2009 г. 1 сессия_Прилож.к бюдж 2010г._Приложение_2010-2012 рус 04.08.10_Приложение_реал_рус 2011-2013 Уточнение_Приложение_рус _2012-2014_29,30" xfId="439" xr:uid="{00000000-0005-0000-0000-0000D1030000}"/>
    <cellStyle name="_Приложение 02 русс на 16.04.2009 г. 1 сессия_Прилож.к бюдж 2010г._Приложение_2010-2012 рус 04.08.10_Приложение_реал_рус 2011-2013 Уточнение_Приложение_рус _2012-2014_29,30 2" xfId="3869" xr:uid="{00000000-0005-0000-0000-0000D2030000}"/>
    <cellStyle name="_Приложение 02 русс на 16.04.2009 г. 1 сессия_Прилож.к бюдж 2010г._Приложение_2010-2012 рус 04.08.10_Приложение_рус _2012-2014_29,30" xfId="440" xr:uid="{00000000-0005-0000-0000-0000D3030000}"/>
    <cellStyle name="_Приложение 02 русс на 16.04.2009 г. 1 сессия_Прилож.к бюдж 2010г._Приложение_2010-2012 рус 04.08.10_Приложение_рус _2012-2014_29,30 2" xfId="3870" xr:uid="{00000000-0005-0000-0000-0000D4030000}"/>
    <cellStyle name="_Приложение 02 русс на 16.04.2009 г. 1 сессия_Прилож.к бюдж 2010г._Приложение_2010-2012 рус 04.08.10_приложения 2012 рус" xfId="441" xr:uid="{00000000-0005-0000-0000-0000D5030000}"/>
    <cellStyle name="_Приложение 02 русс на 16.04.2009 г. 1 сессия_Прилож.к бюдж 2010г._Приложение_2010-2012 рус 04.08.10_приложения 2012 рус 2" xfId="3871" xr:uid="{00000000-0005-0000-0000-0000D6030000}"/>
    <cellStyle name="_Приложение 02 русс на 16.04.2009 г. 1 сессия_Прилож.к бюдж 2010г._Приложение_2010-2012 рус март" xfId="442" xr:uid="{00000000-0005-0000-0000-0000D7030000}"/>
    <cellStyle name="_Приложение 02 русс на 16.04.2009 г. 1 сессия_Прилож.к бюдж 2010г._Приложение_2010-2012 рус март 2" xfId="3872" xr:uid="{00000000-0005-0000-0000-0000D8030000}"/>
    <cellStyle name="_Приложение 02 русс на 16.04.2009 г. 1 сессия_Прилож.к бюдж 2010г._Приложение_2010-2012 рус март_Анализ" xfId="443" xr:uid="{00000000-0005-0000-0000-0000D9030000}"/>
    <cellStyle name="_Приложение 02 русс на 16.04.2009 г. 1 сессия_Прилож.к бюдж 2010г._Приложение_2010-2012 рус март_Анализ 2" xfId="3873" xr:uid="{00000000-0005-0000-0000-0000DA030000}"/>
    <cellStyle name="_Приложение 02 русс на 16.04.2009 г. 1 сессия_Прилож.к бюдж 2010г._Приложение_2010-2012 рус март_Анализ 3.03.2011г." xfId="2786" xr:uid="{00000000-0005-0000-0000-0000DB030000}"/>
    <cellStyle name="_Приложение 02 русс на 16.04.2009 г. 1 сессия_Прилож.к бюдж 2010г._Приложение_2010-2012 рус март_Анализ 6.03.2011г." xfId="2787" xr:uid="{00000000-0005-0000-0000-0000DC030000}"/>
    <cellStyle name="_Приложение 02 русс на 16.04.2009 г. 1 сессия_Прилож.к бюдж 2010г._Приложение_2010-2012 рус март_Анализ 9.03.2011г." xfId="2788" xr:uid="{00000000-0005-0000-0000-0000DD030000}"/>
    <cellStyle name="_Приложение 02 русс на 16.04.2009 г. 1 сессия_Прилож.к бюдж 2010г._Приложение_2010-2012 рус март_Анализ_Приложение_рус _2012-2014_29,30" xfId="444" xr:uid="{00000000-0005-0000-0000-0000DE030000}"/>
    <cellStyle name="_Приложение 02 русс на 16.04.2009 г. 1 сессия_Прилож.к бюдж 2010г._Приложение_2010-2012 рус март_Анализ_Приложение_рус _2012-2014_29,30 2" xfId="3874" xr:uid="{00000000-0005-0000-0000-0000DF030000}"/>
    <cellStyle name="_Приложение 02 русс на 16.04.2009 г. 1 сессия_Прилож.к бюдж 2010г._Приложение_2010-2012 рус март_Пр 4     11.05.11. ИКС" xfId="445" xr:uid="{00000000-0005-0000-0000-0000E0030000}"/>
    <cellStyle name="_Приложение 02 русс на 16.04.2009 г. 1 сессия_Прилож.к бюдж 2010г._Приложение_2010-2012 рус март_Пр 4     11.05.11. ИКС 2" xfId="3875" xr:uid="{00000000-0005-0000-0000-0000E1030000}"/>
    <cellStyle name="_Приложение 02 русс на 16.04.2009 г. 1 сессия_Прилож.к бюдж 2010г._Приложение_2010-2012 рус март_Пр 4     11.05.11. ИКС_Приложение_рус _2012-2014_29,30" xfId="446" xr:uid="{00000000-0005-0000-0000-0000E2030000}"/>
    <cellStyle name="_Приложение 02 русс на 16.04.2009 г. 1 сессия_Прилож.к бюдж 2010г._Приложение_2010-2012 рус март_Пр 4     11.05.11. ИКС_Приложение_рус _2012-2014_29,30 2" xfId="3876" xr:uid="{00000000-0005-0000-0000-0000E3030000}"/>
    <cellStyle name="_Приложение 02 русс на 16.04.2009 г. 1 сессия_Прилож.к бюдж 2010г._Приложение_2010-2012 рус март_Приложение 4 русс,каз 16.03.11. посл" xfId="447" xr:uid="{00000000-0005-0000-0000-0000E4030000}"/>
    <cellStyle name="_Приложение 02 русс на 16.04.2009 г. 1 сессия_Прилож.к бюдж 2010г._Приложение_2010-2012 рус март_Приложение 4 русс,каз 16.03.11. посл 2" xfId="3877" xr:uid="{00000000-0005-0000-0000-0000E5030000}"/>
    <cellStyle name="_Приложение 02 русс на 16.04.2009 г. 1 сессия_Прилож.к бюдж 2010г._Приложение_2010-2012 рус март_Приложение 4 русс,каз 16.03.11. посл_Приложение_рус _2012-2014_29,30" xfId="448" xr:uid="{00000000-0005-0000-0000-0000E6030000}"/>
    <cellStyle name="_Приложение 02 русс на 16.04.2009 г. 1 сессия_Прилож.к бюдж 2010г._Приложение_2010-2012 рус март_Приложение 4 русс,каз 16.03.11. посл_Приложение_рус _2012-2014_29,30 2" xfId="3878" xr:uid="{00000000-0005-0000-0000-0000E7030000}"/>
    <cellStyle name="_Приложение 02 русс на 16.04.2009 г. 1 сессия_Прилож.к бюдж 2010г._Приложение_2010-2012 рус март_Приложение_2010-2012 рус 04.08.10" xfId="449" xr:uid="{00000000-0005-0000-0000-0000E8030000}"/>
    <cellStyle name="_Приложение 02 русс на 16.04.2009 г. 1 сессия_Прилож.к бюдж 2010г._Приложение_2010-2012 рус март_Приложение_2010-2012 рус 04.08.10 2" xfId="3879" xr:uid="{00000000-0005-0000-0000-0000E9030000}"/>
    <cellStyle name="_Приложение 02 русс на 16.04.2009 г. 1 сессия_Прилож.к бюдж 2010г._Приложение_2010-2012 рус март_Приложение_2010-2012 рус 04.08.10_Анализ" xfId="450" xr:uid="{00000000-0005-0000-0000-0000EA030000}"/>
    <cellStyle name="_Приложение 02 русс на 16.04.2009 г. 1 сессия_Прилож.к бюдж 2010г._Приложение_2010-2012 рус март_Приложение_2010-2012 рус 04.08.10_Анализ 2" xfId="3880" xr:uid="{00000000-0005-0000-0000-0000EB030000}"/>
    <cellStyle name="_Приложение 02 русс на 16.04.2009 г. 1 сессия_Прилож.к бюдж 2010г._Приложение_2010-2012 рус март_Приложение_2010-2012 рус 04.08.10_Анализ 3.03.2011г." xfId="2789" xr:uid="{00000000-0005-0000-0000-0000EC030000}"/>
    <cellStyle name="_Приложение 02 русс на 16.04.2009 г. 1 сессия_Прилож.к бюдж 2010г._Приложение_2010-2012 рус март_Приложение_2010-2012 рус 04.08.10_Анализ 6.03.2011г." xfId="2790" xr:uid="{00000000-0005-0000-0000-0000ED030000}"/>
    <cellStyle name="_Приложение 02 русс на 16.04.2009 г. 1 сессия_Прилож.к бюдж 2010г._Приложение_2010-2012 рус март_Приложение_2010-2012 рус 04.08.10_Анализ 9.03.2011г." xfId="2791" xr:uid="{00000000-0005-0000-0000-0000EE030000}"/>
    <cellStyle name="_Приложение 02 русс на 16.04.2009 г. 1 сессия_Прилож.к бюдж 2010г._Приложение_2010-2012 рус март_Приложение_2010-2012 рус 04.08.10_Анализ_Приложение_рус _2012-2014_29,30" xfId="451" xr:uid="{00000000-0005-0000-0000-0000EF030000}"/>
    <cellStyle name="_Приложение 02 русс на 16.04.2009 г. 1 сессия_Прилож.к бюдж 2010г._Приложение_2010-2012 рус март_Приложение_2010-2012 рус 04.08.10_Анализ_Приложение_рус _2012-2014_29,30 2" xfId="3881" xr:uid="{00000000-0005-0000-0000-0000F0030000}"/>
    <cellStyle name="_Приложение 02 русс на 16.04.2009 г. 1 сессия_Прилож.к бюдж 2010г._Приложение_2010-2012 рус март_Приложение_2010-2012 рус 04.08.10_Пр 4     11.05.11. ИКС" xfId="452" xr:uid="{00000000-0005-0000-0000-0000F1030000}"/>
    <cellStyle name="_Приложение 02 русс на 16.04.2009 г. 1 сессия_Прилож.к бюдж 2010г._Приложение_2010-2012 рус март_Приложение_2010-2012 рус 04.08.10_Пр 4     11.05.11. ИКС 2" xfId="3882" xr:uid="{00000000-0005-0000-0000-0000F2030000}"/>
    <cellStyle name="_Приложение 02 русс на 16.04.2009 г. 1 сессия_Прилож.к бюдж 2010г._Приложение_2010-2012 рус март_Приложение_2010-2012 рус 04.08.10_Пр 4     11.05.11. ИКС_Приложение_рус _2012-2014_29,30" xfId="453" xr:uid="{00000000-0005-0000-0000-0000F3030000}"/>
    <cellStyle name="_Приложение 02 русс на 16.04.2009 г. 1 сессия_Прилож.к бюдж 2010г._Приложение_2010-2012 рус март_Приложение_2010-2012 рус 04.08.10_Пр 4     11.05.11. ИКС_Приложение_рус _2012-2014_29,30 2" xfId="3883" xr:uid="{00000000-0005-0000-0000-0000F4030000}"/>
    <cellStyle name="_Приложение 02 русс на 16.04.2009 г. 1 сессия_Прилож.к бюдж 2010г._Приложение_2010-2012 рус март_Приложение_2010-2012 рус 04.08.10_Приложение 4 русс,каз 16.03.11. посл" xfId="454" xr:uid="{00000000-0005-0000-0000-0000F5030000}"/>
    <cellStyle name="_Приложение 02 русс на 16.04.2009 г. 1 сессия_Прилож.к бюдж 2010г._Приложение_2010-2012 рус март_Приложение_2010-2012 рус 04.08.10_Приложение 4 русс,каз 16.03.11. посл 2" xfId="3884" xr:uid="{00000000-0005-0000-0000-0000F6030000}"/>
    <cellStyle name="_Приложение 02 русс на 16.04.2009 г. 1 сессия_Прилож.к бюдж 2010г._Приложение_2010-2012 рус март_Приложение_2010-2012 рус 04.08.10_Приложение 4 русс,каз 16.03.11. посл_Приложение_рус _2012-2014_29,30" xfId="455" xr:uid="{00000000-0005-0000-0000-0000F7030000}"/>
    <cellStyle name="_Приложение 02 русс на 16.04.2009 г. 1 сессия_Прилож.к бюдж 2010г._Приложение_2010-2012 рус март_Приложение_2010-2012 рус 04.08.10_Приложение 4 русс,каз 16.03.11. посл_Приложение_рус _2012-2014_29,30 2" xfId="3885" xr:uid="{00000000-0005-0000-0000-0000F8030000}"/>
    <cellStyle name="_Приложение 02 русс на 16.04.2009 г. 1 сессия_Прилож.к бюдж 2010г._Приложение_2010-2012 рус март_Приложение_2010-2012 рус 04.08.10_Приложение_реал_рус 2011-2013 Уточнение" xfId="456" xr:uid="{00000000-0005-0000-0000-0000F9030000}"/>
    <cellStyle name="_Приложение 02 русс на 16.04.2009 г. 1 сессия_Прилож.к бюдж 2010г._Приложение_2010-2012 рус март_Приложение_2010-2012 рус 04.08.10_Приложение_реал_рус 2011-2013 Уточнение 2" xfId="3886" xr:uid="{00000000-0005-0000-0000-0000FA030000}"/>
    <cellStyle name="_Приложение 02 русс на 16.04.2009 г. 1 сессия_Прилож.к бюдж 2010г._Приложение_2010-2012 рус март_Приложение_2010-2012 рус 04.08.10_Приложение_реал_рус 2011-2013 Уточнение_Приложение_рус _2012-2014_29,30" xfId="457" xr:uid="{00000000-0005-0000-0000-0000FB030000}"/>
    <cellStyle name="_Приложение 02 русс на 16.04.2009 г. 1 сессия_Прилож.к бюдж 2010г._Приложение_2010-2012 рус март_Приложение_2010-2012 рус 04.08.10_Приложение_реал_рус 2011-2013 Уточнение_Приложение_рус _2012-2014_29,30 2" xfId="3887" xr:uid="{00000000-0005-0000-0000-0000FC030000}"/>
    <cellStyle name="_Приложение 02 русс на 16.04.2009 г. 1 сессия_Прилож.к бюдж 2010г._Приложение_2010-2012 рус март_Приложение_2010-2012 рус 04.08.10_Приложение_рус _2012-2014_29,30" xfId="458" xr:uid="{00000000-0005-0000-0000-0000FD030000}"/>
    <cellStyle name="_Приложение 02 русс на 16.04.2009 г. 1 сессия_Прилож.к бюдж 2010г._Приложение_2010-2012 рус март_Приложение_2010-2012 рус 04.08.10_Приложение_рус _2012-2014_29,30 2" xfId="3888" xr:uid="{00000000-0005-0000-0000-0000FE030000}"/>
    <cellStyle name="_Приложение 02 русс на 16.04.2009 г. 1 сессия_Прилож.к бюдж 2010г._Приложение_2010-2012 рус март_Приложение_2010-2012 рус 04.08.10_приложения 2012 рус" xfId="459" xr:uid="{00000000-0005-0000-0000-0000FF030000}"/>
    <cellStyle name="_Приложение 02 русс на 16.04.2009 г. 1 сессия_Прилож.к бюдж 2010г._Приложение_2010-2012 рус март_Приложение_2010-2012 рус 04.08.10_приложения 2012 рус 2" xfId="3889" xr:uid="{00000000-0005-0000-0000-000000040000}"/>
    <cellStyle name="_Приложение 02 русс на 16.04.2009 г. 1 сессия_Прилож.к бюдж 2010г._Приложение_2010-2012 рус март_Приложение_пост_рус_авг" xfId="460" xr:uid="{00000000-0005-0000-0000-000001040000}"/>
    <cellStyle name="_Приложение 02 русс на 16.04.2009 г. 1 сессия_Прилож.к бюдж 2010г._Приложение_2010-2012 рус март_Приложение_пост_рус_авг 2" xfId="3890" xr:uid="{00000000-0005-0000-0000-000002040000}"/>
    <cellStyle name="_Приложение 02 русс на 16.04.2009 г. 1 сессия_Прилож.к бюдж 2010г._Приложение_2010-2012 рус март_Приложение_пост_рус_авг_Анализ" xfId="461" xr:uid="{00000000-0005-0000-0000-000003040000}"/>
    <cellStyle name="_Приложение 02 русс на 16.04.2009 г. 1 сессия_Прилож.к бюдж 2010г._Приложение_2010-2012 рус март_Приложение_пост_рус_авг_Анализ 2" xfId="3891" xr:uid="{00000000-0005-0000-0000-000004040000}"/>
    <cellStyle name="_Приложение 02 русс на 16.04.2009 г. 1 сессия_Прилож.к бюдж 2010г._Приложение_2010-2012 рус март_Приложение_пост_рус_авг_Анализ 3.03.2011г." xfId="2792" xr:uid="{00000000-0005-0000-0000-000005040000}"/>
    <cellStyle name="_Приложение 02 русс на 16.04.2009 г. 1 сессия_Прилож.к бюдж 2010г._Приложение_2010-2012 рус март_Приложение_пост_рус_авг_Анализ 6.03.2011г." xfId="2793" xr:uid="{00000000-0005-0000-0000-000006040000}"/>
    <cellStyle name="_Приложение 02 русс на 16.04.2009 г. 1 сессия_Прилож.к бюдж 2010г._Приложение_2010-2012 рус март_Приложение_пост_рус_авг_Анализ 9.03.2011г." xfId="2794" xr:uid="{00000000-0005-0000-0000-000007040000}"/>
    <cellStyle name="_Приложение 02 русс на 16.04.2009 г. 1 сессия_Прилож.к бюдж 2010г._Приложение_2010-2012 рус март_Приложение_пост_рус_авг_Анализ_Приложение_рус _2012-2014_29,30" xfId="462" xr:uid="{00000000-0005-0000-0000-000008040000}"/>
    <cellStyle name="_Приложение 02 русс на 16.04.2009 г. 1 сессия_Прилож.к бюдж 2010г._Приложение_2010-2012 рус март_Приложение_пост_рус_авг_Анализ_Приложение_рус _2012-2014_29,30 2" xfId="3892" xr:uid="{00000000-0005-0000-0000-000009040000}"/>
    <cellStyle name="_Приложение 02 русс на 16.04.2009 г. 1 сессия_Прилож.к бюдж 2010г._Приложение_2010-2012 рус март_Приложение_пост_рус_авг_Пр 4     11.05.11. ИКС" xfId="463" xr:uid="{00000000-0005-0000-0000-00000A040000}"/>
    <cellStyle name="_Приложение 02 русс на 16.04.2009 г. 1 сессия_Прилож.к бюдж 2010г._Приложение_2010-2012 рус март_Приложение_пост_рус_авг_Пр 4     11.05.11. ИКС 2" xfId="3893" xr:uid="{00000000-0005-0000-0000-00000B040000}"/>
    <cellStyle name="_Приложение 02 русс на 16.04.2009 г. 1 сессия_Прилож.к бюдж 2010г._Приложение_2010-2012 рус март_Приложение_пост_рус_авг_Пр 4     11.05.11. ИКС_Приложение_рус _2012-2014_29,30" xfId="464" xr:uid="{00000000-0005-0000-0000-00000C040000}"/>
    <cellStyle name="_Приложение 02 русс на 16.04.2009 г. 1 сессия_Прилож.к бюдж 2010г._Приложение_2010-2012 рус март_Приложение_пост_рус_авг_Пр 4     11.05.11. ИКС_Приложение_рус _2012-2014_29,30 2" xfId="3894" xr:uid="{00000000-0005-0000-0000-00000D040000}"/>
    <cellStyle name="_Приложение 02 русс на 16.04.2009 г. 1 сессия_Прилож.к бюдж 2010г._Приложение_2010-2012 рус март_Приложение_пост_рус_авг_Приложение 4 русс,каз 16.03.11. посл" xfId="465" xr:uid="{00000000-0005-0000-0000-00000E040000}"/>
    <cellStyle name="_Приложение 02 русс на 16.04.2009 г. 1 сессия_Прилож.к бюдж 2010г._Приложение_2010-2012 рус март_Приложение_пост_рус_авг_Приложение 4 русс,каз 16.03.11. посл 2" xfId="3895" xr:uid="{00000000-0005-0000-0000-00000F040000}"/>
    <cellStyle name="_Приложение 02 русс на 16.04.2009 г. 1 сессия_Прилож.к бюдж 2010г._Приложение_2010-2012 рус март_Приложение_пост_рус_авг_Приложение 4 русс,каз 16.03.11. посл_Приложение_рус _2012-2014_29,30" xfId="466" xr:uid="{00000000-0005-0000-0000-000010040000}"/>
    <cellStyle name="_Приложение 02 русс на 16.04.2009 г. 1 сессия_Прилож.к бюдж 2010г._Приложение_2010-2012 рус март_Приложение_пост_рус_авг_Приложение 4 русс,каз 16.03.11. посл_Приложение_рус _2012-2014_29,30 2" xfId="3896" xr:uid="{00000000-0005-0000-0000-000011040000}"/>
    <cellStyle name="_Приложение 02 русс на 16.04.2009 г. 1 сессия_Прилож.к бюдж 2010г._Приложение_2010-2012 рус март_Приложение_пост_рус_авг_Приложение_реал_рус 2011-2013 Уточнение" xfId="467" xr:uid="{00000000-0005-0000-0000-000012040000}"/>
    <cellStyle name="_Приложение 02 русс на 16.04.2009 г. 1 сессия_Прилож.к бюдж 2010г._Приложение_2010-2012 рус март_Приложение_пост_рус_авг_Приложение_реал_рус 2011-2013 Уточнение 2" xfId="3897" xr:uid="{00000000-0005-0000-0000-000013040000}"/>
    <cellStyle name="_Приложение 02 русс на 16.04.2009 г. 1 сессия_Прилож.к бюдж 2010г._Приложение_2010-2012 рус март_Приложение_пост_рус_авг_Приложение_реал_рус 2011-2013 Уточнение_Приложение_рус _2012-2014_29,30" xfId="468" xr:uid="{00000000-0005-0000-0000-000014040000}"/>
    <cellStyle name="_Приложение 02 русс на 16.04.2009 г. 1 сессия_Прилож.к бюдж 2010г._Приложение_2010-2012 рус март_Приложение_пост_рус_авг_Приложение_реал_рус 2011-2013 Уточнение_Приложение_рус _2012-2014_29,30 2" xfId="3898" xr:uid="{00000000-0005-0000-0000-000015040000}"/>
    <cellStyle name="_Приложение 02 русс на 16.04.2009 г. 1 сессия_Прилож.к бюдж 2010г._Приложение_2010-2012 рус март_Приложение_пост_рус_авг_Приложение_рус _2012-2014_29,30" xfId="469" xr:uid="{00000000-0005-0000-0000-000016040000}"/>
    <cellStyle name="_Приложение 02 русс на 16.04.2009 г. 1 сессия_Прилож.к бюдж 2010г._Приложение_2010-2012 рус март_Приложение_пост_рус_авг_Приложение_рус _2012-2014_29,30 2" xfId="3899" xr:uid="{00000000-0005-0000-0000-000017040000}"/>
    <cellStyle name="_Приложение 02 русс на 16.04.2009 г. 1 сессия_Прилож.к бюдж 2010г._Приложение_2010-2012 рус март_Приложение_пост_рус_авг_приложения 2012 рус" xfId="470" xr:uid="{00000000-0005-0000-0000-000018040000}"/>
    <cellStyle name="_Приложение 02 русс на 16.04.2009 г. 1 сессия_Прилож.к бюдж 2010г._Приложение_2010-2012 рус март_Приложение_пост_рус_авг_приложения 2012 рус 2" xfId="3900" xr:uid="{00000000-0005-0000-0000-000019040000}"/>
    <cellStyle name="_Приложение 02 русс на 16.04.2009 г. 1 сессия_Прилож.к бюдж 2010г._Приложение_2010-2012 рус март_Приложение_реал_рус 2011-2013 Уточнение" xfId="471" xr:uid="{00000000-0005-0000-0000-00001A040000}"/>
    <cellStyle name="_Приложение 02 русс на 16.04.2009 г. 1 сессия_Прилож.к бюдж 2010г._Приложение_2010-2012 рус март_Приложение_реал_рус 2011-2013 Уточнение 2" xfId="3901" xr:uid="{00000000-0005-0000-0000-00001B040000}"/>
    <cellStyle name="_Приложение 02 русс на 16.04.2009 г. 1 сессия_Прилож.к бюдж 2010г._Приложение_2010-2012 рус март_Приложение_реал_рус 2011-2013 Уточнение_Приложение_рус _2012-2014_29,30" xfId="472" xr:uid="{00000000-0005-0000-0000-00001C040000}"/>
    <cellStyle name="_Приложение 02 русс на 16.04.2009 г. 1 сессия_Прилож.к бюдж 2010г._Приложение_2010-2012 рус март_Приложение_реал_рус 2011-2013 Уточнение_Приложение_рус _2012-2014_29,30 2" xfId="3902" xr:uid="{00000000-0005-0000-0000-00001D040000}"/>
    <cellStyle name="_Приложение 02 русс на 16.04.2009 г. 1 сессия_Прилож.к бюдж 2010г._Приложение_2010-2012 рус март_Приложение_рус _2012-2014_29,30" xfId="473" xr:uid="{00000000-0005-0000-0000-00001E040000}"/>
    <cellStyle name="_Приложение 02 русс на 16.04.2009 г. 1 сессия_Прилож.к бюдж 2010г._Приложение_2010-2012 рус март_Приложение_рус _2012-2014_29,30 2" xfId="3903" xr:uid="{00000000-0005-0000-0000-00001F040000}"/>
    <cellStyle name="_Приложение 02 русс на 16.04.2009 г. 1 сессия_Прилож.к бюдж 2010г._Приложение_2010-2012 рус март_приложения 2012 рус" xfId="474" xr:uid="{00000000-0005-0000-0000-000020040000}"/>
    <cellStyle name="_Приложение 02 русс на 16.04.2009 г. 1 сессия_Прилож.к бюдж 2010г._Приложение_2010-2012 рус март_приложения 2012 рус 2" xfId="3904" xr:uid="{00000000-0005-0000-0000-000021040000}"/>
    <cellStyle name="_Приложение 02 русс на 16.04.2009 г. 1 сессия_Прилож.к бюдж 2010г._Приложение_пост_каз_авг" xfId="475" xr:uid="{00000000-0005-0000-0000-000022040000}"/>
    <cellStyle name="_Приложение 02 русс на 16.04.2009 г. 1 сессия_Прилож.к бюдж 2010г._Приложение_пост_каз_авг 2" xfId="3905" xr:uid="{00000000-0005-0000-0000-000023040000}"/>
    <cellStyle name="_Приложение 02 русс на 16.04.2009 г. 1 сессия_Прилож.к бюдж 2010г._Приложение_пост_каз_авг_Анализ" xfId="476" xr:uid="{00000000-0005-0000-0000-000024040000}"/>
    <cellStyle name="_Приложение 02 русс на 16.04.2009 г. 1 сессия_Прилож.к бюдж 2010г._Приложение_пост_каз_авг_Анализ 2" xfId="3906" xr:uid="{00000000-0005-0000-0000-000025040000}"/>
    <cellStyle name="_Приложение 02 русс на 16.04.2009 г. 1 сессия_Прилож.к бюдж 2010г._Приложение_пост_каз_авг_Анализ 3.03.2011г." xfId="2795" xr:uid="{00000000-0005-0000-0000-000026040000}"/>
    <cellStyle name="_Приложение 02 русс на 16.04.2009 г. 1 сессия_Прилож.к бюдж 2010г._Приложение_пост_каз_авг_Анализ 6.03.2011г." xfId="2796" xr:uid="{00000000-0005-0000-0000-000027040000}"/>
    <cellStyle name="_Приложение 02 русс на 16.04.2009 г. 1 сессия_Прилож.к бюдж 2010г._Приложение_пост_каз_авг_Анализ 9.03.2011г." xfId="2797" xr:uid="{00000000-0005-0000-0000-000028040000}"/>
    <cellStyle name="_Приложение 02 русс на 16.04.2009 г. 1 сессия_Прилож.к бюдж 2010г._Приложение_пост_каз_авг_Анализ_Приложение_рус _2012-2014_29,30" xfId="477" xr:uid="{00000000-0005-0000-0000-000029040000}"/>
    <cellStyle name="_Приложение 02 русс на 16.04.2009 г. 1 сессия_Прилож.к бюдж 2010г._Приложение_пост_каз_авг_Анализ_Приложение_рус _2012-2014_29,30 2" xfId="3907" xr:uid="{00000000-0005-0000-0000-00002A040000}"/>
    <cellStyle name="_Приложение 02 русс на 16.04.2009 г. 1 сессия_Прилож.к бюдж 2010г._Приложение_пост_каз_авг_Пр 4     11.05.11. ИКС" xfId="478" xr:uid="{00000000-0005-0000-0000-00002B040000}"/>
    <cellStyle name="_Приложение 02 русс на 16.04.2009 г. 1 сессия_Прилож.к бюдж 2010г._Приложение_пост_каз_авг_Пр 4     11.05.11. ИКС 2" xfId="3908" xr:uid="{00000000-0005-0000-0000-00002C040000}"/>
    <cellStyle name="_Приложение 02 русс на 16.04.2009 г. 1 сессия_Прилож.к бюдж 2010г._Приложение_пост_каз_авг_Пр 4     11.05.11. ИКС_Приложение_рус _2012-2014_29,30" xfId="479" xr:uid="{00000000-0005-0000-0000-00002D040000}"/>
    <cellStyle name="_Приложение 02 русс на 16.04.2009 г. 1 сессия_Прилож.к бюдж 2010г._Приложение_пост_каз_авг_Пр 4     11.05.11. ИКС_Приложение_рус _2012-2014_29,30 2" xfId="3909" xr:uid="{00000000-0005-0000-0000-00002E040000}"/>
    <cellStyle name="_Приложение 02 русс на 16.04.2009 г. 1 сессия_Прилож.к бюдж 2010г._Приложение_пост_каз_авг_Приложение 4 русс,каз 16.03.11. посл" xfId="480" xr:uid="{00000000-0005-0000-0000-00002F040000}"/>
    <cellStyle name="_Приложение 02 русс на 16.04.2009 г. 1 сессия_Прилож.к бюдж 2010г._Приложение_пост_каз_авг_Приложение 4 русс,каз 16.03.11. посл 2" xfId="3910" xr:uid="{00000000-0005-0000-0000-000030040000}"/>
    <cellStyle name="_Приложение 02 русс на 16.04.2009 г. 1 сессия_Прилож.к бюдж 2010г._Приложение_пост_каз_авг_Приложение 4 русс,каз 16.03.11. посл_Приложение_рус _2012-2014_29,30" xfId="481" xr:uid="{00000000-0005-0000-0000-000031040000}"/>
    <cellStyle name="_Приложение 02 русс на 16.04.2009 г. 1 сессия_Прилож.к бюдж 2010г._Приложение_пост_каз_авг_Приложение 4 русс,каз 16.03.11. посл_Приложение_рус _2012-2014_29,30 2" xfId="3911" xr:uid="{00000000-0005-0000-0000-000032040000}"/>
    <cellStyle name="_Приложение 02 русс на 16.04.2009 г. 1 сессия_Прилож.к бюдж 2010г._Приложение_пост_каз_авг_Приложение_реал_рус 2011-2013 Уточнение" xfId="482" xr:uid="{00000000-0005-0000-0000-000033040000}"/>
    <cellStyle name="_Приложение 02 русс на 16.04.2009 г. 1 сессия_Прилож.к бюдж 2010г._Приложение_пост_каз_авг_Приложение_реал_рус 2011-2013 Уточнение 2" xfId="3912" xr:uid="{00000000-0005-0000-0000-000034040000}"/>
    <cellStyle name="_Приложение 02 русс на 16.04.2009 г. 1 сессия_Прилож.к бюдж 2010г._Приложение_пост_каз_авг_Приложение_реал_рус 2011-2013 Уточнение_Приложение_рус _2012-2014_29,30" xfId="483" xr:uid="{00000000-0005-0000-0000-000035040000}"/>
    <cellStyle name="_Приложение 02 русс на 16.04.2009 г. 1 сессия_Прилож.к бюдж 2010г._Приложение_пост_каз_авг_Приложение_реал_рус 2011-2013 Уточнение_Приложение_рус _2012-2014_29,30 2" xfId="3913" xr:uid="{00000000-0005-0000-0000-000036040000}"/>
    <cellStyle name="_Приложение 02 русс на 16.04.2009 г. 1 сессия_Прилож.к бюдж 2010г._Приложение_пост_каз_авг_Приложение_рус _2012-2014_29,30" xfId="484" xr:uid="{00000000-0005-0000-0000-000037040000}"/>
    <cellStyle name="_Приложение 02 русс на 16.04.2009 г. 1 сессия_Прилож.к бюдж 2010г._Приложение_пост_каз_авг_Приложение_рус _2012-2014_29,30 2" xfId="3914" xr:uid="{00000000-0005-0000-0000-000038040000}"/>
    <cellStyle name="_Приложение 02 русс на 16.04.2009 г. 1 сессия_Прилож.к бюдж 2010г._Приложение_пост_каз_авг_приложения 2012 рус" xfId="485" xr:uid="{00000000-0005-0000-0000-000039040000}"/>
    <cellStyle name="_Приложение 02 русс на 16.04.2009 г. 1 сессия_Прилож.к бюдж 2010г._Приложение_пост_каз_авг_приложения 2012 рус 2" xfId="3915" xr:uid="{00000000-0005-0000-0000-00003A040000}"/>
    <cellStyle name="_Приложение 02 русс на 16.04.2009 г. 1 сессия_Прилож.к бюдж 2010г._Приложение_пост_рус_авг" xfId="486" xr:uid="{00000000-0005-0000-0000-00003B040000}"/>
    <cellStyle name="_Приложение 02 русс на 16.04.2009 г. 1 сессия_Прилож.к бюдж 2010г._Приложение_пост_рус_авг 2" xfId="3916" xr:uid="{00000000-0005-0000-0000-00003C040000}"/>
    <cellStyle name="_Приложение 02 русс на 16.04.2009 г. 1 сессия_Прилож.к бюдж 2010г._Приложение_пост_рус_авг_Анализ" xfId="487" xr:uid="{00000000-0005-0000-0000-00003D040000}"/>
    <cellStyle name="_Приложение 02 русс на 16.04.2009 г. 1 сессия_Прилож.к бюдж 2010г._Приложение_пост_рус_авг_Анализ 2" xfId="3917" xr:uid="{00000000-0005-0000-0000-00003E040000}"/>
    <cellStyle name="_Приложение 02 русс на 16.04.2009 г. 1 сессия_Прилож.к бюдж 2010г._Приложение_пост_рус_авг_Анализ 3.03.2011г." xfId="2798" xr:uid="{00000000-0005-0000-0000-00003F040000}"/>
    <cellStyle name="_Приложение 02 русс на 16.04.2009 г. 1 сессия_Прилож.к бюдж 2010г._Приложение_пост_рус_авг_Анализ 6.03.2011г." xfId="2799" xr:uid="{00000000-0005-0000-0000-000040040000}"/>
    <cellStyle name="_Приложение 02 русс на 16.04.2009 г. 1 сессия_Прилож.к бюдж 2010г._Приложение_пост_рус_авг_Анализ 9.03.2011г." xfId="2800" xr:uid="{00000000-0005-0000-0000-000041040000}"/>
    <cellStyle name="_Приложение 02 русс на 16.04.2009 г. 1 сессия_Прилож.к бюдж 2010г._Приложение_пост_рус_авг_Анализ_Приложение_рус _2012-2014_29,30" xfId="488" xr:uid="{00000000-0005-0000-0000-000042040000}"/>
    <cellStyle name="_Приложение 02 русс на 16.04.2009 г. 1 сессия_Прилож.к бюдж 2010г._Приложение_пост_рус_авг_Анализ_Приложение_рус _2012-2014_29,30 2" xfId="3918" xr:uid="{00000000-0005-0000-0000-000043040000}"/>
    <cellStyle name="_Приложение 02 русс на 16.04.2009 г. 1 сессия_Прилож.к бюдж 2010г._Приложение_пост_рус_авг_Пр 4     11.05.11. ИКС" xfId="489" xr:uid="{00000000-0005-0000-0000-000044040000}"/>
    <cellStyle name="_Приложение 02 русс на 16.04.2009 г. 1 сессия_Прилож.к бюдж 2010г._Приложение_пост_рус_авг_Пр 4     11.05.11. ИКС 2" xfId="3919" xr:uid="{00000000-0005-0000-0000-000045040000}"/>
    <cellStyle name="_Приложение 02 русс на 16.04.2009 г. 1 сессия_Прилож.к бюдж 2010г._Приложение_пост_рус_авг_Пр 4     11.05.11. ИКС_Приложение_рус _2012-2014_29,30" xfId="490" xr:uid="{00000000-0005-0000-0000-000046040000}"/>
    <cellStyle name="_Приложение 02 русс на 16.04.2009 г. 1 сессия_Прилож.к бюдж 2010г._Приложение_пост_рус_авг_Пр 4     11.05.11. ИКС_Приложение_рус _2012-2014_29,30 2" xfId="3920" xr:uid="{00000000-0005-0000-0000-000047040000}"/>
    <cellStyle name="_Приложение 02 русс на 16.04.2009 г. 1 сессия_Прилож.к бюдж 2010г._Приложение_пост_рус_авг_Приложение 4 русс,каз 16.03.11. посл" xfId="491" xr:uid="{00000000-0005-0000-0000-000048040000}"/>
    <cellStyle name="_Приложение 02 русс на 16.04.2009 г. 1 сессия_Прилож.к бюдж 2010г._Приложение_пост_рус_авг_Приложение 4 русс,каз 16.03.11. посл 2" xfId="3921" xr:uid="{00000000-0005-0000-0000-000049040000}"/>
    <cellStyle name="_Приложение 02 русс на 16.04.2009 г. 1 сессия_Прилож.к бюдж 2010г._Приложение_пост_рус_авг_Приложение 4 русс,каз 16.03.11. посл_Приложение_рус _2012-2014_29,30" xfId="492" xr:uid="{00000000-0005-0000-0000-00004A040000}"/>
    <cellStyle name="_Приложение 02 русс на 16.04.2009 г. 1 сессия_Прилож.к бюдж 2010г._Приложение_пост_рус_авг_Приложение 4 русс,каз 16.03.11. посл_Приложение_рус _2012-2014_29,30 2" xfId="3922" xr:uid="{00000000-0005-0000-0000-00004B040000}"/>
    <cellStyle name="_Приложение 02 русс на 16.04.2009 г. 1 сессия_Прилож.к бюдж 2010г._Приложение_пост_рус_авг_Приложение_реал_рус 2011-2013 Уточнение" xfId="493" xr:uid="{00000000-0005-0000-0000-00004C040000}"/>
    <cellStyle name="_Приложение 02 русс на 16.04.2009 г. 1 сессия_Прилож.к бюдж 2010г._Приложение_пост_рус_авг_Приложение_реал_рус 2011-2013 Уточнение 2" xfId="3923" xr:uid="{00000000-0005-0000-0000-00004D040000}"/>
    <cellStyle name="_Приложение 02 русс на 16.04.2009 г. 1 сессия_Прилож.к бюдж 2010г._Приложение_пост_рус_авг_Приложение_реал_рус 2011-2013 Уточнение_Приложение_рус _2012-2014_29,30" xfId="494" xr:uid="{00000000-0005-0000-0000-00004E040000}"/>
    <cellStyle name="_Приложение 02 русс на 16.04.2009 г. 1 сессия_Прилож.к бюдж 2010г._Приложение_пост_рус_авг_Приложение_реал_рус 2011-2013 Уточнение_Приложение_рус _2012-2014_29,30 2" xfId="3924" xr:uid="{00000000-0005-0000-0000-00004F040000}"/>
    <cellStyle name="_Приложение 02 русс на 16.04.2009 г. 1 сессия_Прилож.к бюдж 2010г._Приложение_пост_рус_авг_Приложение_рус _2012-2014_29,30" xfId="495" xr:uid="{00000000-0005-0000-0000-000050040000}"/>
    <cellStyle name="_Приложение 02 русс на 16.04.2009 г. 1 сессия_Прилож.к бюдж 2010г._Приложение_пост_рус_авг_Приложение_рус _2012-2014_29,30 2" xfId="3925" xr:uid="{00000000-0005-0000-0000-000051040000}"/>
    <cellStyle name="_Приложение 02 русс на 16.04.2009 г. 1 сессия_Прилож.к бюдж 2010г._Приложение_пост_рус_авг_приложения 2012 рус" xfId="496" xr:uid="{00000000-0005-0000-0000-000052040000}"/>
    <cellStyle name="_Приложение 02 русс на 16.04.2009 г. 1 сессия_Прилож.к бюдж 2010г._Приложение_пост_рус_авг_приложения 2012 рус 2" xfId="3926" xr:uid="{00000000-0005-0000-0000-000053040000}"/>
    <cellStyle name="_Приложение 02 русс на 16.04.2009 г. 1 сессия_Прилож.к бюдж 2010г._Приложение_реал_рус 2011-2013 Уточнение" xfId="497" xr:uid="{00000000-0005-0000-0000-000054040000}"/>
    <cellStyle name="_Приложение 02 русс на 16.04.2009 г. 1 сессия_Прилож.к бюдж 2010г._Приложение_реал_рус 2011-2013 Уточнение 2" xfId="3927" xr:uid="{00000000-0005-0000-0000-000055040000}"/>
    <cellStyle name="_Приложение 02 русс на 16.04.2009 г. 1 сессия_Прилож.к бюдж 2010г._Приложение_реал_рус 2011-2013 Уточнение_Приложение_рус _2012-2014_29,30" xfId="498" xr:uid="{00000000-0005-0000-0000-000056040000}"/>
    <cellStyle name="_Приложение 02 русс на 16.04.2009 г. 1 сессия_Прилож.к бюдж 2010г._Приложение_реал_рус 2011-2013 Уточнение_Приложение_рус _2012-2014_29,30 2" xfId="3928" xr:uid="{00000000-0005-0000-0000-000057040000}"/>
    <cellStyle name="_Приложение 02 русс на 16.04.2009 г. 1 сессия_Прилож.к бюдж 2010г._Приложение_рус _2012-2014_29,30" xfId="499" xr:uid="{00000000-0005-0000-0000-000058040000}"/>
    <cellStyle name="_Приложение 02 русс на 16.04.2009 г. 1 сессия_Прилож.к бюдж 2010г._Приложение_рус _2012-2014_29,30 2" xfId="3929" xr:uid="{00000000-0005-0000-0000-000059040000}"/>
    <cellStyle name="_Приложение 02 русс на 16.04.2009 г. 1 сессия_Прилож.к бюдж 2010г._приложения 2012 рус" xfId="500" xr:uid="{00000000-0005-0000-0000-00005A040000}"/>
    <cellStyle name="_Приложение 02 русс на 16.04.2009 г. 1 сессия_Прилож.к бюдж 2010г._приложения 2012 рус 2" xfId="3930" xr:uid="{00000000-0005-0000-0000-00005B040000}"/>
    <cellStyle name="_Приложение 02 русс на 16.04.2009 г. 1 сессия_Приложение 1-17 рус пост" xfId="501" xr:uid="{00000000-0005-0000-0000-00005C040000}"/>
    <cellStyle name="_Приложение 02 русс на 16.04.2009 г. 1 сессия_Приложение 1-17 рус пост_прил4р_к" xfId="502" xr:uid="{00000000-0005-0000-0000-00005D040000}"/>
    <cellStyle name="_Приложение 02 русс на 16.04.2009 г. 1 сессия_Приложение 1-17 рус пост_прил4р_к 2" xfId="503" xr:uid="{00000000-0005-0000-0000-00005E040000}"/>
    <cellStyle name="_Приложение 02 русс на 16.04.2009 г. 1 сессия_Приложение 1-17 рус пост_прил4р_к 2 2" xfId="3932" xr:uid="{00000000-0005-0000-0000-00005F040000}"/>
    <cellStyle name="_Приложение 02 русс на 16.04.2009 г. 1 сессия_Приложение 1-17 рус пост_прил4р_к 3" xfId="3931" xr:uid="{00000000-0005-0000-0000-000060040000}"/>
    <cellStyle name="_Приложение 02 русс на 16.04.2009 г. 1 сессия_Приложение 1-17 рус пост_прил4р_к_Анализ" xfId="504" xr:uid="{00000000-0005-0000-0000-000061040000}"/>
    <cellStyle name="_Приложение 02 русс на 16.04.2009 г. 1 сессия_Приложение 1-17 рус пост_прил4р_к_Анализ 2" xfId="3933" xr:uid="{00000000-0005-0000-0000-000062040000}"/>
    <cellStyle name="_Приложение 02 русс на 16.04.2009 г. 1 сессия_Приложение 1-17 рус пост_прил4р_к_Анализ 3.03.2011г." xfId="2801" xr:uid="{00000000-0005-0000-0000-000063040000}"/>
    <cellStyle name="_Приложение 02 русс на 16.04.2009 г. 1 сессия_Приложение 1-17 рус пост_прил4р_к_Анализ 6.03.2011г." xfId="2802" xr:uid="{00000000-0005-0000-0000-000064040000}"/>
    <cellStyle name="_Приложение 02 русс на 16.04.2009 г. 1 сессия_Приложение 1-17 рус пост_прил4р_к_Анализ 9.03.2011г." xfId="2803" xr:uid="{00000000-0005-0000-0000-000065040000}"/>
    <cellStyle name="_Приложение 02 русс на 16.04.2009 г. 1 сессия_Приложение 1-17 рус пост_прил4р_к_Анализ_Приложение_рус _2012-2014_29,30" xfId="505" xr:uid="{00000000-0005-0000-0000-000066040000}"/>
    <cellStyle name="_Приложение 02 русс на 16.04.2009 г. 1 сессия_Приложение 1-17 рус пост_прил4р_к_Анализ_Приложение_рус _2012-2014_29,30 2" xfId="3934" xr:uid="{00000000-0005-0000-0000-000067040000}"/>
    <cellStyle name="_Приложение 02 русс на 16.04.2009 г. 1 сессия_Приложение 1-17 рус пост_прил4р_к_Пр 4     11.05.11. ИКС" xfId="506" xr:uid="{00000000-0005-0000-0000-000068040000}"/>
    <cellStyle name="_Приложение 02 русс на 16.04.2009 г. 1 сессия_Приложение 1-17 рус пост_прил4р_к_Пр 4     11.05.11. ИКС 2" xfId="3935" xr:uid="{00000000-0005-0000-0000-000069040000}"/>
    <cellStyle name="_Приложение 02 русс на 16.04.2009 г. 1 сессия_Приложение 1-17 рус пост_прил4р_к_Пр 4     11.05.11. ИКС_Приложение_рус _2012-2014_29,30" xfId="507" xr:uid="{00000000-0005-0000-0000-00006A040000}"/>
    <cellStyle name="_Приложение 02 русс на 16.04.2009 г. 1 сессия_Приложение 1-17 рус пост_прил4р_к_Пр 4     11.05.11. ИКС_Приложение_рус _2012-2014_29,30 2" xfId="3936" xr:uid="{00000000-0005-0000-0000-00006B040000}"/>
    <cellStyle name="_Приложение 02 русс на 16.04.2009 г. 1 сессия_Приложение 1-17 рус пост_прил4р_к_Приложение 4 русс,каз 16.03.11. посл" xfId="508" xr:uid="{00000000-0005-0000-0000-00006C040000}"/>
    <cellStyle name="_Приложение 02 русс на 16.04.2009 г. 1 сессия_Приложение 1-17 рус пост_прил4р_к_Приложение 4 русс,каз 16.03.11. посл 2" xfId="3937" xr:uid="{00000000-0005-0000-0000-00006D040000}"/>
    <cellStyle name="_Приложение 02 русс на 16.04.2009 г. 1 сессия_Приложение 1-17 рус пост_прил4р_к_Приложение 4 русс,каз 16.03.11. посл_Приложение_рус _2012-2014_29,30" xfId="509" xr:uid="{00000000-0005-0000-0000-00006E040000}"/>
    <cellStyle name="_Приложение 02 русс на 16.04.2009 г. 1 сессия_Приложение 1-17 рус пост_прил4р_к_Приложение 4 русс,каз 16.03.11. посл_Приложение_рус _2012-2014_29,30 2" xfId="3938" xr:uid="{00000000-0005-0000-0000-00006F040000}"/>
    <cellStyle name="_Приложение 02 русс на 16.04.2009 г. 1 сессия_Приложение 1-17 рус пост_прил4р_к_Приложение_пост_каз_авг" xfId="510" xr:uid="{00000000-0005-0000-0000-000070040000}"/>
    <cellStyle name="_Приложение 02 русс на 16.04.2009 г. 1 сессия_Приложение 1-17 рус пост_прил4р_к_Приложение_пост_каз_авг 2" xfId="3939" xr:uid="{00000000-0005-0000-0000-000071040000}"/>
    <cellStyle name="_Приложение 02 русс на 16.04.2009 г. 1 сессия_Приложение 1-17 рус пост_прил4р_к_Приложение_пост_каз_авг_Анализ" xfId="511" xr:uid="{00000000-0005-0000-0000-000072040000}"/>
    <cellStyle name="_Приложение 02 русс на 16.04.2009 г. 1 сессия_Приложение 1-17 рус пост_прил4р_к_Приложение_пост_каз_авг_Анализ 2" xfId="3940" xr:uid="{00000000-0005-0000-0000-000073040000}"/>
    <cellStyle name="_Приложение 02 русс на 16.04.2009 г. 1 сессия_Приложение 1-17 рус пост_прил4р_к_Приложение_пост_каз_авг_Анализ 3.03.2011г." xfId="2804" xr:uid="{00000000-0005-0000-0000-000074040000}"/>
    <cellStyle name="_Приложение 02 русс на 16.04.2009 г. 1 сессия_Приложение 1-17 рус пост_прил4р_к_Приложение_пост_каз_авг_Анализ 6.03.2011г." xfId="2805" xr:uid="{00000000-0005-0000-0000-000075040000}"/>
    <cellStyle name="_Приложение 02 русс на 16.04.2009 г. 1 сессия_Приложение 1-17 рус пост_прил4р_к_Приложение_пост_каз_авг_Анализ 9.03.2011г." xfId="2806" xr:uid="{00000000-0005-0000-0000-000076040000}"/>
    <cellStyle name="_Приложение 02 русс на 16.04.2009 г. 1 сессия_Приложение 1-17 рус пост_прил4р_к_Приложение_пост_каз_авг_Анализ_Приложение_рус _2012-2014_29,30" xfId="512" xr:uid="{00000000-0005-0000-0000-000077040000}"/>
    <cellStyle name="_Приложение 02 русс на 16.04.2009 г. 1 сессия_Приложение 1-17 рус пост_прил4р_к_Приложение_пост_каз_авг_Анализ_Приложение_рус _2012-2014_29,30 2" xfId="3941" xr:uid="{00000000-0005-0000-0000-000078040000}"/>
    <cellStyle name="_Приложение 02 русс на 16.04.2009 г. 1 сессия_Приложение 1-17 рус пост_прил4р_к_Приложение_пост_каз_авг_Пр 4     11.05.11. ИКС" xfId="513" xr:uid="{00000000-0005-0000-0000-000079040000}"/>
    <cellStyle name="_Приложение 02 русс на 16.04.2009 г. 1 сессия_Приложение 1-17 рус пост_прил4р_к_Приложение_пост_каз_авг_Пр 4     11.05.11. ИКС 2" xfId="3942" xr:uid="{00000000-0005-0000-0000-00007A040000}"/>
    <cellStyle name="_Приложение 02 русс на 16.04.2009 г. 1 сессия_Приложение 1-17 рус пост_прил4р_к_Приложение_пост_каз_авг_Пр 4     11.05.11. ИКС_Приложение_рус _2012-2014_29,30" xfId="514" xr:uid="{00000000-0005-0000-0000-00007B040000}"/>
    <cellStyle name="_Приложение 02 русс на 16.04.2009 г. 1 сессия_Приложение 1-17 рус пост_прил4р_к_Приложение_пост_каз_авг_Пр 4     11.05.11. ИКС_Приложение_рус _2012-2014_29,30 2" xfId="3943" xr:uid="{00000000-0005-0000-0000-00007C040000}"/>
    <cellStyle name="_Приложение 02 русс на 16.04.2009 г. 1 сессия_Приложение 1-17 рус пост_прил4р_к_Приложение_пост_каз_авг_Приложение 4 русс,каз 16.03.11. посл" xfId="515" xr:uid="{00000000-0005-0000-0000-00007D040000}"/>
    <cellStyle name="_Приложение 02 русс на 16.04.2009 г. 1 сессия_Приложение 1-17 рус пост_прил4р_к_Приложение_пост_каз_авг_Приложение 4 русс,каз 16.03.11. посл 2" xfId="3944" xr:uid="{00000000-0005-0000-0000-00007E040000}"/>
    <cellStyle name="_Приложение 02 русс на 16.04.2009 г. 1 сессия_Приложение 1-17 рус пост_прил4р_к_Приложение_пост_каз_авг_Приложение 4 русс,каз 16.03.11. посл_Приложение_рус _2012-2014_29,30" xfId="516" xr:uid="{00000000-0005-0000-0000-00007F040000}"/>
    <cellStyle name="_Приложение 02 русс на 16.04.2009 г. 1 сессия_Приложение 1-17 рус пост_прил4р_к_Приложение_пост_каз_авг_Приложение 4 русс,каз 16.03.11. посл_Приложение_рус _2012-2014_29,30 2" xfId="3945" xr:uid="{00000000-0005-0000-0000-000080040000}"/>
    <cellStyle name="_Приложение 02 русс на 16.04.2009 г. 1 сессия_Приложение 1-17 рус пост_прил4р_к_Приложение_пост_каз_авг_Приложение_реал_рус 2011-2013 Уточнение" xfId="517" xr:uid="{00000000-0005-0000-0000-000081040000}"/>
    <cellStyle name="_Приложение 02 русс на 16.04.2009 г. 1 сессия_Приложение 1-17 рус пост_прил4р_к_Приложение_пост_каз_авг_Приложение_реал_рус 2011-2013 Уточнение 2" xfId="3946" xr:uid="{00000000-0005-0000-0000-000082040000}"/>
    <cellStyle name="_Приложение 02 русс на 16.04.2009 г. 1 сессия_Приложение 1-17 рус пост_прил4р_к_Приложение_пост_каз_авг_Приложение_реал_рус 2011-2013 Уточнение_Приложение_рус _2012-2014_29,30" xfId="518" xr:uid="{00000000-0005-0000-0000-000083040000}"/>
    <cellStyle name="_Приложение 02 русс на 16.04.2009 г. 1 сессия_Приложение 1-17 рус пост_прил4р_к_Приложение_пост_каз_авг_Приложение_реал_рус 2011-2013 Уточнение_Приложение_рус _2012-2014_29,30 2" xfId="3947" xr:uid="{00000000-0005-0000-0000-000084040000}"/>
    <cellStyle name="_Приложение 02 русс на 16.04.2009 г. 1 сессия_Приложение 1-17 рус пост_прил4р_к_Приложение_пост_каз_авг_Приложение_рус _2012-2014_29,30" xfId="519" xr:uid="{00000000-0005-0000-0000-000085040000}"/>
    <cellStyle name="_Приложение 02 русс на 16.04.2009 г. 1 сессия_Приложение 1-17 рус пост_прил4р_к_Приложение_пост_каз_авг_Приложение_рус _2012-2014_29,30 2" xfId="3948" xr:uid="{00000000-0005-0000-0000-000086040000}"/>
    <cellStyle name="_Приложение 02 русс на 16.04.2009 г. 1 сессия_Приложение 1-17 рус пост_прил4р_к_Приложение_пост_каз_авг_приложения 2012 рус" xfId="520" xr:uid="{00000000-0005-0000-0000-000087040000}"/>
    <cellStyle name="_Приложение 02 русс на 16.04.2009 г. 1 сессия_Приложение 1-17 рус пост_прил4р_к_Приложение_пост_каз_авг_приложения 2012 рус 2" xfId="3949" xr:uid="{00000000-0005-0000-0000-000088040000}"/>
    <cellStyle name="_Приложение 02 русс на 16.04.2009 г. 1 сессия_Приложение 1-17 рус пост_прил4р_к_Приложение_пост_рус_авг" xfId="521" xr:uid="{00000000-0005-0000-0000-000089040000}"/>
    <cellStyle name="_Приложение 02 русс на 16.04.2009 г. 1 сессия_Приложение 1-17 рус пост_прил4р_к_Приложение_пост_рус_авг 2" xfId="3950" xr:uid="{00000000-0005-0000-0000-00008A040000}"/>
    <cellStyle name="_Приложение 02 русс на 16.04.2009 г. 1 сессия_Приложение 1-17 рус пост_прил4р_к_Приложение_пост_рус_авг_Анализ" xfId="522" xr:uid="{00000000-0005-0000-0000-00008B040000}"/>
    <cellStyle name="_Приложение 02 русс на 16.04.2009 г. 1 сессия_Приложение 1-17 рус пост_прил4р_к_Приложение_пост_рус_авг_Анализ 2" xfId="3951" xr:uid="{00000000-0005-0000-0000-00008C040000}"/>
    <cellStyle name="_Приложение 02 русс на 16.04.2009 г. 1 сессия_Приложение 1-17 рус пост_прил4р_к_Приложение_пост_рус_авг_Анализ 3.03.2011г." xfId="2807" xr:uid="{00000000-0005-0000-0000-00008D040000}"/>
    <cellStyle name="_Приложение 02 русс на 16.04.2009 г. 1 сессия_Приложение 1-17 рус пост_прил4р_к_Приложение_пост_рус_авг_Анализ 6.03.2011г." xfId="2808" xr:uid="{00000000-0005-0000-0000-00008E040000}"/>
    <cellStyle name="_Приложение 02 русс на 16.04.2009 г. 1 сессия_Приложение 1-17 рус пост_прил4р_к_Приложение_пост_рус_авг_Анализ 9.03.2011г." xfId="2809" xr:uid="{00000000-0005-0000-0000-00008F040000}"/>
    <cellStyle name="_Приложение 02 русс на 16.04.2009 г. 1 сессия_Приложение 1-17 рус пост_прил4р_к_Приложение_пост_рус_авг_Анализ_Приложение_рус _2012-2014_29,30" xfId="523" xr:uid="{00000000-0005-0000-0000-000090040000}"/>
    <cellStyle name="_Приложение 02 русс на 16.04.2009 г. 1 сессия_Приложение 1-17 рус пост_прил4р_к_Приложение_пост_рус_авг_Анализ_Приложение_рус _2012-2014_29,30 2" xfId="3952" xr:uid="{00000000-0005-0000-0000-000091040000}"/>
    <cellStyle name="_Приложение 02 русс на 16.04.2009 г. 1 сессия_Приложение 1-17 рус пост_прил4р_к_Приложение_пост_рус_авг_Пр 4     11.05.11. ИКС" xfId="524" xr:uid="{00000000-0005-0000-0000-000092040000}"/>
    <cellStyle name="_Приложение 02 русс на 16.04.2009 г. 1 сессия_Приложение 1-17 рус пост_прил4р_к_Приложение_пост_рус_авг_Пр 4     11.05.11. ИКС 2" xfId="3953" xr:uid="{00000000-0005-0000-0000-000093040000}"/>
    <cellStyle name="_Приложение 02 русс на 16.04.2009 г. 1 сессия_Приложение 1-17 рус пост_прил4р_к_Приложение_пост_рус_авг_Пр 4     11.05.11. ИКС_Приложение_рус _2012-2014_29,30" xfId="525" xr:uid="{00000000-0005-0000-0000-000094040000}"/>
    <cellStyle name="_Приложение 02 русс на 16.04.2009 г. 1 сессия_Приложение 1-17 рус пост_прил4р_к_Приложение_пост_рус_авг_Пр 4     11.05.11. ИКС_Приложение_рус _2012-2014_29,30 2" xfId="3954" xr:uid="{00000000-0005-0000-0000-000095040000}"/>
    <cellStyle name="_Приложение 02 русс на 16.04.2009 г. 1 сессия_Приложение 1-17 рус пост_прил4р_к_Приложение_пост_рус_авг_Приложение 4 русс,каз 16.03.11. посл" xfId="526" xr:uid="{00000000-0005-0000-0000-000096040000}"/>
    <cellStyle name="_Приложение 02 русс на 16.04.2009 г. 1 сессия_Приложение 1-17 рус пост_прил4р_к_Приложение_пост_рус_авг_Приложение 4 русс,каз 16.03.11. посл 2" xfId="3955" xr:uid="{00000000-0005-0000-0000-000097040000}"/>
    <cellStyle name="_Приложение 02 русс на 16.04.2009 г. 1 сессия_Приложение 1-17 рус пост_прил4р_к_Приложение_пост_рус_авг_Приложение 4 русс,каз 16.03.11. посл_Приложение_рус _2012-2014_29,30" xfId="527" xr:uid="{00000000-0005-0000-0000-000098040000}"/>
    <cellStyle name="_Приложение 02 русс на 16.04.2009 г. 1 сессия_Приложение 1-17 рус пост_прил4р_к_Приложение_пост_рус_авг_Приложение 4 русс,каз 16.03.11. посл_Приложение_рус _2012-2014_29,30 2" xfId="3956" xr:uid="{00000000-0005-0000-0000-000099040000}"/>
    <cellStyle name="_Приложение 02 русс на 16.04.2009 г. 1 сессия_Приложение 1-17 рус пост_прил4р_к_Приложение_пост_рус_авг_Приложение_реал_рус 2011-2013 Уточнение" xfId="528" xr:uid="{00000000-0005-0000-0000-00009A040000}"/>
    <cellStyle name="_Приложение 02 русс на 16.04.2009 г. 1 сессия_Приложение 1-17 рус пост_прил4р_к_Приложение_пост_рус_авг_Приложение_реал_рус 2011-2013 Уточнение 2" xfId="3957" xr:uid="{00000000-0005-0000-0000-00009B040000}"/>
    <cellStyle name="_Приложение 02 русс на 16.04.2009 г. 1 сессия_Приложение 1-17 рус пост_прил4р_к_Приложение_пост_рус_авг_Приложение_реал_рус 2011-2013 Уточнение_Приложение_рус _2012-2014_29,30" xfId="529" xr:uid="{00000000-0005-0000-0000-00009C040000}"/>
    <cellStyle name="_Приложение 02 русс на 16.04.2009 г. 1 сессия_Приложение 1-17 рус пост_прил4р_к_Приложение_пост_рус_авг_Приложение_реал_рус 2011-2013 Уточнение_Приложение_рус _2012-2014_29,30 2" xfId="3958" xr:uid="{00000000-0005-0000-0000-00009D040000}"/>
    <cellStyle name="_Приложение 02 русс на 16.04.2009 г. 1 сессия_Приложение 1-17 рус пост_прил4р_к_Приложение_пост_рус_авг_Приложение_рус _2012-2014_29,30" xfId="530" xr:uid="{00000000-0005-0000-0000-00009E040000}"/>
    <cellStyle name="_Приложение 02 русс на 16.04.2009 г. 1 сессия_Приложение 1-17 рус пост_прил4р_к_Приложение_пост_рус_авг_Приложение_рус _2012-2014_29,30 2" xfId="3959" xr:uid="{00000000-0005-0000-0000-00009F040000}"/>
    <cellStyle name="_Приложение 02 русс на 16.04.2009 г. 1 сессия_Приложение 1-17 рус пост_прил4р_к_Приложение_пост_рус_авг_приложения 2012 рус" xfId="531" xr:uid="{00000000-0005-0000-0000-0000A0040000}"/>
    <cellStyle name="_Приложение 02 русс на 16.04.2009 г. 1 сессия_Приложение 1-17 рус пост_прил4р_к_Приложение_пост_рус_авг_приложения 2012 рус 2" xfId="3960" xr:uid="{00000000-0005-0000-0000-0000A1040000}"/>
    <cellStyle name="_Приложение 02 русс на 16.04.2009 г. 1 сессия_Приложение 1-17 рус пост_прил4р_к_Приложение_реал_рус 2011-2013 Уточнение" xfId="532" xr:uid="{00000000-0005-0000-0000-0000A2040000}"/>
    <cellStyle name="_Приложение 02 русс на 16.04.2009 г. 1 сессия_Приложение 1-17 рус пост_прил4р_к_Приложение_реал_рус 2011-2013 Уточнение 2" xfId="3961" xr:uid="{00000000-0005-0000-0000-0000A3040000}"/>
    <cellStyle name="_Приложение 02 русс на 16.04.2009 г. 1 сессия_Приложение 1-17 рус пост_прил4р_к_Приложение_реал_рус 2011-2013 Уточнение_Приложение_рус _2012-2014_29,30" xfId="533" xr:uid="{00000000-0005-0000-0000-0000A4040000}"/>
    <cellStyle name="_Приложение 02 русс на 16.04.2009 г. 1 сессия_Приложение 1-17 рус пост_прил4р_к_Приложение_реал_рус 2011-2013 Уточнение_Приложение_рус _2012-2014_29,30 2" xfId="3962" xr:uid="{00000000-0005-0000-0000-0000A5040000}"/>
    <cellStyle name="_Приложение 02 русс на 16.04.2009 г. 1 сессия_Приложение 1-17 рус пост_прил4р_к_Приложение_рус _2012-2014_29,30" xfId="534" xr:uid="{00000000-0005-0000-0000-0000A6040000}"/>
    <cellStyle name="_Приложение 02 русс на 16.04.2009 г. 1 сессия_Приложение 1-17 рус пост_прил4р_к_Приложение_рус _2012-2014_29,30 2" xfId="3963" xr:uid="{00000000-0005-0000-0000-0000A7040000}"/>
    <cellStyle name="_Приложение 02 русс на 16.04.2009 г. 1 сессия_Приложение 1-17 рус пост_прил4р_к_приложения 2012 рус" xfId="535" xr:uid="{00000000-0005-0000-0000-0000A8040000}"/>
    <cellStyle name="_Приложение 02 русс на 16.04.2009 г. 1 сессия_Приложение 1-17 рус пост_прил4р_к_приложения 2012 рус 2" xfId="3964" xr:uid="{00000000-0005-0000-0000-0000A9040000}"/>
    <cellStyle name="_Приложение 02 русс на 16.04.2009 г. 1 сессия_Приложение 1-17 рус пост_Приложение реш 2010-2012каз_РБ" xfId="536" xr:uid="{00000000-0005-0000-0000-0000AA040000}"/>
    <cellStyle name="_Приложение 02 русс на 16.04.2009 г. 1 сессия_Приложение 1-17 рус пост_Приложение реш 2010-2012каз_РБ 2" xfId="537" xr:uid="{00000000-0005-0000-0000-0000AB040000}"/>
    <cellStyle name="_Приложение 02 русс на 16.04.2009 г. 1 сессия_Приложение 1-17 рус пост_Приложение реш 2010-2012каз_РБ 2 2" xfId="3966" xr:uid="{00000000-0005-0000-0000-0000AC040000}"/>
    <cellStyle name="_Приложение 02 русс на 16.04.2009 г. 1 сессия_Приложение 1-17 рус пост_Приложение реш 2010-2012каз_РБ 3" xfId="3965" xr:uid="{00000000-0005-0000-0000-0000AD040000}"/>
    <cellStyle name="_Приложение 02 русс на 16.04.2009 г. 1 сессия_Приложение 1-17 рус пост_Приложение реш 2010-2012каз_РБ_Анализ" xfId="538" xr:uid="{00000000-0005-0000-0000-0000AE040000}"/>
    <cellStyle name="_Приложение 02 русс на 16.04.2009 г. 1 сессия_Приложение 1-17 рус пост_Приложение реш 2010-2012каз_РБ_Анализ 2" xfId="3967" xr:uid="{00000000-0005-0000-0000-0000AF040000}"/>
    <cellStyle name="_Приложение 02 русс на 16.04.2009 г. 1 сессия_Приложение 1-17 рус пост_Приложение реш 2010-2012каз_РБ_Анализ 3.03.2011г." xfId="2810" xr:uid="{00000000-0005-0000-0000-0000B0040000}"/>
    <cellStyle name="_Приложение 02 русс на 16.04.2009 г. 1 сессия_Приложение 1-17 рус пост_Приложение реш 2010-2012каз_РБ_Анализ 6.03.2011г." xfId="2811" xr:uid="{00000000-0005-0000-0000-0000B1040000}"/>
    <cellStyle name="_Приложение 02 русс на 16.04.2009 г. 1 сессия_Приложение 1-17 рус пост_Приложение реш 2010-2012каз_РБ_Анализ 9.03.2011г." xfId="2812" xr:uid="{00000000-0005-0000-0000-0000B2040000}"/>
    <cellStyle name="_Приложение 02 русс на 16.04.2009 г. 1 сессия_Приложение 1-17 рус пост_Приложение реш 2010-2012каз_РБ_Анализ_Приложение_рус _2012-2014_29,30" xfId="539" xr:uid="{00000000-0005-0000-0000-0000B3040000}"/>
    <cellStyle name="_Приложение 02 русс на 16.04.2009 г. 1 сессия_Приложение 1-17 рус пост_Приложение реш 2010-2012каз_РБ_Анализ_Приложение_рус _2012-2014_29,30 2" xfId="3968" xr:uid="{00000000-0005-0000-0000-0000B4040000}"/>
    <cellStyle name="_Приложение 02 русс на 16.04.2009 г. 1 сессия_Приложение 1-17 рус пост_Приложение реш 2010-2012каз_РБ_Пр 4     11.05.11. ИКС" xfId="540" xr:uid="{00000000-0005-0000-0000-0000B5040000}"/>
    <cellStyle name="_Приложение 02 русс на 16.04.2009 г. 1 сессия_Приложение 1-17 рус пост_Приложение реш 2010-2012каз_РБ_Пр 4     11.05.11. ИКС 2" xfId="3969" xr:uid="{00000000-0005-0000-0000-0000B6040000}"/>
    <cellStyle name="_Приложение 02 русс на 16.04.2009 г. 1 сессия_Приложение 1-17 рус пост_Приложение реш 2010-2012каз_РБ_Пр 4     11.05.11. ИКС_Приложение_рус _2012-2014_29,30" xfId="541" xr:uid="{00000000-0005-0000-0000-0000B7040000}"/>
    <cellStyle name="_Приложение 02 русс на 16.04.2009 г. 1 сессия_Приложение 1-17 рус пост_Приложение реш 2010-2012каз_РБ_Пр 4     11.05.11. ИКС_Приложение_рус _2012-2014_29,30 2" xfId="3970" xr:uid="{00000000-0005-0000-0000-0000B8040000}"/>
    <cellStyle name="_Приложение 02 русс на 16.04.2009 г. 1 сессия_Приложение 1-17 рус пост_Приложение реш 2010-2012каз_РБ_Приложение 4 русс,каз 16.03.11. посл" xfId="542" xr:uid="{00000000-0005-0000-0000-0000B9040000}"/>
    <cellStyle name="_Приложение 02 русс на 16.04.2009 г. 1 сессия_Приложение 1-17 рус пост_Приложение реш 2010-2012каз_РБ_Приложение 4 русс,каз 16.03.11. посл 2" xfId="3971" xr:uid="{00000000-0005-0000-0000-0000BA040000}"/>
    <cellStyle name="_Приложение 02 русс на 16.04.2009 г. 1 сессия_Приложение 1-17 рус пост_Приложение реш 2010-2012каз_РБ_Приложение 4 русс,каз 16.03.11. посл_Приложение_рус _2012-2014_29,30" xfId="543" xr:uid="{00000000-0005-0000-0000-0000BB040000}"/>
    <cellStyle name="_Приложение 02 русс на 16.04.2009 г. 1 сессия_Приложение 1-17 рус пост_Приложение реш 2010-2012каз_РБ_Приложение 4 русс,каз 16.03.11. посл_Приложение_рус _2012-2014_29,30 2" xfId="3972" xr:uid="{00000000-0005-0000-0000-0000BC040000}"/>
    <cellStyle name="_Приложение 02 русс на 16.04.2009 г. 1 сессия_Приложение 1-17 рус пост_Приложение реш 2010-2012каз_РБ_Приложение_пост_каз_авг" xfId="544" xr:uid="{00000000-0005-0000-0000-0000BD040000}"/>
    <cellStyle name="_Приложение 02 русс на 16.04.2009 г. 1 сессия_Приложение 1-17 рус пост_Приложение реш 2010-2012каз_РБ_Приложение_пост_каз_авг 2" xfId="3973" xr:uid="{00000000-0005-0000-0000-0000BE040000}"/>
    <cellStyle name="_Приложение 02 русс на 16.04.2009 г. 1 сессия_Приложение 1-17 рус пост_Приложение реш 2010-2012каз_РБ_Приложение_пост_каз_авг_Анализ" xfId="545" xr:uid="{00000000-0005-0000-0000-0000BF040000}"/>
    <cellStyle name="_Приложение 02 русс на 16.04.2009 г. 1 сессия_Приложение 1-17 рус пост_Приложение реш 2010-2012каз_РБ_Приложение_пост_каз_авг_Анализ 2" xfId="3974" xr:uid="{00000000-0005-0000-0000-0000C0040000}"/>
    <cellStyle name="_Приложение 02 русс на 16.04.2009 г. 1 сессия_Приложение 1-17 рус пост_Приложение реш 2010-2012каз_РБ_Приложение_пост_каз_авг_Анализ 3.03.2011г." xfId="2813" xr:uid="{00000000-0005-0000-0000-0000C1040000}"/>
    <cellStyle name="_Приложение 02 русс на 16.04.2009 г. 1 сессия_Приложение 1-17 рус пост_Приложение реш 2010-2012каз_РБ_Приложение_пост_каз_авг_Анализ 6.03.2011г." xfId="2814" xr:uid="{00000000-0005-0000-0000-0000C2040000}"/>
    <cellStyle name="_Приложение 02 русс на 16.04.2009 г. 1 сессия_Приложение 1-17 рус пост_Приложение реш 2010-2012каз_РБ_Приложение_пост_каз_авг_Анализ 9.03.2011г." xfId="2815" xr:uid="{00000000-0005-0000-0000-0000C3040000}"/>
    <cellStyle name="_Приложение 02 русс на 16.04.2009 г. 1 сессия_Приложение 1-17 рус пост_Приложение реш 2010-2012каз_РБ_Приложение_пост_каз_авг_Анализ_Приложение_рус _2012-2014_29,30" xfId="546" xr:uid="{00000000-0005-0000-0000-0000C4040000}"/>
    <cellStyle name="_Приложение 02 русс на 16.04.2009 г. 1 сессия_Приложение 1-17 рус пост_Приложение реш 2010-2012каз_РБ_Приложение_пост_каз_авг_Анализ_Приложение_рус _2012-2014_29,30 2" xfId="3975" xr:uid="{00000000-0005-0000-0000-0000C5040000}"/>
    <cellStyle name="_Приложение 02 русс на 16.04.2009 г. 1 сессия_Приложение 1-17 рус пост_Приложение реш 2010-2012каз_РБ_Приложение_пост_каз_авг_Пр 4     11.05.11. ИКС" xfId="547" xr:uid="{00000000-0005-0000-0000-0000C6040000}"/>
    <cellStyle name="_Приложение 02 русс на 16.04.2009 г. 1 сессия_Приложение 1-17 рус пост_Приложение реш 2010-2012каз_РБ_Приложение_пост_каз_авг_Пр 4     11.05.11. ИКС 2" xfId="3976" xr:uid="{00000000-0005-0000-0000-0000C7040000}"/>
    <cellStyle name="_Приложение 02 русс на 16.04.2009 г. 1 сессия_Приложение 1-17 рус пост_Приложение реш 2010-2012каз_РБ_Приложение_пост_каз_авг_Пр 4     11.05.11. ИКС_Приложение_рус _2012-2014_29,30" xfId="548" xr:uid="{00000000-0005-0000-0000-0000C8040000}"/>
    <cellStyle name="_Приложение 02 русс на 16.04.2009 г. 1 сессия_Приложение 1-17 рус пост_Приложение реш 2010-2012каз_РБ_Приложение_пост_каз_авг_Пр 4     11.05.11. ИКС_Приложение_рус _2012-2014_29,30 2" xfId="3977" xr:uid="{00000000-0005-0000-0000-0000C9040000}"/>
    <cellStyle name="_Приложение 02 русс на 16.04.2009 г. 1 сессия_Приложение 1-17 рус пост_Приложение реш 2010-2012каз_РБ_Приложение_пост_каз_авг_Приложение 4 русс,каз 16.03.11. посл" xfId="549" xr:uid="{00000000-0005-0000-0000-0000CA040000}"/>
    <cellStyle name="_Приложение 02 русс на 16.04.2009 г. 1 сессия_Приложение 1-17 рус пост_Приложение реш 2010-2012каз_РБ_Приложение_пост_каз_авг_Приложение 4 русс,каз 16.03.11. посл 2" xfId="3978" xr:uid="{00000000-0005-0000-0000-0000CB040000}"/>
    <cellStyle name="_Приложение 02 русс на 16.04.2009 г. 1 сессия_Приложение 1-17 рус пост_Приложение реш 2010-2012каз_РБ_Приложение_пост_каз_авг_Приложение 4 русс,каз 16.03.11. посл_Приложение_рус _2012-2014_29,30" xfId="550" xr:uid="{00000000-0005-0000-0000-0000CC040000}"/>
    <cellStyle name="_Приложение 02 русс на 16.04.2009 г. 1 сессия_Приложение 1-17 рус пост_Приложение реш 2010-2012каз_РБ_Приложение_пост_каз_авг_Приложение 4 русс,каз 16.03.11. посл_Приложение_рус _2012-2014_29,30 2" xfId="3979" xr:uid="{00000000-0005-0000-0000-0000CD040000}"/>
    <cellStyle name="_Приложение 02 русс на 16.04.2009 г. 1 сессия_Приложение 1-17 рус пост_Приложение реш 2010-2012каз_РБ_Приложение_пост_каз_авг_Приложение_реал_рус 2011-2013 Уточнение" xfId="551" xr:uid="{00000000-0005-0000-0000-0000CE040000}"/>
    <cellStyle name="_Приложение 02 русс на 16.04.2009 г. 1 сессия_Приложение 1-17 рус пост_Приложение реш 2010-2012каз_РБ_Приложение_пост_каз_авг_Приложение_реал_рус 2011-2013 Уточнение 2" xfId="3980" xr:uid="{00000000-0005-0000-0000-0000CF040000}"/>
    <cellStyle name="_Приложение 02 русс на 16.04.2009 г. 1 сессия_Приложение 1-17 рус пост_Приложение реш 2010-2012каз_РБ_Приложение_пост_каз_авг_Приложение_реал_рус 2011-2013 Уточнение_Приложение_рус _2012-2014_29,30" xfId="552" xr:uid="{00000000-0005-0000-0000-0000D0040000}"/>
    <cellStyle name="_Приложение 02 русс на 16.04.2009 г. 1 сессия_Приложение 1-17 рус пост_Приложение реш 2010-2012каз_РБ_Приложение_пост_каз_авг_Приложение_реал_рус 2011-2013 Уточнение_Приложение_рус _2012-2014_29,30 2" xfId="3981" xr:uid="{00000000-0005-0000-0000-0000D1040000}"/>
    <cellStyle name="_Приложение 02 русс на 16.04.2009 г. 1 сессия_Приложение 1-17 рус пост_Приложение реш 2010-2012каз_РБ_Приложение_пост_каз_авг_Приложение_рус _2012-2014_29,30" xfId="553" xr:uid="{00000000-0005-0000-0000-0000D2040000}"/>
    <cellStyle name="_Приложение 02 русс на 16.04.2009 г. 1 сессия_Приложение 1-17 рус пост_Приложение реш 2010-2012каз_РБ_Приложение_пост_каз_авг_Приложение_рус _2012-2014_29,30 2" xfId="3982" xr:uid="{00000000-0005-0000-0000-0000D3040000}"/>
    <cellStyle name="_Приложение 02 русс на 16.04.2009 г. 1 сессия_Приложение 1-17 рус пост_Приложение реш 2010-2012каз_РБ_Приложение_пост_каз_авг_приложения 2012 рус" xfId="554" xr:uid="{00000000-0005-0000-0000-0000D4040000}"/>
    <cellStyle name="_Приложение 02 русс на 16.04.2009 г. 1 сессия_Приложение 1-17 рус пост_Приложение реш 2010-2012каз_РБ_Приложение_пост_каз_авг_приложения 2012 рус 2" xfId="3983" xr:uid="{00000000-0005-0000-0000-0000D5040000}"/>
    <cellStyle name="_Приложение 02 русс на 16.04.2009 г. 1 сессия_Приложение 1-17 рус пост_Приложение реш 2010-2012каз_РБ_Приложение_пост_рус_авг" xfId="555" xr:uid="{00000000-0005-0000-0000-0000D6040000}"/>
    <cellStyle name="_Приложение 02 русс на 16.04.2009 г. 1 сессия_Приложение 1-17 рус пост_Приложение реш 2010-2012каз_РБ_Приложение_пост_рус_авг 2" xfId="3984" xr:uid="{00000000-0005-0000-0000-0000D7040000}"/>
    <cellStyle name="_Приложение 02 русс на 16.04.2009 г. 1 сессия_Приложение 1-17 рус пост_Приложение реш 2010-2012каз_РБ_Приложение_пост_рус_авг_Анализ" xfId="556" xr:uid="{00000000-0005-0000-0000-0000D8040000}"/>
    <cellStyle name="_Приложение 02 русс на 16.04.2009 г. 1 сессия_Приложение 1-17 рус пост_Приложение реш 2010-2012каз_РБ_Приложение_пост_рус_авг_Анализ 2" xfId="3985" xr:uid="{00000000-0005-0000-0000-0000D9040000}"/>
    <cellStyle name="_Приложение 02 русс на 16.04.2009 г. 1 сессия_Приложение 1-17 рус пост_Приложение реш 2010-2012каз_РБ_Приложение_пост_рус_авг_Анализ 3.03.2011г." xfId="2816" xr:uid="{00000000-0005-0000-0000-0000DA040000}"/>
    <cellStyle name="_Приложение 02 русс на 16.04.2009 г. 1 сессия_Приложение 1-17 рус пост_Приложение реш 2010-2012каз_РБ_Приложение_пост_рус_авг_Анализ 6.03.2011г." xfId="2817" xr:uid="{00000000-0005-0000-0000-0000DB040000}"/>
    <cellStyle name="_Приложение 02 русс на 16.04.2009 г. 1 сессия_Приложение 1-17 рус пост_Приложение реш 2010-2012каз_РБ_Приложение_пост_рус_авг_Анализ 9.03.2011г." xfId="2818" xr:uid="{00000000-0005-0000-0000-0000DC040000}"/>
    <cellStyle name="_Приложение 02 русс на 16.04.2009 г. 1 сессия_Приложение 1-17 рус пост_Приложение реш 2010-2012каз_РБ_Приложение_пост_рус_авг_Анализ_Приложение_рус _2012-2014_29,30" xfId="557" xr:uid="{00000000-0005-0000-0000-0000DD040000}"/>
    <cellStyle name="_Приложение 02 русс на 16.04.2009 г. 1 сессия_Приложение 1-17 рус пост_Приложение реш 2010-2012каз_РБ_Приложение_пост_рус_авг_Анализ_Приложение_рус _2012-2014_29,30 2" xfId="3986" xr:uid="{00000000-0005-0000-0000-0000DE040000}"/>
    <cellStyle name="_Приложение 02 русс на 16.04.2009 г. 1 сессия_Приложение 1-17 рус пост_Приложение реш 2010-2012каз_РБ_Приложение_пост_рус_авг_Пр 4     11.05.11. ИКС" xfId="558" xr:uid="{00000000-0005-0000-0000-0000DF040000}"/>
    <cellStyle name="_Приложение 02 русс на 16.04.2009 г. 1 сессия_Приложение 1-17 рус пост_Приложение реш 2010-2012каз_РБ_Приложение_пост_рус_авг_Пр 4     11.05.11. ИКС 2" xfId="3987" xr:uid="{00000000-0005-0000-0000-0000E0040000}"/>
    <cellStyle name="_Приложение 02 русс на 16.04.2009 г. 1 сессия_Приложение 1-17 рус пост_Приложение реш 2010-2012каз_РБ_Приложение_пост_рус_авг_Пр 4     11.05.11. ИКС_Приложение_рус _2012-2014_29,30" xfId="559" xr:uid="{00000000-0005-0000-0000-0000E1040000}"/>
    <cellStyle name="_Приложение 02 русс на 16.04.2009 г. 1 сессия_Приложение 1-17 рус пост_Приложение реш 2010-2012каз_РБ_Приложение_пост_рус_авг_Пр 4     11.05.11. ИКС_Приложение_рус _2012-2014_29,30 2" xfId="3988" xr:uid="{00000000-0005-0000-0000-0000E2040000}"/>
    <cellStyle name="_Приложение 02 русс на 16.04.2009 г. 1 сессия_Приложение 1-17 рус пост_Приложение реш 2010-2012каз_РБ_Приложение_пост_рус_авг_Приложение 4 русс,каз 16.03.11. посл" xfId="560" xr:uid="{00000000-0005-0000-0000-0000E3040000}"/>
    <cellStyle name="_Приложение 02 русс на 16.04.2009 г. 1 сессия_Приложение 1-17 рус пост_Приложение реш 2010-2012каз_РБ_Приложение_пост_рус_авг_Приложение 4 русс,каз 16.03.11. посл 2" xfId="3989" xr:uid="{00000000-0005-0000-0000-0000E4040000}"/>
    <cellStyle name="_Приложение 02 русс на 16.04.2009 г. 1 сессия_Приложение 1-17 рус пост_Приложение реш 2010-2012каз_РБ_Приложение_пост_рус_авг_Приложение 4 русс,каз 16.03.11. посл_Приложение_рус _2012-2014_29,30" xfId="561" xr:uid="{00000000-0005-0000-0000-0000E5040000}"/>
    <cellStyle name="_Приложение 02 русс на 16.04.2009 г. 1 сессия_Приложение 1-17 рус пост_Приложение реш 2010-2012каз_РБ_Приложение_пост_рус_авг_Приложение 4 русс,каз 16.03.11. посл_Приложение_рус _2012-2014_29,30 2" xfId="3990" xr:uid="{00000000-0005-0000-0000-0000E6040000}"/>
    <cellStyle name="_Приложение 02 русс на 16.04.2009 г. 1 сессия_Приложение 1-17 рус пост_Приложение реш 2010-2012каз_РБ_Приложение_пост_рус_авг_Приложение_реал_рус 2011-2013 Уточнение" xfId="562" xr:uid="{00000000-0005-0000-0000-0000E7040000}"/>
    <cellStyle name="_Приложение 02 русс на 16.04.2009 г. 1 сессия_Приложение 1-17 рус пост_Приложение реш 2010-2012каз_РБ_Приложение_пост_рус_авг_Приложение_реал_рус 2011-2013 Уточнение 2" xfId="3991" xr:uid="{00000000-0005-0000-0000-0000E8040000}"/>
    <cellStyle name="_Приложение 02 русс на 16.04.2009 г. 1 сессия_Приложение 1-17 рус пост_Приложение реш 2010-2012каз_РБ_Приложение_пост_рус_авг_Приложение_реал_рус 2011-2013 Уточнение_Приложение_рус _2012-2014_29,30" xfId="563" xr:uid="{00000000-0005-0000-0000-0000E9040000}"/>
    <cellStyle name="_Приложение 02 русс на 16.04.2009 г. 1 сессия_Приложение 1-17 рус пост_Приложение реш 2010-2012каз_РБ_Приложение_пост_рус_авг_Приложение_реал_рус 2011-2013 Уточнение_Приложение_рус _2012-2014_29,30 2" xfId="3992" xr:uid="{00000000-0005-0000-0000-0000EA040000}"/>
    <cellStyle name="_Приложение 02 русс на 16.04.2009 г. 1 сессия_Приложение 1-17 рус пост_Приложение реш 2010-2012каз_РБ_Приложение_пост_рус_авг_Приложение_рус _2012-2014_29,30" xfId="564" xr:uid="{00000000-0005-0000-0000-0000EB040000}"/>
    <cellStyle name="_Приложение 02 русс на 16.04.2009 г. 1 сессия_Приложение 1-17 рус пост_Приложение реш 2010-2012каз_РБ_Приложение_пост_рус_авг_Приложение_рус _2012-2014_29,30 2" xfId="3993" xr:uid="{00000000-0005-0000-0000-0000EC040000}"/>
    <cellStyle name="_Приложение 02 русс на 16.04.2009 г. 1 сессия_Приложение 1-17 рус пост_Приложение реш 2010-2012каз_РБ_Приложение_пост_рус_авг_приложения 2012 рус" xfId="565" xr:uid="{00000000-0005-0000-0000-0000ED040000}"/>
    <cellStyle name="_Приложение 02 русс на 16.04.2009 г. 1 сессия_Приложение 1-17 рус пост_Приложение реш 2010-2012каз_РБ_Приложение_пост_рус_авг_приложения 2012 рус 2" xfId="3994" xr:uid="{00000000-0005-0000-0000-0000EE040000}"/>
    <cellStyle name="_Приложение 02 русс на 16.04.2009 г. 1 сессия_Приложение 1-17 рус пост_Приложение реш 2010-2012каз_РБ_Приложение_реал_рус 2011-2013 Уточнение" xfId="566" xr:uid="{00000000-0005-0000-0000-0000EF040000}"/>
    <cellStyle name="_Приложение 02 русс на 16.04.2009 г. 1 сессия_Приложение 1-17 рус пост_Приложение реш 2010-2012каз_РБ_Приложение_реал_рус 2011-2013 Уточнение 2" xfId="3995" xr:uid="{00000000-0005-0000-0000-0000F0040000}"/>
    <cellStyle name="_Приложение 02 русс на 16.04.2009 г. 1 сессия_Приложение 1-17 рус пост_Приложение реш 2010-2012каз_РБ_Приложение_реал_рус 2011-2013 Уточнение_Приложение_рус _2012-2014_29,30" xfId="567" xr:uid="{00000000-0005-0000-0000-0000F1040000}"/>
    <cellStyle name="_Приложение 02 русс на 16.04.2009 г. 1 сессия_Приложение 1-17 рус пост_Приложение реш 2010-2012каз_РБ_Приложение_реал_рус 2011-2013 Уточнение_Приложение_рус _2012-2014_29,30 2" xfId="3996" xr:uid="{00000000-0005-0000-0000-0000F2040000}"/>
    <cellStyle name="_Приложение 02 русс на 16.04.2009 г. 1 сессия_Приложение 1-17 рус пост_Приложение реш 2010-2012каз_РБ_Приложение_рус _2012-2014_29,30" xfId="568" xr:uid="{00000000-0005-0000-0000-0000F3040000}"/>
    <cellStyle name="_Приложение 02 русс на 16.04.2009 г. 1 сессия_Приложение 1-17 рус пост_Приложение реш 2010-2012каз_РБ_Приложение_рус _2012-2014_29,30 2" xfId="3997" xr:uid="{00000000-0005-0000-0000-0000F4040000}"/>
    <cellStyle name="_Приложение 02 русс на 16.04.2009 г. 1 сессия_Приложение 1-17 рус пост_Приложение реш 2010-2012каз_РБ_приложения 2012 рус" xfId="569" xr:uid="{00000000-0005-0000-0000-0000F5040000}"/>
    <cellStyle name="_Приложение 02 русс на 16.04.2009 г. 1 сессия_Приложение 1-17 рус пост_Приложение реш 2010-2012каз_РБ_приложения 2012 рус 2" xfId="3998" xr:uid="{00000000-0005-0000-0000-0000F6040000}"/>
    <cellStyle name="_Приложение 02 русс на 16.04.2009 г. 1 сессия_Приложение 1-17 рус пост_Приложение_2010-2012 каз 04.08.10_ДК-2020" xfId="570" xr:uid="{00000000-0005-0000-0000-0000F7040000}"/>
    <cellStyle name="_Приложение 02 русс на 16.04.2009 г. 1 сессия_Приложение 1-17 рус пост_Приложение_2010-2012 каз 04.08.10_ДК-2020 2" xfId="3999" xr:uid="{00000000-0005-0000-0000-0000F8040000}"/>
    <cellStyle name="_Приложение 02 русс на 16.04.2009 г. 1 сессия_Приложение 1-17 рус пост_Приложение_2010-2012 каз 04.08.10_ДК-2020_Анализ" xfId="571" xr:uid="{00000000-0005-0000-0000-0000F9040000}"/>
    <cellStyle name="_Приложение 02 русс на 16.04.2009 г. 1 сессия_Приложение 1-17 рус пост_Приложение_2010-2012 каз 04.08.10_ДК-2020_Анализ 2" xfId="4000" xr:uid="{00000000-0005-0000-0000-0000FA040000}"/>
    <cellStyle name="_Приложение 02 русс на 16.04.2009 г. 1 сессия_Приложение 1-17 рус пост_Приложение_2010-2012 каз 04.08.10_ДК-2020_Анализ 3.03.2011г." xfId="2819" xr:uid="{00000000-0005-0000-0000-0000FB040000}"/>
    <cellStyle name="_Приложение 02 русс на 16.04.2009 г. 1 сессия_Приложение 1-17 рус пост_Приложение_2010-2012 каз 04.08.10_ДК-2020_Анализ 6.03.2011г." xfId="2820" xr:uid="{00000000-0005-0000-0000-0000FC040000}"/>
    <cellStyle name="_Приложение 02 русс на 16.04.2009 г. 1 сессия_Приложение 1-17 рус пост_Приложение_2010-2012 каз 04.08.10_ДК-2020_Анализ 9.03.2011г." xfId="2821" xr:uid="{00000000-0005-0000-0000-0000FD040000}"/>
    <cellStyle name="_Приложение 02 русс на 16.04.2009 г. 1 сессия_Приложение 1-17 рус пост_Приложение_2010-2012 каз 04.08.10_ДК-2020_Анализ_Приложение_рус _2012-2014_29,30" xfId="572" xr:uid="{00000000-0005-0000-0000-0000FE040000}"/>
    <cellStyle name="_Приложение 02 русс на 16.04.2009 г. 1 сессия_Приложение 1-17 рус пост_Приложение_2010-2012 каз 04.08.10_ДК-2020_Анализ_Приложение_рус _2012-2014_29,30 2" xfId="4001" xr:uid="{00000000-0005-0000-0000-0000FF040000}"/>
    <cellStyle name="_Приложение 02 русс на 16.04.2009 г. 1 сессия_Приложение 1-17 рус пост_Приложение_2010-2012 каз 04.08.10_ДК-2020_Пр 4     11.05.11. ИКС" xfId="573" xr:uid="{00000000-0005-0000-0000-000000050000}"/>
    <cellStyle name="_Приложение 02 русс на 16.04.2009 г. 1 сессия_Приложение 1-17 рус пост_Приложение_2010-2012 каз 04.08.10_ДК-2020_Пр 4     11.05.11. ИКС 2" xfId="4002" xr:uid="{00000000-0005-0000-0000-000001050000}"/>
    <cellStyle name="_Приложение 02 русс на 16.04.2009 г. 1 сессия_Приложение 1-17 рус пост_Приложение_2010-2012 каз 04.08.10_ДК-2020_Пр 4     11.05.11. ИКС_Приложение_рус _2012-2014_29,30" xfId="574" xr:uid="{00000000-0005-0000-0000-000002050000}"/>
    <cellStyle name="_Приложение 02 русс на 16.04.2009 г. 1 сессия_Приложение 1-17 рус пост_Приложение_2010-2012 каз 04.08.10_ДК-2020_Пр 4     11.05.11. ИКС_Приложение_рус _2012-2014_29,30 2" xfId="4003" xr:uid="{00000000-0005-0000-0000-000003050000}"/>
    <cellStyle name="_Приложение 02 русс на 16.04.2009 г. 1 сессия_Приложение 1-17 рус пост_Приложение_2010-2012 каз 04.08.10_ДК-2020_Приложение 4 русс,каз 16.03.11. посл" xfId="575" xr:uid="{00000000-0005-0000-0000-000004050000}"/>
    <cellStyle name="_Приложение 02 русс на 16.04.2009 г. 1 сессия_Приложение 1-17 рус пост_Приложение_2010-2012 каз 04.08.10_ДК-2020_Приложение 4 русс,каз 16.03.11. посл 2" xfId="4004" xr:uid="{00000000-0005-0000-0000-000005050000}"/>
    <cellStyle name="_Приложение 02 русс на 16.04.2009 г. 1 сессия_Приложение 1-17 рус пост_Приложение_2010-2012 каз 04.08.10_ДК-2020_Приложение 4 русс,каз 16.03.11. посл_Приложение_рус _2012-2014_29,30" xfId="576" xr:uid="{00000000-0005-0000-0000-000006050000}"/>
    <cellStyle name="_Приложение 02 русс на 16.04.2009 г. 1 сессия_Приложение 1-17 рус пост_Приложение_2010-2012 каз 04.08.10_ДК-2020_Приложение 4 русс,каз 16.03.11. посл_Приложение_рус _2012-2014_29,30 2" xfId="4005" xr:uid="{00000000-0005-0000-0000-000007050000}"/>
    <cellStyle name="_Приложение 02 русс на 16.04.2009 г. 1 сессия_Приложение 1-17 рус пост_Приложение_2010-2012 каз 04.08.10_ДК-2020_Приложение_реал_рус 2011-2013 Уточнение" xfId="577" xr:uid="{00000000-0005-0000-0000-000008050000}"/>
    <cellStyle name="_Приложение 02 русс на 16.04.2009 г. 1 сессия_Приложение 1-17 рус пост_Приложение_2010-2012 каз 04.08.10_ДК-2020_Приложение_реал_рус 2011-2013 Уточнение 2" xfId="4006" xr:uid="{00000000-0005-0000-0000-000009050000}"/>
    <cellStyle name="_Приложение 02 русс на 16.04.2009 г. 1 сессия_Приложение 1-17 рус пост_Приложение_2010-2012 каз 04.08.10_ДК-2020_Приложение_реал_рус 2011-2013 Уточнение_Приложение_рус _2012-2014_29,30" xfId="578" xr:uid="{00000000-0005-0000-0000-00000A050000}"/>
    <cellStyle name="_Приложение 02 русс на 16.04.2009 г. 1 сессия_Приложение 1-17 рус пост_Приложение_2010-2012 каз 04.08.10_ДК-2020_Приложение_реал_рус 2011-2013 Уточнение_Приложение_рус _2012-2014_29,30 2" xfId="4007" xr:uid="{00000000-0005-0000-0000-00000B050000}"/>
    <cellStyle name="_Приложение 02 русс на 16.04.2009 г. 1 сессия_Приложение 1-17 рус пост_Приложение_2010-2012 каз 04.08.10_ДК-2020_Приложение_рус _2012-2014_29,30" xfId="579" xr:uid="{00000000-0005-0000-0000-00000C050000}"/>
    <cellStyle name="_Приложение 02 русс на 16.04.2009 г. 1 сессия_Приложение 1-17 рус пост_Приложение_2010-2012 каз 04.08.10_ДК-2020_Приложение_рус _2012-2014_29,30 2" xfId="4008" xr:uid="{00000000-0005-0000-0000-00000D050000}"/>
    <cellStyle name="_Приложение 02 русс на 16.04.2009 г. 1 сессия_Приложение 1-17 рус пост_Приложение_2010-2012 каз 04.08.10_ДК-2020_приложения 2012 рус" xfId="580" xr:uid="{00000000-0005-0000-0000-00000E050000}"/>
    <cellStyle name="_Приложение 02 русс на 16.04.2009 г. 1 сессия_Приложение 1-17 рус пост_Приложение_2010-2012 каз 04.08.10_ДК-2020_приложения 2012 рус 2" xfId="4009" xr:uid="{00000000-0005-0000-0000-00000F050000}"/>
    <cellStyle name="_Приложение 02 русс на 16.04.2009 г. 1 сессия_Приложение 1-17 рус пост_Приложение_2010-2012 каз_март" xfId="581" xr:uid="{00000000-0005-0000-0000-000010050000}"/>
    <cellStyle name="_Приложение 02 русс на 16.04.2009 г. 1 сессия_Приложение 1-17 рус пост_Приложение_2010-2012 каз_март 2" xfId="582" xr:uid="{00000000-0005-0000-0000-000011050000}"/>
    <cellStyle name="_Приложение 02 русс на 16.04.2009 г. 1 сессия_Приложение 1-17 рус пост_Приложение_2010-2012 каз_март 2 2" xfId="4011" xr:uid="{00000000-0005-0000-0000-000012050000}"/>
    <cellStyle name="_Приложение 02 русс на 16.04.2009 г. 1 сессия_Приложение 1-17 рус пост_Приложение_2010-2012 каз_март 3" xfId="4010" xr:uid="{00000000-0005-0000-0000-000013050000}"/>
    <cellStyle name="_Приложение 02 русс на 16.04.2009 г. 1 сессия_Приложение 1-17 рус пост_Приложение_2010-2012 каз_март_Анализ" xfId="583" xr:uid="{00000000-0005-0000-0000-000014050000}"/>
    <cellStyle name="_Приложение 02 русс на 16.04.2009 г. 1 сессия_Приложение 1-17 рус пост_Приложение_2010-2012 каз_март_Анализ 2" xfId="4012" xr:uid="{00000000-0005-0000-0000-000015050000}"/>
    <cellStyle name="_Приложение 02 русс на 16.04.2009 г. 1 сессия_Приложение 1-17 рус пост_Приложение_2010-2012 каз_март_Анализ 3.03.2011г." xfId="2822" xr:uid="{00000000-0005-0000-0000-000016050000}"/>
    <cellStyle name="_Приложение 02 русс на 16.04.2009 г. 1 сессия_Приложение 1-17 рус пост_Приложение_2010-2012 каз_март_Анализ 6.03.2011г." xfId="2823" xr:uid="{00000000-0005-0000-0000-000017050000}"/>
    <cellStyle name="_Приложение 02 русс на 16.04.2009 г. 1 сессия_Приложение 1-17 рус пост_Приложение_2010-2012 каз_март_Анализ 9.03.2011г." xfId="2824" xr:uid="{00000000-0005-0000-0000-000018050000}"/>
    <cellStyle name="_Приложение 02 русс на 16.04.2009 г. 1 сессия_Приложение 1-17 рус пост_Приложение_2010-2012 каз_март_Анализ_Приложение_рус _2012-2014_29,30" xfId="584" xr:uid="{00000000-0005-0000-0000-000019050000}"/>
    <cellStyle name="_Приложение 02 русс на 16.04.2009 г. 1 сессия_Приложение 1-17 рус пост_Приложение_2010-2012 каз_март_Анализ_Приложение_рус _2012-2014_29,30 2" xfId="4013" xr:uid="{00000000-0005-0000-0000-00001A050000}"/>
    <cellStyle name="_Приложение 02 русс на 16.04.2009 г. 1 сессия_Приложение 1-17 рус пост_Приложение_2010-2012 каз_март_Пр 4     11.05.11. ИКС" xfId="585" xr:uid="{00000000-0005-0000-0000-00001B050000}"/>
    <cellStyle name="_Приложение 02 русс на 16.04.2009 г. 1 сессия_Приложение 1-17 рус пост_Приложение_2010-2012 каз_март_Пр 4     11.05.11. ИКС 2" xfId="4014" xr:uid="{00000000-0005-0000-0000-00001C050000}"/>
    <cellStyle name="_Приложение 02 русс на 16.04.2009 г. 1 сессия_Приложение 1-17 рус пост_Приложение_2010-2012 каз_март_Пр 4     11.05.11. ИКС_Приложение_рус _2012-2014_29,30" xfId="586" xr:uid="{00000000-0005-0000-0000-00001D050000}"/>
    <cellStyle name="_Приложение 02 русс на 16.04.2009 г. 1 сессия_Приложение 1-17 рус пост_Приложение_2010-2012 каз_март_Пр 4     11.05.11. ИКС_Приложение_рус _2012-2014_29,30 2" xfId="4015" xr:uid="{00000000-0005-0000-0000-00001E050000}"/>
    <cellStyle name="_Приложение 02 русс на 16.04.2009 г. 1 сессия_Приложение 1-17 рус пост_Приложение_2010-2012 каз_март_Приложение 4 русс,каз 16.03.11. посл" xfId="587" xr:uid="{00000000-0005-0000-0000-00001F050000}"/>
    <cellStyle name="_Приложение 02 русс на 16.04.2009 г. 1 сессия_Приложение 1-17 рус пост_Приложение_2010-2012 каз_март_Приложение 4 русс,каз 16.03.11. посл 2" xfId="4016" xr:uid="{00000000-0005-0000-0000-000020050000}"/>
    <cellStyle name="_Приложение 02 русс на 16.04.2009 г. 1 сессия_Приложение 1-17 рус пост_Приложение_2010-2012 каз_март_Приложение 4 русс,каз 16.03.11. посл_Приложение_рус _2012-2014_29,30" xfId="588" xr:uid="{00000000-0005-0000-0000-000021050000}"/>
    <cellStyle name="_Приложение 02 русс на 16.04.2009 г. 1 сессия_Приложение 1-17 рус пост_Приложение_2010-2012 каз_март_Приложение 4 русс,каз 16.03.11. посл_Приложение_рус _2012-2014_29,30 2" xfId="4017" xr:uid="{00000000-0005-0000-0000-000022050000}"/>
    <cellStyle name="_Приложение 02 русс на 16.04.2009 г. 1 сессия_Приложение 1-17 рус пост_Приложение_2010-2012 каз_март_Приложение_пост_каз_авг" xfId="589" xr:uid="{00000000-0005-0000-0000-000023050000}"/>
    <cellStyle name="_Приложение 02 русс на 16.04.2009 г. 1 сессия_Приложение 1-17 рус пост_Приложение_2010-2012 каз_март_Приложение_пост_каз_авг 2" xfId="4018" xr:uid="{00000000-0005-0000-0000-000024050000}"/>
    <cellStyle name="_Приложение 02 русс на 16.04.2009 г. 1 сессия_Приложение 1-17 рус пост_Приложение_2010-2012 каз_март_Приложение_пост_каз_авг_Анализ" xfId="590" xr:uid="{00000000-0005-0000-0000-000025050000}"/>
    <cellStyle name="_Приложение 02 русс на 16.04.2009 г. 1 сессия_Приложение 1-17 рус пост_Приложение_2010-2012 каз_март_Приложение_пост_каз_авг_Анализ 2" xfId="4019" xr:uid="{00000000-0005-0000-0000-000026050000}"/>
    <cellStyle name="_Приложение 02 русс на 16.04.2009 г. 1 сессия_Приложение 1-17 рус пост_Приложение_2010-2012 каз_март_Приложение_пост_каз_авг_Анализ 3.03.2011г." xfId="2825" xr:uid="{00000000-0005-0000-0000-000027050000}"/>
    <cellStyle name="_Приложение 02 русс на 16.04.2009 г. 1 сессия_Приложение 1-17 рус пост_Приложение_2010-2012 каз_март_Приложение_пост_каз_авг_Анализ 6.03.2011г." xfId="2826" xr:uid="{00000000-0005-0000-0000-000028050000}"/>
    <cellStyle name="_Приложение 02 русс на 16.04.2009 г. 1 сессия_Приложение 1-17 рус пост_Приложение_2010-2012 каз_март_Приложение_пост_каз_авг_Анализ 9.03.2011г." xfId="2827" xr:uid="{00000000-0005-0000-0000-000029050000}"/>
    <cellStyle name="_Приложение 02 русс на 16.04.2009 г. 1 сессия_Приложение 1-17 рус пост_Приложение_2010-2012 каз_март_Приложение_пост_каз_авг_Анализ_Приложение_рус _2012-2014_29,30" xfId="591" xr:uid="{00000000-0005-0000-0000-00002A050000}"/>
    <cellStyle name="_Приложение 02 русс на 16.04.2009 г. 1 сессия_Приложение 1-17 рус пост_Приложение_2010-2012 каз_март_Приложение_пост_каз_авг_Анализ_Приложение_рус _2012-2014_29,30 2" xfId="4020" xr:uid="{00000000-0005-0000-0000-00002B050000}"/>
    <cellStyle name="_Приложение 02 русс на 16.04.2009 г. 1 сессия_Приложение 1-17 рус пост_Приложение_2010-2012 каз_март_Приложение_пост_каз_авг_Пр 4     11.05.11. ИКС" xfId="592" xr:uid="{00000000-0005-0000-0000-00002C050000}"/>
    <cellStyle name="_Приложение 02 русс на 16.04.2009 г. 1 сессия_Приложение 1-17 рус пост_Приложение_2010-2012 каз_март_Приложение_пост_каз_авг_Пр 4     11.05.11. ИКС 2" xfId="4021" xr:uid="{00000000-0005-0000-0000-00002D050000}"/>
    <cellStyle name="_Приложение 02 русс на 16.04.2009 г. 1 сессия_Приложение 1-17 рус пост_Приложение_2010-2012 каз_март_Приложение_пост_каз_авг_Пр 4     11.05.11. ИКС_Приложение_рус _2012-2014_29,30" xfId="593" xr:uid="{00000000-0005-0000-0000-00002E050000}"/>
    <cellStyle name="_Приложение 02 русс на 16.04.2009 г. 1 сессия_Приложение 1-17 рус пост_Приложение_2010-2012 каз_март_Приложение_пост_каз_авг_Пр 4     11.05.11. ИКС_Приложение_рус _2012-2014_29,30 2" xfId="4022" xr:uid="{00000000-0005-0000-0000-00002F050000}"/>
    <cellStyle name="_Приложение 02 русс на 16.04.2009 г. 1 сессия_Приложение 1-17 рус пост_Приложение_2010-2012 каз_март_Приложение_пост_каз_авг_Приложение 4 русс,каз 16.03.11. посл" xfId="594" xr:uid="{00000000-0005-0000-0000-000030050000}"/>
    <cellStyle name="_Приложение 02 русс на 16.04.2009 г. 1 сессия_Приложение 1-17 рус пост_Приложение_2010-2012 каз_март_Приложение_пост_каз_авг_Приложение 4 русс,каз 16.03.11. посл 2" xfId="4023" xr:uid="{00000000-0005-0000-0000-000031050000}"/>
    <cellStyle name="_Приложение 02 русс на 16.04.2009 г. 1 сессия_Приложение 1-17 рус пост_Приложение_2010-2012 каз_март_Приложение_пост_каз_авг_Приложение 4 русс,каз 16.03.11. посл_Приложение_рус _2012-2014_29,30" xfId="595" xr:uid="{00000000-0005-0000-0000-000032050000}"/>
    <cellStyle name="_Приложение 02 русс на 16.04.2009 г. 1 сессия_Приложение 1-17 рус пост_Приложение_2010-2012 каз_март_Приложение_пост_каз_авг_Приложение 4 русс,каз 16.03.11. посл_Приложение_рус _2012-2014_29,30 2" xfId="4024" xr:uid="{00000000-0005-0000-0000-000033050000}"/>
    <cellStyle name="_Приложение 02 русс на 16.04.2009 г. 1 сессия_Приложение 1-17 рус пост_Приложение_2010-2012 каз_март_Приложение_пост_каз_авг_Приложение_реал_рус 2011-2013 Уточнение" xfId="596" xr:uid="{00000000-0005-0000-0000-000034050000}"/>
    <cellStyle name="_Приложение 02 русс на 16.04.2009 г. 1 сессия_Приложение 1-17 рус пост_Приложение_2010-2012 каз_март_Приложение_пост_каз_авг_Приложение_реал_рус 2011-2013 Уточнение 2" xfId="4025" xr:uid="{00000000-0005-0000-0000-000035050000}"/>
    <cellStyle name="_Приложение 02 русс на 16.04.2009 г. 1 сессия_Приложение 1-17 рус пост_Приложение_2010-2012 каз_март_Приложение_пост_каз_авг_Приложение_реал_рус 2011-2013 Уточнение_Приложение_рус _2012-2014_29,30" xfId="597" xr:uid="{00000000-0005-0000-0000-000036050000}"/>
    <cellStyle name="_Приложение 02 русс на 16.04.2009 г. 1 сессия_Приложение 1-17 рус пост_Приложение_2010-2012 каз_март_Приложение_пост_каз_авг_Приложение_реал_рус 2011-2013 Уточнение_Приложение_рус _2012-2014_29,30 2" xfId="4026" xr:uid="{00000000-0005-0000-0000-000037050000}"/>
    <cellStyle name="_Приложение 02 русс на 16.04.2009 г. 1 сессия_Приложение 1-17 рус пост_Приложение_2010-2012 каз_март_Приложение_пост_каз_авг_Приложение_рус _2012-2014_29,30" xfId="598" xr:uid="{00000000-0005-0000-0000-000038050000}"/>
    <cellStyle name="_Приложение 02 русс на 16.04.2009 г. 1 сессия_Приложение 1-17 рус пост_Приложение_2010-2012 каз_март_Приложение_пост_каз_авг_Приложение_рус _2012-2014_29,30 2" xfId="4027" xr:uid="{00000000-0005-0000-0000-000039050000}"/>
    <cellStyle name="_Приложение 02 русс на 16.04.2009 г. 1 сессия_Приложение 1-17 рус пост_Приложение_2010-2012 каз_март_Приложение_пост_каз_авг_приложения 2012 рус" xfId="599" xr:uid="{00000000-0005-0000-0000-00003A050000}"/>
    <cellStyle name="_Приложение 02 русс на 16.04.2009 г. 1 сессия_Приложение 1-17 рус пост_Приложение_2010-2012 каз_март_Приложение_пост_каз_авг_приложения 2012 рус 2" xfId="4028" xr:uid="{00000000-0005-0000-0000-00003B050000}"/>
    <cellStyle name="_Приложение 02 русс на 16.04.2009 г. 1 сессия_Приложение 1-17 рус пост_Приложение_2010-2012 каз_март_Приложение_пост_рус_авг" xfId="600" xr:uid="{00000000-0005-0000-0000-00003C050000}"/>
    <cellStyle name="_Приложение 02 русс на 16.04.2009 г. 1 сессия_Приложение 1-17 рус пост_Приложение_2010-2012 каз_март_Приложение_пост_рус_авг 2" xfId="4029" xr:uid="{00000000-0005-0000-0000-00003D050000}"/>
    <cellStyle name="_Приложение 02 русс на 16.04.2009 г. 1 сессия_Приложение 1-17 рус пост_Приложение_2010-2012 каз_март_Приложение_пост_рус_авг_Анализ" xfId="601" xr:uid="{00000000-0005-0000-0000-00003E050000}"/>
    <cellStyle name="_Приложение 02 русс на 16.04.2009 г. 1 сессия_Приложение 1-17 рус пост_Приложение_2010-2012 каз_март_Приложение_пост_рус_авг_Анализ 2" xfId="4030" xr:uid="{00000000-0005-0000-0000-00003F050000}"/>
    <cellStyle name="_Приложение 02 русс на 16.04.2009 г. 1 сессия_Приложение 1-17 рус пост_Приложение_2010-2012 каз_март_Приложение_пост_рус_авг_Анализ 3.03.2011г." xfId="2828" xr:uid="{00000000-0005-0000-0000-000040050000}"/>
    <cellStyle name="_Приложение 02 русс на 16.04.2009 г. 1 сессия_Приложение 1-17 рус пост_Приложение_2010-2012 каз_март_Приложение_пост_рус_авг_Анализ 6.03.2011г." xfId="2829" xr:uid="{00000000-0005-0000-0000-000041050000}"/>
    <cellStyle name="_Приложение 02 русс на 16.04.2009 г. 1 сессия_Приложение 1-17 рус пост_Приложение_2010-2012 каз_март_Приложение_пост_рус_авг_Анализ 9.03.2011г." xfId="2830" xr:uid="{00000000-0005-0000-0000-000042050000}"/>
    <cellStyle name="_Приложение 02 русс на 16.04.2009 г. 1 сессия_Приложение 1-17 рус пост_Приложение_2010-2012 каз_март_Приложение_пост_рус_авг_Анализ_Приложение_рус _2012-2014_29,30" xfId="602" xr:uid="{00000000-0005-0000-0000-000043050000}"/>
    <cellStyle name="_Приложение 02 русс на 16.04.2009 г. 1 сессия_Приложение 1-17 рус пост_Приложение_2010-2012 каз_март_Приложение_пост_рус_авг_Анализ_Приложение_рус _2012-2014_29,30 2" xfId="4031" xr:uid="{00000000-0005-0000-0000-000044050000}"/>
    <cellStyle name="_Приложение 02 русс на 16.04.2009 г. 1 сессия_Приложение 1-17 рус пост_Приложение_2010-2012 каз_март_Приложение_пост_рус_авг_Пр 4     11.05.11. ИКС" xfId="603" xr:uid="{00000000-0005-0000-0000-000045050000}"/>
    <cellStyle name="_Приложение 02 русс на 16.04.2009 г. 1 сессия_Приложение 1-17 рус пост_Приложение_2010-2012 каз_март_Приложение_пост_рус_авг_Пр 4     11.05.11. ИКС 2" xfId="4032" xr:uid="{00000000-0005-0000-0000-000046050000}"/>
    <cellStyle name="_Приложение 02 русс на 16.04.2009 г. 1 сессия_Приложение 1-17 рус пост_Приложение_2010-2012 каз_март_Приложение_пост_рус_авг_Пр 4     11.05.11. ИКС_Приложение_рус _2012-2014_29,30" xfId="604" xr:uid="{00000000-0005-0000-0000-000047050000}"/>
    <cellStyle name="_Приложение 02 русс на 16.04.2009 г. 1 сессия_Приложение 1-17 рус пост_Приложение_2010-2012 каз_март_Приложение_пост_рус_авг_Пр 4     11.05.11. ИКС_Приложение_рус _2012-2014_29,30 2" xfId="4033" xr:uid="{00000000-0005-0000-0000-000048050000}"/>
    <cellStyle name="_Приложение 02 русс на 16.04.2009 г. 1 сессия_Приложение 1-17 рус пост_Приложение_2010-2012 каз_март_Приложение_пост_рус_авг_Приложение 4 русс,каз 16.03.11. посл" xfId="605" xr:uid="{00000000-0005-0000-0000-000049050000}"/>
    <cellStyle name="_Приложение 02 русс на 16.04.2009 г. 1 сессия_Приложение 1-17 рус пост_Приложение_2010-2012 каз_март_Приложение_пост_рус_авг_Приложение 4 русс,каз 16.03.11. посл 2" xfId="4034" xr:uid="{00000000-0005-0000-0000-00004A050000}"/>
    <cellStyle name="_Приложение 02 русс на 16.04.2009 г. 1 сессия_Приложение 1-17 рус пост_Приложение_2010-2012 каз_март_Приложение_пост_рус_авг_Приложение 4 русс,каз 16.03.11. посл_Приложение_рус _2012-2014_29,30" xfId="606" xr:uid="{00000000-0005-0000-0000-00004B050000}"/>
    <cellStyle name="_Приложение 02 русс на 16.04.2009 г. 1 сессия_Приложение 1-17 рус пост_Приложение_2010-2012 каз_март_Приложение_пост_рус_авг_Приложение 4 русс,каз 16.03.11. посл_Приложение_рус _2012-2014_29,30 2" xfId="4035" xr:uid="{00000000-0005-0000-0000-00004C050000}"/>
    <cellStyle name="_Приложение 02 русс на 16.04.2009 г. 1 сессия_Приложение 1-17 рус пост_Приложение_2010-2012 каз_март_Приложение_пост_рус_авг_Приложение_реал_рус 2011-2013 Уточнение" xfId="607" xr:uid="{00000000-0005-0000-0000-00004D050000}"/>
    <cellStyle name="_Приложение 02 русс на 16.04.2009 г. 1 сессия_Приложение 1-17 рус пост_Приложение_2010-2012 каз_март_Приложение_пост_рус_авг_Приложение_реал_рус 2011-2013 Уточнение 2" xfId="4036" xr:uid="{00000000-0005-0000-0000-00004E050000}"/>
    <cellStyle name="_Приложение 02 русс на 16.04.2009 г. 1 сессия_Приложение 1-17 рус пост_Приложение_2010-2012 каз_март_Приложение_пост_рус_авг_Приложение_реал_рус 2011-2013 Уточнение_Приложение_рус _2012-2014_29,30" xfId="608" xr:uid="{00000000-0005-0000-0000-00004F050000}"/>
    <cellStyle name="_Приложение 02 русс на 16.04.2009 г. 1 сессия_Приложение 1-17 рус пост_Приложение_2010-2012 каз_март_Приложение_пост_рус_авг_Приложение_реал_рус 2011-2013 Уточнение_Приложение_рус _2012-2014_29,30 2" xfId="4037" xr:uid="{00000000-0005-0000-0000-000050050000}"/>
    <cellStyle name="_Приложение 02 русс на 16.04.2009 г. 1 сессия_Приложение 1-17 рус пост_Приложение_2010-2012 каз_март_Приложение_пост_рус_авг_Приложение_рус _2012-2014_29,30" xfId="609" xr:uid="{00000000-0005-0000-0000-000051050000}"/>
    <cellStyle name="_Приложение 02 русс на 16.04.2009 г. 1 сессия_Приложение 1-17 рус пост_Приложение_2010-2012 каз_март_Приложение_пост_рус_авг_Приложение_рус _2012-2014_29,30 2" xfId="4038" xr:uid="{00000000-0005-0000-0000-000052050000}"/>
    <cellStyle name="_Приложение 02 русс на 16.04.2009 г. 1 сессия_Приложение 1-17 рус пост_Приложение_2010-2012 каз_март_Приложение_пост_рус_авг_приложения 2012 рус" xfId="610" xr:uid="{00000000-0005-0000-0000-000053050000}"/>
    <cellStyle name="_Приложение 02 русс на 16.04.2009 г. 1 сессия_Приложение 1-17 рус пост_Приложение_2010-2012 каз_март_Приложение_пост_рус_авг_приложения 2012 рус 2" xfId="4039" xr:uid="{00000000-0005-0000-0000-000054050000}"/>
    <cellStyle name="_Приложение 02 русс на 16.04.2009 г. 1 сессия_Приложение 1-17 рус пост_Приложение_2010-2012 каз_март_Приложение_реал_рус 2011-2013 Уточнение" xfId="611" xr:uid="{00000000-0005-0000-0000-000055050000}"/>
    <cellStyle name="_Приложение 02 русс на 16.04.2009 г. 1 сессия_Приложение 1-17 рус пост_Приложение_2010-2012 каз_март_Приложение_реал_рус 2011-2013 Уточнение 2" xfId="4040" xr:uid="{00000000-0005-0000-0000-000056050000}"/>
    <cellStyle name="_Приложение 02 русс на 16.04.2009 г. 1 сессия_Приложение 1-17 рус пост_Приложение_2010-2012 каз_март_Приложение_реал_рус 2011-2013 Уточнение_Приложение_рус _2012-2014_29,30" xfId="612" xr:uid="{00000000-0005-0000-0000-000057050000}"/>
    <cellStyle name="_Приложение 02 русс на 16.04.2009 г. 1 сессия_Приложение 1-17 рус пост_Приложение_2010-2012 каз_март_Приложение_реал_рус 2011-2013 Уточнение_Приложение_рус _2012-2014_29,30 2" xfId="4041" xr:uid="{00000000-0005-0000-0000-000058050000}"/>
    <cellStyle name="_Приложение 02 русс на 16.04.2009 г. 1 сессия_Приложение 1-17 рус пост_Приложение_2010-2012 каз_март_Приложение_рус _2012-2014_29,30" xfId="613" xr:uid="{00000000-0005-0000-0000-000059050000}"/>
    <cellStyle name="_Приложение 02 русс на 16.04.2009 г. 1 сессия_Приложение 1-17 рус пост_Приложение_2010-2012 каз_март_Приложение_рус _2012-2014_29,30 2" xfId="4042" xr:uid="{00000000-0005-0000-0000-00005A050000}"/>
    <cellStyle name="_Приложение 02 русс на 16.04.2009 г. 1 сессия_Приложение 1-17 рус пост_Приложение_2010-2012 каз_март_приложения 2012 рус" xfId="614" xr:uid="{00000000-0005-0000-0000-00005B050000}"/>
    <cellStyle name="_Приложение 02 русс на 16.04.2009 г. 1 сессия_Приложение 1-17 рус пост_Приложение_2010-2012 каз_март_приложения 2012 рус 2" xfId="4043" xr:uid="{00000000-0005-0000-0000-00005C050000}"/>
    <cellStyle name="_Приложение 02 русс на 16.04.2009 г. 1 сессия_Приложение 1-17 рус пост_Приложение_пост_каз_авг" xfId="615" xr:uid="{00000000-0005-0000-0000-00005D050000}"/>
    <cellStyle name="_Приложение 02 русс на 16.04.2009 г. 1 сессия_Приложение 1-17 рус пост_Приложение_пост_каз_авг 2" xfId="4044" xr:uid="{00000000-0005-0000-0000-00005E050000}"/>
    <cellStyle name="_Приложение 02 русс на 16.04.2009 г. 1 сессия_Приложение 1-17 рус пост_Приложение_пост_каз_авг_Анализ" xfId="616" xr:uid="{00000000-0005-0000-0000-00005F050000}"/>
    <cellStyle name="_Приложение 02 русс на 16.04.2009 г. 1 сессия_Приложение 1-17 рус пост_Приложение_пост_каз_авг_Анализ 2" xfId="4045" xr:uid="{00000000-0005-0000-0000-000060050000}"/>
    <cellStyle name="_Приложение 02 русс на 16.04.2009 г. 1 сессия_Приложение 1-17 рус пост_Приложение_пост_каз_авг_Анализ 3.03.2011г." xfId="2831" xr:uid="{00000000-0005-0000-0000-000061050000}"/>
    <cellStyle name="_Приложение 02 русс на 16.04.2009 г. 1 сессия_Приложение 1-17 рус пост_Приложение_пост_каз_авг_Анализ 6.03.2011г." xfId="2832" xr:uid="{00000000-0005-0000-0000-000062050000}"/>
    <cellStyle name="_Приложение 02 русс на 16.04.2009 г. 1 сессия_Приложение 1-17 рус пост_Приложение_пост_каз_авг_Анализ 9.03.2011г." xfId="2833" xr:uid="{00000000-0005-0000-0000-000063050000}"/>
    <cellStyle name="_Приложение 02 русс на 16.04.2009 г. 1 сессия_Приложение 1-17 рус пост_Приложение_пост_каз_авг_Анализ_Приложение_рус _2012-2014_29,30" xfId="617" xr:uid="{00000000-0005-0000-0000-000064050000}"/>
    <cellStyle name="_Приложение 02 русс на 16.04.2009 г. 1 сессия_Приложение 1-17 рус пост_Приложение_пост_каз_авг_Анализ_Приложение_рус _2012-2014_29,30 2" xfId="4046" xr:uid="{00000000-0005-0000-0000-000065050000}"/>
    <cellStyle name="_Приложение 02 русс на 16.04.2009 г. 1 сессия_Приложение 1-17 рус пост_Приложение_пост_каз_авг_Пр 4     11.05.11. ИКС" xfId="618" xr:uid="{00000000-0005-0000-0000-000066050000}"/>
    <cellStyle name="_Приложение 02 русс на 16.04.2009 г. 1 сессия_Приложение 1-17 рус пост_Приложение_пост_каз_авг_Пр 4     11.05.11. ИКС 2" xfId="4047" xr:uid="{00000000-0005-0000-0000-000067050000}"/>
    <cellStyle name="_Приложение 02 русс на 16.04.2009 г. 1 сессия_Приложение 1-17 рус пост_Приложение_пост_каз_авг_Пр 4     11.05.11. ИКС_Приложение_рус _2012-2014_29,30" xfId="619" xr:uid="{00000000-0005-0000-0000-000068050000}"/>
    <cellStyle name="_Приложение 02 русс на 16.04.2009 г. 1 сессия_Приложение 1-17 рус пост_Приложение_пост_каз_авг_Пр 4     11.05.11. ИКС_Приложение_рус _2012-2014_29,30 2" xfId="4048" xr:uid="{00000000-0005-0000-0000-000069050000}"/>
    <cellStyle name="_Приложение 02 русс на 16.04.2009 г. 1 сессия_Приложение 1-17 рус пост_Приложение_пост_каз_авг_Приложение 4 русс,каз 16.03.11. посл" xfId="620" xr:uid="{00000000-0005-0000-0000-00006A050000}"/>
    <cellStyle name="_Приложение 02 русс на 16.04.2009 г. 1 сессия_Приложение 1-17 рус пост_Приложение_пост_каз_авг_Приложение 4 русс,каз 16.03.11. посл 2" xfId="4049" xr:uid="{00000000-0005-0000-0000-00006B050000}"/>
    <cellStyle name="_Приложение 02 русс на 16.04.2009 г. 1 сессия_Приложение 1-17 рус пост_Приложение_пост_каз_авг_Приложение 4 русс,каз 16.03.11. посл_Приложение_рус _2012-2014_29,30" xfId="621" xr:uid="{00000000-0005-0000-0000-00006C050000}"/>
    <cellStyle name="_Приложение 02 русс на 16.04.2009 г. 1 сессия_Приложение 1-17 рус пост_Приложение_пост_каз_авг_Приложение 4 русс,каз 16.03.11. посл_Приложение_рус _2012-2014_29,30 2" xfId="4050" xr:uid="{00000000-0005-0000-0000-00006D050000}"/>
    <cellStyle name="_Приложение 02 русс на 16.04.2009 г. 1 сессия_Приложение 1-17 рус пост_Приложение_пост_каз_авг_Приложение_реал_рус 2011-2013 Уточнение" xfId="622" xr:uid="{00000000-0005-0000-0000-00006E050000}"/>
    <cellStyle name="_Приложение 02 русс на 16.04.2009 г. 1 сессия_Приложение 1-17 рус пост_Приложение_пост_каз_авг_Приложение_реал_рус 2011-2013 Уточнение 2" xfId="4051" xr:uid="{00000000-0005-0000-0000-00006F050000}"/>
    <cellStyle name="_Приложение 02 русс на 16.04.2009 г. 1 сессия_Приложение 1-17 рус пост_Приложение_пост_каз_авг_Приложение_реал_рус 2011-2013 Уточнение_Приложение_рус _2012-2014_29,30" xfId="623" xr:uid="{00000000-0005-0000-0000-000070050000}"/>
    <cellStyle name="_Приложение 02 русс на 16.04.2009 г. 1 сессия_Приложение 1-17 рус пост_Приложение_пост_каз_авг_Приложение_реал_рус 2011-2013 Уточнение_Приложение_рус _2012-2014_29,30 2" xfId="4052" xr:uid="{00000000-0005-0000-0000-000071050000}"/>
    <cellStyle name="_Приложение 02 русс на 16.04.2009 г. 1 сессия_Приложение 1-17 рус пост_Приложение_пост_каз_авг_Приложение_рус _2012-2014_29,30" xfId="624" xr:uid="{00000000-0005-0000-0000-000072050000}"/>
    <cellStyle name="_Приложение 02 русс на 16.04.2009 г. 1 сессия_Приложение 1-17 рус пост_Приложение_пост_каз_авг_Приложение_рус _2012-2014_29,30 2" xfId="4053" xr:uid="{00000000-0005-0000-0000-000073050000}"/>
    <cellStyle name="_Приложение 02 русс на 16.04.2009 г. 1 сессия_Приложение 1-17 рус пост_Приложение_пост_каз_авг_приложения 2012 рус" xfId="625" xr:uid="{00000000-0005-0000-0000-000074050000}"/>
    <cellStyle name="_Приложение 02 русс на 16.04.2009 г. 1 сессия_Приложение 1-17 рус пост_Приложение_пост_каз_авг_приложения 2012 рус 2" xfId="4054" xr:uid="{00000000-0005-0000-0000-000075050000}"/>
    <cellStyle name="_Приложение 02 русс на 16.04.2009 г. 1 сессия_Приложение 1-18 рус пост" xfId="626" xr:uid="{00000000-0005-0000-0000-000076050000}"/>
    <cellStyle name="_Приложение 02 русс на 16.04.2009 г. 1 сессия_Приложение 1-18 рус пост посл" xfId="627" xr:uid="{00000000-0005-0000-0000-000077050000}"/>
    <cellStyle name="_Приложение 02 русс на 16.04.2009 г. 1 сессия_Приложение 1-18 рус пост посл 2" xfId="4055" xr:uid="{00000000-0005-0000-0000-000078050000}"/>
    <cellStyle name="_Приложение 02 русс на 16.04.2009 г. 1 сессия_Приложение 1-18 рус пост посл 20.10." xfId="628" xr:uid="{00000000-0005-0000-0000-000079050000}"/>
    <cellStyle name="_Приложение 02 русс на 16.04.2009 г. 1 сессия_Приложение 1-18 рус пост посл 20.10. 2" xfId="4056" xr:uid="{00000000-0005-0000-0000-00007A050000}"/>
    <cellStyle name="_Приложение 02 русс на 16.04.2009 г. 1 сессия_Приложение 1-18 рус пост посл 20.10._Анализ" xfId="629" xr:uid="{00000000-0005-0000-0000-00007B050000}"/>
    <cellStyle name="_Приложение 02 русс на 16.04.2009 г. 1 сессия_Приложение 1-18 рус пост посл 20.10._Анализ 2" xfId="4057" xr:uid="{00000000-0005-0000-0000-00007C050000}"/>
    <cellStyle name="_Приложение 02 русс на 16.04.2009 г. 1 сессия_Приложение 1-18 рус пост посл 20.10._Анализ 3.03.2011г." xfId="2834" xr:uid="{00000000-0005-0000-0000-00007D050000}"/>
    <cellStyle name="_Приложение 02 русс на 16.04.2009 г. 1 сессия_Приложение 1-18 рус пост посл 20.10._Анализ 6.03.2011г." xfId="2835" xr:uid="{00000000-0005-0000-0000-00007E050000}"/>
    <cellStyle name="_Приложение 02 русс на 16.04.2009 г. 1 сессия_Приложение 1-18 рус пост посл 20.10._Анализ 9.03.2011г." xfId="2836" xr:uid="{00000000-0005-0000-0000-00007F050000}"/>
    <cellStyle name="_Приложение 02 русс на 16.04.2009 г. 1 сессия_Приложение 1-18 рус пост посл 20.10._Анализ_Приложение_рус _2012-2014_29,30" xfId="630" xr:uid="{00000000-0005-0000-0000-000080050000}"/>
    <cellStyle name="_Приложение 02 русс на 16.04.2009 г. 1 сессия_Приложение 1-18 рус пост посл 20.10._Анализ_Приложение_рус _2012-2014_29,30 2" xfId="4058" xr:uid="{00000000-0005-0000-0000-000081050000}"/>
    <cellStyle name="_Приложение 02 русс на 16.04.2009 г. 1 сессия_Приложение 1-18 рус пост посл 20.10._Копия Приложение_2010-2012 рус март" xfId="631" xr:uid="{00000000-0005-0000-0000-000082050000}"/>
    <cellStyle name="_Приложение 02 русс на 16.04.2009 г. 1 сессия_Приложение 1-18 рус пост посл 20.10._Копия Приложение_2010-2012 рус март 2" xfId="4059" xr:uid="{00000000-0005-0000-0000-000083050000}"/>
    <cellStyle name="_Приложение 02 русс на 16.04.2009 г. 1 сессия_Приложение 1-18 рус пост посл 20.10._Копия Приложение_2010-2012 рус март_Анализ" xfId="632" xr:uid="{00000000-0005-0000-0000-000084050000}"/>
    <cellStyle name="_Приложение 02 русс на 16.04.2009 г. 1 сессия_Приложение 1-18 рус пост посл 20.10._Копия Приложение_2010-2012 рус март_Анализ 2" xfId="4060" xr:uid="{00000000-0005-0000-0000-000085050000}"/>
    <cellStyle name="_Приложение 02 русс на 16.04.2009 г. 1 сессия_Приложение 1-18 рус пост посл 20.10._Копия Приложение_2010-2012 рус март_Анализ 3.03.2011г." xfId="2837" xr:uid="{00000000-0005-0000-0000-000086050000}"/>
    <cellStyle name="_Приложение 02 русс на 16.04.2009 г. 1 сессия_Приложение 1-18 рус пост посл 20.10._Копия Приложение_2010-2012 рус март_Анализ 6.03.2011г." xfId="2838" xr:uid="{00000000-0005-0000-0000-000087050000}"/>
    <cellStyle name="_Приложение 02 русс на 16.04.2009 г. 1 сессия_Приложение 1-18 рус пост посл 20.10._Копия Приложение_2010-2012 рус март_Анализ 9.03.2011г." xfId="2839" xr:uid="{00000000-0005-0000-0000-000088050000}"/>
    <cellStyle name="_Приложение 02 русс на 16.04.2009 г. 1 сессия_Приложение 1-18 рус пост посл 20.10._Копия Приложение_2010-2012 рус март_Анализ_Приложение_рус _2012-2014_29,30" xfId="633" xr:uid="{00000000-0005-0000-0000-000089050000}"/>
    <cellStyle name="_Приложение 02 русс на 16.04.2009 г. 1 сессия_Приложение 1-18 рус пост посл 20.10._Копия Приложение_2010-2012 рус март_Анализ_Приложение_рус _2012-2014_29,30 2" xfId="4061" xr:uid="{00000000-0005-0000-0000-00008A050000}"/>
    <cellStyle name="_Приложение 02 русс на 16.04.2009 г. 1 сессия_Приложение 1-18 рус пост посл 20.10._Копия Приложение_2010-2012 рус март_Пр 4     11.05.11. ИКС" xfId="634" xr:uid="{00000000-0005-0000-0000-00008B050000}"/>
    <cellStyle name="_Приложение 02 русс на 16.04.2009 г. 1 сессия_Приложение 1-18 рус пост посл 20.10._Копия Приложение_2010-2012 рус март_Пр 4     11.05.11. ИКС 2" xfId="4062" xr:uid="{00000000-0005-0000-0000-00008C050000}"/>
    <cellStyle name="_Приложение 02 русс на 16.04.2009 г. 1 сессия_Приложение 1-18 рус пост посл 20.10._Копия Приложение_2010-2012 рус март_Пр 4     11.05.11. ИКС_Приложение_рус _2012-2014_29,30" xfId="635" xr:uid="{00000000-0005-0000-0000-00008D050000}"/>
    <cellStyle name="_Приложение 02 русс на 16.04.2009 г. 1 сессия_Приложение 1-18 рус пост посл 20.10._Копия Приложение_2010-2012 рус март_Пр 4     11.05.11. ИКС_Приложение_рус _2012-2014_29,30 2" xfId="4063" xr:uid="{00000000-0005-0000-0000-00008E050000}"/>
    <cellStyle name="_Приложение 02 русс на 16.04.2009 г. 1 сессия_Приложение 1-18 рус пост посл 20.10._Копия Приложение_2010-2012 рус март_Приложение 4 русс,каз 16.03.11. посл" xfId="636" xr:uid="{00000000-0005-0000-0000-00008F050000}"/>
    <cellStyle name="_Приложение 02 русс на 16.04.2009 г. 1 сессия_Приложение 1-18 рус пост посл 20.10._Копия Приложение_2010-2012 рус март_Приложение 4 русс,каз 16.03.11. посл 2" xfId="4064" xr:uid="{00000000-0005-0000-0000-000090050000}"/>
    <cellStyle name="_Приложение 02 русс на 16.04.2009 г. 1 сессия_Приложение 1-18 рус пост посл 20.10._Копия Приложение_2010-2012 рус март_Приложение 4 русс,каз 16.03.11. посл_Приложение_рус _2012-2014_29,30" xfId="637" xr:uid="{00000000-0005-0000-0000-000091050000}"/>
    <cellStyle name="_Приложение 02 русс на 16.04.2009 г. 1 сессия_Приложение 1-18 рус пост посл 20.10._Копия Приложение_2010-2012 рус март_Приложение 4 русс,каз 16.03.11. посл_Приложение_рус _2012-2014_29,30 2" xfId="4065" xr:uid="{00000000-0005-0000-0000-000092050000}"/>
    <cellStyle name="_Приложение 02 русс на 16.04.2009 г. 1 сессия_Приложение 1-18 рус пост посл 20.10._Копия Приложение_2010-2012 рус март_Приложение_2010-2012 рус 04.08.10" xfId="638" xr:uid="{00000000-0005-0000-0000-000093050000}"/>
    <cellStyle name="_Приложение 02 русс на 16.04.2009 г. 1 сессия_Приложение 1-18 рус пост посл 20.10._Копия Приложение_2010-2012 рус март_Приложение_2010-2012 рус 04.08.10 2" xfId="4066" xr:uid="{00000000-0005-0000-0000-000094050000}"/>
    <cellStyle name="_Приложение 02 русс на 16.04.2009 г. 1 сессия_Приложение 1-18 рус пост посл 20.10._Копия Приложение_2010-2012 рус март_Приложение_2010-2012 рус 04.08.10_Анализ" xfId="639" xr:uid="{00000000-0005-0000-0000-000095050000}"/>
    <cellStyle name="_Приложение 02 русс на 16.04.2009 г. 1 сессия_Приложение 1-18 рус пост посл 20.10._Копия Приложение_2010-2012 рус март_Приложение_2010-2012 рус 04.08.10_Анализ 2" xfId="4067" xr:uid="{00000000-0005-0000-0000-000096050000}"/>
    <cellStyle name="_Приложение 02 русс на 16.04.2009 г. 1 сессия_Приложение 1-18 рус пост посл 20.10._Копия Приложение_2010-2012 рус март_Приложение_2010-2012 рус 04.08.10_Анализ 3.03.2011г." xfId="2840" xr:uid="{00000000-0005-0000-0000-000097050000}"/>
    <cellStyle name="_Приложение 02 русс на 16.04.2009 г. 1 сессия_Приложение 1-18 рус пост посл 20.10._Копия Приложение_2010-2012 рус март_Приложение_2010-2012 рус 04.08.10_Анализ 6.03.2011г." xfId="2841" xr:uid="{00000000-0005-0000-0000-000098050000}"/>
    <cellStyle name="_Приложение 02 русс на 16.04.2009 г. 1 сессия_Приложение 1-18 рус пост посл 20.10._Копия Приложение_2010-2012 рус март_Приложение_2010-2012 рус 04.08.10_Анализ 9.03.2011г." xfId="2842" xr:uid="{00000000-0005-0000-0000-000099050000}"/>
    <cellStyle name="_Приложение 02 русс на 16.04.2009 г. 1 сессия_Приложение 1-18 рус пост посл 20.10._Копия Приложение_2010-2012 рус март_Приложение_2010-2012 рус 04.08.10_Анализ_Приложение_рус _2012-2014_29,30" xfId="640" xr:uid="{00000000-0005-0000-0000-00009A050000}"/>
    <cellStyle name="_Приложение 02 русс на 16.04.2009 г. 1 сессия_Приложение 1-18 рус пост посл 20.10._Копия Приложение_2010-2012 рус март_Приложение_2010-2012 рус 04.08.10_Анализ_Приложение_рус _2012-2014_29,30 2" xfId="4068" xr:uid="{00000000-0005-0000-0000-00009B050000}"/>
    <cellStyle name="_Приложение 02 русс на 16.04.2009 г. 1 сессия_Приложение 1-18 рус пост посл 20.10._Копия Приложение_2010-2012 рус март_Приложение_2010-2012 рус 04.08.10_Пр 4     11.05.11. ИКС" xfId="641" xr:uid="{00000000-0005-0000-0000-00009C050000}"/>
    <cellStyle name="_Приложение 02 русс на 16.04.2009 г. 1 сессия_Приложение 1-18 рус пост посл 20.10._Копия Приложение_2010-2012 рус март_Приложение_2010-2012 рус 04.08.10_Пр 4     11.05.11. ИКС 2" xfId="4069" xr:uid="{00000000-0005-0000-0000-00009D050000}"/>
    <cellStyle name="_Приложение 02 русс на 16.04.2009 г. 1 сессия_Приложение 1-18 рус пост посл 20.10._Копия Приложение_2010-2012 рус март_Приложение_2010-2012 рус 04.08.10_Пр 4     11.05.11. ИКС_Приложение_рус _2012-2014_29,30" xfId="642" xr:uid="{00000000-0005-0000-0000-00009E050000}"/>
    <cellStyle name="_Приложение 02 русс на 16.04.2009 г. 1 сессия_Приложение 1-18 рус пост посл 20.10._Копия Приложение_2010-2012 рус март_Приложение_2010-2012 рус 04.08.10_Пр 4     11.05.11. ИКС_Приложение_рус _2012-2014_29,30 2" xfId="4070" xr:uid="{00000000-0005-0000-0000-00009F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е 4 русс,каз 16.03.11. посл" xfId="643" xr:uid="{00000000-0005-0000-0000-0000A0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е 4 русс,каз 16.03.11. посл 2" xfId="4071" xr:uid="{00000000-0005-0000-0000-0000A1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е 4 русс,каз 16.03.11. посл_Приложение_рус _2012-2014_29,30" xfId="644" xr:uid="{00000000-0005-0000-0000-0000A2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е 4 русс,каз 16.03.11. посл_Приложение_рус _2012-2014_29,30 2" xfId="4072" xr:uid="{00000000-0005-0000-0000-0000A3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еал_рус 2011-2013 Уточнение" xfId="645" xr:uid="{00000000-0005-0000-0000-0000A4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еал_рус 2011-2013 Уточнение 2" xfId="4073" xr:uid="{00000000-0005-0000-0000-0000A5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еал_рус 2011-2013 Уточнение_Приложение_рус _2012-2014_29,30" xfId="646" xr:uid="{00000000-0005-0000-0000-0000A6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еал_рус 2011-2013 Уточнение_Приложение_рус _2012-2014_29,30 2" xfId="4074" xr:uid="{00000000-0005-0000-0000-0000A7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ус _2012-2014_29,30" xfId="647" xr:uid="{00000000-0005-0000-0000-0000A8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ус _2012-2014_29,30 2" xfId="4075" xr:uid="{00000000-0005-0000-0000-0000A9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я 2012 рус" xfId="648" xr:uid="{00000000-0005-0000-0000-0000AA050000}"/>
    <cellStyle name="_Приложение 02 русс на 16.04.2009 г. 1 сессия_Приложение 1-18 рус пост посл 20.10._Копия Приложение_2010-2012 рус март_Приложение_2010-2012 рус 04.08.10_приложения 2012 рус 2" xfId="4076" xr:uid="{00000000-0005-0000-0000-0000AB050000}"/>
    <cellStyle name="_Приложение 02 русс на 16.04.2009 г. 1 сессия_Приложение 1-18 рус пост посл 20.10._Копия Приложение_2010-2012 рус март_Приложение_пост_рус_авг" xfId="649" xr:uid="{00000000-0005-0000-0000-0000AC050000}"/>
    <cellStyle name="_Приложение 02 русс на 16.04.2009 г. 1 сессия_Приложение 1-18 рус пост посл 20.10._Копия Приложение_2010-2012 рус март_Приложение_пост_рус_авг 2" xfId="4077" xr:uid="{00000000-0005-0000-0000-0000AD050000}"/>
    <cellStyle name="_Приложение 02 русс на 16.04.2009 г. 1 сессия_Приложение 1-18 рус пост посл 20.10._Копия Приложение_2010-2012 рус март_Приложение_пост_рус_авг_Анализ" xfId="650" xr:uid="{00000000-0005-0000-0000-0000AE050000}"/>
    <cellStyle name="_Приложение 02 русс на 16.04.2009 г. 1 сессия_Приложение 1-18 рус пост посл 20.10._Копия Приложение_2010-2012 рус март_Приложение_пост_рус_авг_Анализ 2" xfId="4078" xr:uid="{00000000-0005-0000-0000-0000AF050000}"/>
    <cellStyle name="_Приложение 02 русс на 16.04.2009 г. 1 сессия_Приложение 1-18 рус пост посл 20.10._Копия Приложение_2010-2012 рус март_Приложение_пост_рус_авг_Анализ 3.03.2011г." xfId="2843" xr:uid="{00000000-0005-0000-0000-0000B0050000}"/>
    <cellStyle name="_Приложение 02 русс на 16.04.2009 г. 1 сессия_Приложение 1-18 рус пост посл 20.10._Копия Приложение_2010-2012 рус март_Приложение_пост_рус_авг_Анализ 6.03.2011г." xfId="2844" xr:uid="{00000000-0005-0000-0000-0000B1050000}"/>
    <cellStyle name="_Приложение 02 русс на 16.04.2009 г. 1 сессия_Приложение 1-18 рус пост посл 20.10._Копия Приложение_2010-2012 рус март_Приложение_пост_рус_авг_Анализ 9.03.2011г." xfId="2845" xr:uid="{00000000-0005-0000-0000-0000B2050000}"/>
    <cellStyle name="_Приложение 02 русс на 16.04.2009 г. 1 сессия_Приложение 1-18 рус пост посл 20.10._Копия Приложение_2010-2012 рус март_Приложение_пост_рус_авг_Анализ_Приложение_рус _2012-2014_29,30" xfId="651" xr:uid="{00000000-0005-0000-0000-0000B3050000}"/>
    <cellStyle name="_Приложение 02 русс на 16.04.2009 г. 1 сессия_Приложение 1-18 рус пост посл 20.10._Копия Приложение_2010-2012 рус март_Приложение_пост_рус_авг_Анализ_Приложение_рус _2012-2014_29,30 2" xfId="4079" xr:uid="{00000000-0005-0000-0000-0000B4050000}"/>
    <cellStyle name="_Приложение 02 русс на 16.04.2009 г. 1 сессия_Приложение 1-18 рус пост посл 20.10._Копия Приложение_2010-2012 рус март_Приложение_пост_рус_авг_Пр 4     11.05.11. ИКС" xfId="652" xr:uid="{00000000-0005-0000-0000-0000B5050000}"/>
    <cellStyle name="_Приложение 02 русс на 16.04.2009 г. 1 сессия_Приложение 1-18 рус пост посл 20.10._Копия Приложение_2010-2012 рус март_Приложение_пост_рус_авг_Пр 4     11.05.11. ИКС 2" xfId="4080" xr:uid="{00000000-0005-0000-0000-0000B6050000}"/>
    <cellStyle name="_Приложение 02 русс на 16.04.2009 г. 1 сессия_Приложение 1-18 рус пост посл 20.10._Копия Приложение_2010-2012 рус март_Приложение_пост_рус_авг_Пр 4     11.05.11. ИКС_Приложение_рус _2012-2014_29,30" xfId="653" xr:uid="{00000000-0005-0000-0000-0000B7050000}"/>
    <cellStyle name="_Приложение 02 русс на 16.04.2009 г. 1 сессия_Приложение 1-18 рус пост посл 20.10._Копия Приложение_2010-2012 рус март_Приложение_пост_рус_авг_Пр 4     11.05.11. ИКС_Приложение_рус _2012-2014_29,30 2" xfId="4081" xr:uid="{00000000-0005-0000-0000-0000B8050000}"/>
    <cellStyle name="_Приложение 02 русс на 16.04.2009 г. 1 сессия_Приложение 1-18 рус пост посл 20.10._Копия Приложение_2010-2012 рус март_Приложение_пост_рус_авг_Приложение 4 русс,каз 16.03.11. посл" xfId="654" xr:uid="{00000000-0005-0000-0000-0000B9050000}"/>
    <cellStyle name="_Приложение 02 русс на 16.04.2009 г. 1 сессия_Приложение 1-18 рус пост посл 20.10._Копия Приложение_2010-2012 рус март_Приложение_пост_рус_авг_Приложение 4 русс,каз 16.03.11. посл 2" xfId="4082" xr:uid="{00000000-0005-0000-0000-0000BA050000}"/>
    <cellStyle name="_Приложение 02 русс на 16.04.2009 г. 1 сессия_Приложение 1-18 рус пост посл 20.10._Копия Приложение_2010-2012 рус март_Приложение_пост_рус_авг_Приложение 4 русс,каз 16.03.11. посл_Приложение_рус _2012-2014_29,30" xfId="655" xr:uid="{00000000-0005-0000-0000-0000BB050000}"/>
    <cellStyle name="_Приложение 02 русс на 16.04.2009 г. 1 сессия_Приложение 1-18 рус пост посл 20.10._Копия Приложение_2010-2012 рус март_Приложение_пост_рус_авг_Приложение 4 русс,каз 16.03.11. посл_Приложение_рус _2012-2014_29,30 2" xfId="4083" xr:uid="{00000000-0005-0000-0000-0000BC050000}"/>
    <cellStyle name="_Приложение 02 русс на 16.04.2009 г. 1 сессия_Приложение 1-18 рус пост посл 20.10._Копия Приложение_2010-2012 рус март_Приложение_пост_рус_авг_Приложение_реал_рус 2011-2013 Уточнение" xfId="656" xr:uid="{00000000-0005-0000-0000-0000BD050000}"/>
    <cellStyle name="_Приложение 02 русс на 16.04.2009 г. 1 сессия_Приложение 1-18 рус пост посл 20.10._Копия Приложение_2010-2012 рус март_Приложение_пост_рус_авг_Приложение_реал_рус 2011-2013 Уточнение 2" xfId="4084" xr:uid="{00000000-0005-0000-0000-0000BE050000}"/>
    <cellStyle name="_Приложение 02 русс на 16.04.2009 г. 1 сессия_Приложение 1-18 рус пост посл 20.10._Копия Приложение_2010-2012 рус март_Приложение_пост_рус_авг_Приложение_реал_рус 2011-2013 Уточнение_Приложение_рус _2012-2014_29,30" xfId="657" xr:uid="{00000000-0005-0000-0000-0000BF050000}"/>
    <cellStyle name="_Приложение 02 русс на 16.04.2009 г. 1 сессия_Приложение 1-18 рус пост посл 20.10._Копия Приложение_2010-2012 рус март_Приложение_пост_рус_авг_Приложение_реал_рус 2011-2013 Уточнение_Приложение_рус _2012-2014_29,30 2" xfId="4085" xr:uid="{00000000-0005-0000-0000-0000C0050000}"/>
    <cellStyle name="_Приложение 02 русс на 16.04.2009 г. 1 сессия_Приложение 1-18 рус пост посл 20.10._Копия Приложение_2010-2012 рус март_Приложение_пост_рус_авг_Приложение_рус _2012-2014_29,30" xfId="658" xr:uid="{00000000-0005-0000-0000-0000C1050000}"/>
    <cellStyle name="_Приложение 02 русс на 16.04.2009 г. 1 сессия_Приложение 1-18 рус пост посл 20.10._Копия Приложение_2010-2012 рус март_Приложение_пост_рус_авг_Приложение_рус _2012-2014_29,30 2" xfId="4086" xr:uid="{00000000-0005-0000-0000-0000C2050000}"/>
    <cellStyle name="_Приложение 02 русс на 16.04.2009 г. 1 сессия_Приложение 1-18 рус пост посл 20.10._Копия Приложение_2010-2012 рус март_Приложение_пост_рус_авг_приложения 2012 рус" xfId="659" xr:uid="{00000000-0005-0000-0000-0000C3050000}"/>
    <cellStyle name="_Приложение 02 русс на 16.04.2009 г. 1 сессия_Приложение 1-18 рус пост посл 20.10._Копия Приложение_2010-2012 рус март_Приложение_пост_рус_авг_приложения 2012 рус 2" xfId="4087" xr:uid="{00000000-0005-0000-0000-0000C4050000}"/>
    <cellStyle name="_Приложение 02 русс на 16.04.2009 г. 1 сессия_Приложение 1-18 рус пост посл 20.10._Копия Приложение_2010-2012 рус март_Приложение_реал_рус 2011-2013 Уточнение" xfId="660" xr:uid="{00000000-0005-0000-0000-0000C5050000}"/>
    <cellStyle name="_Приложение 02 русс на 16.04.2009 г. 1 сессия_Приложение 1-18 рус пост посл 20.10._Копия Приложение_2010-2012 рус март_Приложение_реал_рус 2011-2013 Уточнение 2" xfId="4088" xr:uid="{00000000-0005-0000-0000-0000C6050000}"/>
    <cellStyle name="_Приложение 02 русс на 16.04.2009 г. 1 сессия_Приложение 1-18 рус пост посл 20.10._Копия Приложение_2010-2012 рус март_Приложение_реал_рус 2011-2013 Уточнение_Приложение_рус _2012-2014_29,30" xfId="661" xr:uid="{00000000-0005-0000-0000-0000C7050000}"/>
    <cellStyle name="_Приложение 02 русс на 16.04.2009 г. 1 сессия_Приложение 1-18 рус пост посл 20.10._Копия Приложение_2010-2012 рус март_Приложение_реал_рус 2011-2013 Уточнение_Приложение_рус _2012-2014_29,30 2" xfId="4089" xr:uid="{00000000-0005-0000-0000-0000C8050000}"/>
    <cellStyle name="_Приложение 02 русс на 16.04.2009 г. 1 сессия_Приложение 1-18 рус пост посл 20.10._Копия Приложение_2010-2012 рус март_Приложение_рус _2012-2014_29,30" xfId="662" xr:uid="{00000000-0005-0000-0000-0000C9050000}"/>
    <cellStyle name="_Приложение 02 русс на 16.04.2009 г. 1 сессия_Приложение 1-18 рус пост посл 20.10._Копия Приложение_2010-2012 рус март_Приложение_рус _2012-2014_29,30 2" xfId="4090" xr:uid="{00000000-0005-0000-0000-0000CA050000}"/>
    <cellStyle name="_Приложение 02 русс на 16.04.2009 г. 1 сессия_Приложение 1-18 рус пост посл 20.10._Копия Приложение_2010-2012 рус март_приложения 2012 рус" xfId="663" xr:uid="{00000000-0005-0000-0000-0000CB050000}"/>
    <cellStyle name="_Приложение 02 русс на 16.04.2009 г. 1 сессия_Приложение 1-18 рус пост посл 20.10._Копия Приложение_2010-2012 рус март_приложения 2012 рус 2" xfId="4091" xr:uid="{00000000-0005-0000-0000-0000CC050000}"/>
    <cellStyle name="_Приложение 02 русс на 16.04.2009 г. 1 сессия_Приложение 1-18 рус пост посл 20.10._Пр 4     11.05.11. ИКС" xfId="664" xr:uid="{00000000-0005-0000-0000-0000CD050000}"/>
    <cellStyle name="_Приложение 02 русс на 16.04.2009 г. 1 сессия_Приложение 1-18 рус пост посл 20.10._Пр 4     11.05.11. ИКС 2" xfId="4092" xr:uid="{00000000-0005-0000-0000-0000CE050000}"/>
    <cellStyle name="_Приложение 02 русс на 16.04.2009 г. 1 сессия_Приложение 1-18 рус пост посл 20.10._Пр 4     11.05.11. ИКС_Приложение_рус _2012-2014_29,30" xfId="665" xr:uid="{00000000-0005-0000-0000-0000CF050000}"/>
    <cellStyle name="_Приложение 02 русс на 16.04.2009 г. 1 сессия_Приложение 1-18 рус пост посл 20.10._Пр 4     11.05.11. ИКС_Приложение_рус _2012-2014_29,30 2" xfId="4093" xr:uid="{00000000-0005-0000-0000-0000D0050000}"/>
    <cellStyle name="_Приложение 02 русс на 16.04.2009 г. 1 сессия_Приложение 1-18 рус пост посл 20.10._прил4р_к" xfId="666" xr:uid="{00000000-0005-0000-0000-0000D1050000}"/>
    <cellStyle name="_Приложение 02 русс на 16.04.2009 г. 1 сессия_Приложение 1-18 рус пост посл 20.10._прил4р_к 2" xfId="667" xr:uid="{00000000-0005-0000-0000-0000D2050000}"/>
    <cellStyle name="_Приложение 02 русс на 16.04.2009 г. 1 сессия_Приложение 1-18 рус пост посл 20.10._прил4р_к 2 2" xfId="4095" xr:uid="{00000000-0005-0000-0000-0000D3050000}"/>
    <cellStyle name="_Приложение 02 русс на 16.04.2009 г. 1 сессия_Приложение 1-18 рус пост посл 20.10._прил4р_к 3" xfId="4094" xr:uid="{00000000-0005-0000-0000-0000D4050000}"/>
    <cellStyle name="_Приложение 02 русс на 16.04.2009 г. 1 сессия_Приложение 1-18 рус пост посл 20.10._прил4р_к_Анализ" xfId="668" xr:uid="{00000000-0005-0000-0000-0000D5050000}"/>
    <cellStyle name="_Приложение 02 русс на 16.04.2009 г. 1 сессия_Приложение 1-18 рус пост посл 20.10._прил4р_к_Анализ 2" xfId="4096" xr:uid="{00000000-0005-0000-0000-0000D6050000}"/>
    <cellStyle name="_Приложение 02 русс на 16.04.2009 г. 1 сессия_Приложение 1-18 рус пост посл 20.10._прил4р_к_Анализ 3.03.2011г." xfId="2846" xr:uid="{00000000-0005-0000-0000-0000D7050000}"/>
    <cellStyle name="_Приложение 02 русс на 16.04.2009 г. 1 сессия_Приложение 1-18 рус пост посл 20.10._прил4р_к_Анализ 6.03.2011г." xfId="2847" xr:uid="{00000000-0005-0000-0000-0000D8050000}"/>
    <cellStyle name="_Приложение 02 русс на 16.04.2009 г. 1 сессия_Приложение 1-18 рус пост посл 20.10._прил4р_к_Анализ 9.03.2011г." xfId="2848" xr:uid="{00000000-0005-0000-0000-0000D9050000}"/>
    <cellStyle name="_Приложение 02 русс на 16.04.2009 г. 1 сессия_Приложение 1-18 рус пост посл 20.10._прил4р_к_Анализ_Приложение_рус _2012-2014_29,30" xfId="669" xr:uid="{00000000-0005-0000-0000-0000DA050000}"/>
    <cellStyle name="_Приложение 02 русс на 16.04.2009 г. 1 сессия_Приложение 1-18 рус пост посл 20.10._прил4р_к_Анализ_Приложение_рус _2012-2014_29,30 2" xfId="4097" xr:uid="{00000000-0005-0000-0000-0000DB050000}"/>
    <cellStyle name="_Приложение 02 русс на 16.04.2009 г. 1 сессия_Приложение 1-18 рус пост посл 20.10._прил4р_к_Пр 4     11.05.11. ИКС" xfId="670" xr:uid="{00000000-0005-0000-0000-0000DC050000}"/>
    <cellStyle name="_Приложение 02 русс на 16.04.2009 г. 1 сессия_Приложение 1-18 рус пост посл 20.10._прил4р_к_Пр 4     11.05.11. ИКС 2" xfId="4098" xr:uid="{00000000-0005-0000-0000-0000DD050000}"/>
    <cellStyle name="_Приложение 02 русс на 16.04.2009 г. 1 сессия_Приложение 1-18 рус пост посл 20.10._прил4р_к_Пр 4     11.05.11. ИКС_Приложение_рус _2012-2014_29,30" xfId="671" xr:uid="{00000000-0005-0000-0000-0000DE050000}"/>
    <cellStyle name="_Приложение 02 русс на 16.04.2009 г. 1 сессия_Приложение 1-18 рус пост посл 20.10._прил4р_к_Пр 4     11.05.11. ИКС_Приложение_рус _2012-2014_29,30 2" xfId="4099" xr:uid="{00000000-0005-0000-0000-0000DF050000}"/>
    <cellStyle name="_Приложение 02 русс на 16.04.2009 г. 1 сессия_Приложение 1-18 рус пост посл 20.10._прил4р_к_Приложение 4 русс,каз 16.03.11. посл" xfId="672" xr:uid="{00000000-0005-0000-0000-0000E0050000}"/>
    <cellStyle name="_Приложение 02 русс на 16.04.2009 г. 1 сессия_Приложение 1-18 рус пост посл 20.10._прил4р_к_Приложение 4 русс,каз 16.03.11. посл 2" xfId="4100" xr:uid="{00000000-0005-0000-0000-0000E1050000}"/>
    <cellStyle name="_Приложение 02 русс на 16.04.2009 г. 1 сессия_Приложение 1-18 рус пост посл 20.10._прил4р_к_Приложение 4 русс,каз 16.03.11. посл_Приложение_рус _2012-2014_29,30" xfId="673" xr:uid="{00000000-0005-0000-0000-0000E2050000}"/>
    <cellStyle name="_Приложение 02 русс на 16.04.2009 г. 1 сессия_Приложение 1-18 рус пост посл 20.10._прил4р_к_Приложение 4 русс,каз 16.03.11. посл_Приложение_рус _2012-2014_29,30 2" xfId="4101" xr:uid="{00000000-0005-0000-0000-0000E3050000}"/>
    <cellStyle name="_Приложение 02 русс на 16.04.2009 г. 1 сессия_Приложение 1-18 рус пост посл 20.10._прил4р_к_Приложение_пост_каз_авг" xfId="674" xr:uid="{00000000-0005-0000-0000-0000E4050000}"/>
    <cellStyle name="_Приложение 02 русс на 16.04.2009 г. 1 сессия_Приложение 1-18 рус пост посл 20.10._прил4р_к_Приложение_пост_каз_авг 2" xfId="4102" xr:uid="{00000000-0005-0000-0000-0000E5050000}"/>
    <cellStyle name="_Приложение 02 русс на 16.04.2009 г. 1 сессия_Приложение 1-18 рус пост посл 20.10._прил4р_к_Приложение_пост_каз_авг_Анализ" xfId="675" xr:uid="{00000000-0005-0000-0000-0000E6050000}"/>
    <cellStyle name="_Приложение 02 русс на 16.04.2009 г. 1 сессия_Приложение 1-18 рус пост посл 20.10._прил4р_к_Приложение_пост_каз_авг_Анализ 2" xfId="4103" xr:uid="{00000000-0005-0000-0000-0000E7050000}"/>
    <cellStyle name="_Приложение 02 русс на 16.04.2009 г. 1 сессия_Приложение 1-18 рус пост посл 20.10._прил4р_к_Приложение_пост_каз_авг_Анализ 3.03.2011г." xfId="2849" xr:uid="{00000000-0005-0000-0000-0000E8050000}"/>
    <cellStyle name="_Приложение 02 русс на 16.04.2009 г. 1 сессия_Приложение 1-18 рус пост посл 20.10._прил4р_к_Приложение_пост_каз_авг_Анализ 6.03.2011г." xfId="2850" xr:uid="{00000000-0005-0000-0000-0000E9050000}"/>
    <cellStyle name="_Приложение 02 русс на 16.04.2009 г. 1 сессия_Приложение 1-18 рус пост посл 20.10._прил4р_к_Приложение_пост_каз_авг_Анализ 9.03.2011г." xfId="2851" xr:uid="{00000000-0005-0000-0000-0000EA050000}"/>
    <cellStyle name="_Приложение 02 русс на 16.04.2009 г. 1 сессия_Приложение 1-18 рус пост посл 20.10._прил4р_к_Приложение_пост_каз_авг_Анализ_Приложение_рус _2012-2014_29,30" xfId="676" xr:uid="{00000000-0005-0000-0000-0000EB050000}"/>
    <cellStyle name="_Приложение 02 русс на 16.04.2009 г. 1 сессия_Приложение 1-18 рус пост посл 20.10._прил4р_к_Приложение_пост_каз_авг_Анализ_Приложение_рус _2012-2014_29,30 2" xfId="4104" xr:uid="{00000000-0005-0000-0000-0000EC050000}"/>
    <cellStyle name="_Приложение 02 русс на 16.04.2009 г. 1 сессия_Приложение 1-18 рус пост посл 20.10._прил4р_к_Приложение_пост_каз_авг_Пр 4     11.05.11. ИКС" xfId="677" xr:uid="{00000000-0005-0000-0000-0000ED050000}"/>
    <cellStyle name="_Приложение 02 русс на 16.04.2009 г. 1 сессия_Приложение 1-18 рус пост посл 20.10._прил4р_к_Приложение_пост_каз_авг_Пр 4     11.05.11. ИКС 2" xfId="4105" xr:uid="{00000000-0005-0000-0000-0000EE050000}"/>
    <cellStyle name="_Приложение 02 русс на 16.04.2009 г. 1 сессия_Приложение 1-18 рус пост посл 20.10._прил4р_к_Приложение_пост_каз_авг_Пр 4     11.05.11. ИКС_Приложение_рус _2012-2014_29,30" xfId="678" xr:uid="{00000000-0005-0000-0000-0000EF050000}"/>
    <cellStyle name="_Приложение 02 русс на 16.04.2009 г. 1 сессия_Приложение 1-18 рус пост посл 20.10._прил4р_к_Приложение_пост_каз_авг_Пр 4     11.05.11. ИКС_Приложение_рус _2012-2014_29,30 2" xfId="4106" xr:uid="{00000000-0005-0000-0000-0000F0050000}"/>
    <cellStyle name="_Приложение 02 русс на 16.04.2009 г. 1 сессия_Приложение 1-18 рус пост посл 20.10._прил4р_к_Приложение_пост_каз_авг_Приложение 4 русс,каз 16.03.11. посл" xfId="679" xr:uid="{00000000-0005-0000-0000-0000F1050000}"/>
    <cellStyle name="_Приложение 02 русс на 16.04.2009 г. 1 сессия_Приложение 1-18 рус пост посл 20.10._прил4р_к_Приложение_пост_каз_авг_Приложение 4 русс,каз 16.03.11. посл 2" xfId="4107" xr:uid="{00000000-0005-0000-0000-0000F2050000}"/>
    <cellStyle name="_Приложение 02 русс на 16.04.2009 г. 1 сессия_Приложение 1-18 рус пост посл 20.10._прил4р_к_Приложение_пост_каз_авг_Приложение 4 русс,каз 16.03.11. посл_Приложение_рус _2012-2014_29,30" xfId="680" xr:uid="{00000000-0005-0000-0000-0000F3050000}"/>
    <cellStyle name="_Приложение 02 русс на 16.04.2009 г. 1 сессия_Приложение 1-18 рус пост посл 20.10._прил4р_к_Приложение_пост_каз_авг_Приложение 4 русс,каз 16.03.11. посл_Приложение_рус _2012-2014_29,30 2" xfId="4108" xr:uid="{00000000-0005-0000-0000-0000F4050000}"/>
    <cellStyle name="_Приложение 02 русс на 16.04.2009 г. 1 сессия_Приложение 1-18 рус пост посл 20.10._прил4р_к_Приложение_пост_каз_авг_Приложение_реал_рус 2011-2013 Уточнение" xfId="681" xr:uid="{00000000-0005-0000-0000-0000F5050000}"/>
    <cellStyle name="_Приложение 02 русс на 16.04.2009 г. 1 сессия_Приложение 1-18 рус пост посл 20.10._прил4р_к_Приложение_пост_каз_авг_Приложение_реал_рус 2011-2013 Уточнение 2" xfId="4109" xr:uid="{00000000-0005-0000-0000-0000F6050000}"/>
    <cellStyle name="_Приложение 02 русс на 16.04.2009 г. 1 сессия_Приложение 1-18 рус пост посл 20.10._прил4р_к_Приложение_пост_каз_авг_Приложение_реал_рус 2011-2013 Уточнение_Приложение_рус _2012-2014_29,30" xfId="682" xr:uid="{00000000-0005-0000-0000-0000F7050000}"/>
    <cellStyle name="_Приложение 02 русс на 16.04.2009 г. 1 сессия_Приложение 1-18 рус пост посл 20.10._прил4р_к_Приложение_пост_каз_авг_Приложение_реал_рус 2011-2013 Уточнение_Приложение_рус _2012-2014_29,30 2" xfId="4110" xr:uid="{00000000-0005-0000-0000-0000F8050000}"/>
    <cellStyle name="_Приложение 02 русс на 16.04.2009 г. 1 сессия_Приложение 1-18 рус пост посл 20.10._прил4р_к_Приложение_пост_каз_авг_Приложение_рус _2012-2014_29,30" xfId="683" xr:uid="{00000000-0005-0000-0000-0000F9050000}"/>
    <cellStyle name="_Приложение 02 русс на 16.04.2009 г. 1 сессия_Приложение 1-18 рус пост посл 20.10._прил4р_к_Приложение_пост_каз_авг_Приложение_рус _2012-2014_29,30 2" xfId="4111" xr:uid="{00000000-0005-0000-0000-0000FA050000}"/>
    <cellStyle name="_Приложение 02 русс на 16.04.2009 г. 1 сессия_Приложение 1-18 рус пост посл 20.10._прил4р_к_Приложение_пост_каз_авг_приложения 2012 рус" xfId="684" xr:uid="{00000000-0005-0000-0000-0000FB050000}"/>
    <cellStyle name="_Приложение 02 русс на 16.04.2009 г. 1 сессия_Приложение 1-18 рус пост посл 20.10._прил4р_к_Приложение_пост_каз_авг_приложения 2012 рус 2" xfId="4112" xr:uid="{00000000-0005-0000-0000-0000FC050000}"/>
    <cellStyle name="_Приложение 02 русс на 16.04.2009 г. 1 сессия_Приложение 1-18 рус пост посл 20.10._прил4р_к_Приложение_пост_рус_авг" xfId="685" xr:uid="{00000000-0005-0000-0000-0000FD050000}"/>
    <cellStyle name="_Приложение 02 русс на 16.04.2009 г. 1 сессия_Приложение 1-18 рус пост посл 20.10._прил4р_к_Приложение_пост_рус_авг 2" xfId="4113" xr:uid="{00000000-0005-0000-0000-0000FE050000}"/>
    <cellStyle name="_Приложение 02 русс на 16.04.2009 г. 1 сессия_Приложение 1-18 рус пост посл 20.10._прил4р_к_Приложение_пост_рус_авг_Анализ" xfId="686" xr:uid="{00000000-0005-0000-0000-0000FF050000}"/>
    <cellStyle name="_Приложение 02 русс на 16.04.2009 г. 1 сессия_Приложение 1-18 рус пост посл 20.10._прил4р_к_Приложение_пост_рус_авг_Анализ 2" xfId="4114" xr:uid="{00000000-0005-0000-0000-000000060000}"/>
    <cellStyle name="_Приложение 02 русс на 16.04.2009 г. 1 сессия_Приложение 1-18 рус пост посл 20.10._прил4р_к_Приложение_пост_рус_авг_Анализ 3.03.2011г." xfId="2852" xr:uid="{00000000-0005-0000-0000-000001060000}"/>
    <cellStyle name="_Приложение 02 русс на 16.04.2009 г. 1 сессия_Приложение 1-18 рус пост посл 20.10._прил4р_к_Приложение_пост_рус_авг_Анализ 6.03.2011г." xfId="2853" xr:uid="{00000000-0005-0000-0000-000002060000}"/>
    <cellStyle name="_Приложение 02 русс на 16.04.2009 г. 1 сессия_Приложение 1-18 рус пост посл 20.10._прил4р_к_Приложение_пост_рус_авг_Анализ 9.03.2011г." xfId="2854" xr:uid="{00000000-0005-0000-0000-000003060000}"/>
    <cellStyle name="_Приложение 02 русс на 16.04.2009 г. 1 сессия_Приложение 1-18 рус пост посл 20.10._прил4р_к_Приложение_пост_рус_авг_Анализ_Приложение_рус _2012-2014_29,30" xfId="687" xr:uid="{00000000-0005-0000-0000-000004060000}"/>
    <cellStyle name="_Приложение 02 русс на 16.04.2009 г. 1 сессия_Приложение 1-18 рус пост посл 20.10._прил4р_к_Приложение_пост_рус_авг_Анализ_Приложение_рус _2012-2014_29,30 2" xfId="4115" xr:uid="{00000000-0005-0000-0000-000005060000}"/>
    <cellStyle name="_Приложение 02 русс на 16.04.2009 г. 1 сессия_Приложение 1-18 рус пост посл 20.10._прил4р_к_Приложение_пост_рус_авг_Пр 4     11.05.11. ИКС" xfId="688" xr:uid="{00000000-0005-0000-0000-000006060000}"/>
    <cellStyle name="_Приложение 02 русс на 16.04.2009 г. 1 сессия_Приложение 1-18 рус пост посл 20.10._прил4р_к_Приложение_пост_рус_авг_Пр 4     11.05.11. ИКС 2" xfId="4116" xr:uid="{00000000-0005-0000-0000-000007060000}"/>
    <cellStyle name="_Приложение 02 русс на 16.04.2009 г. 1 сессия_Приложение 1-18 рус пост посл 20.10._прил4р_к_Приложение_пост_рус_авг_Пр 4     11.05.11. ИКС_Приложение_рус _2012-2014_29,30" xfId="689" xr:uid="{00000000-0005-0000-0000-000008060000}"/>
    <cellStyle name="_Приложение 02 русс на 16.04.2009 г. 1 сессия_Приложение 1-18 рус пост посл 20.10._прил4р_к_Приложение_пост_рус_авг_Пр 4     11.05.11. ИКС_Приложение_рус _2012-2014_29,30 2" xfId="4117" xr:uid="{00000000-0005-0000-0000-000009060000}"/>
    <cellStyle name="_Приложение 02 русс на 16.04.2009 г. 1 сессия_Приложение 1-18 рус пост посл 20.10._прил4р_к_Приложение_пост_рус_авг_Приложение 4 русс,каз 16.03.11. посл" xfId="690" xr:uid="{00000000-0005-0000-0000-00000A060000}"/>
    <cellStyle name="_Приложение 02 русс на 16.04.2009 г. 1 сессия_Приложение 1-18 рус пост посл 20.10._прил4р_к_Приложение_пост_рус_авг_Приложение 4 русс,каз 16.03.11. посл 2" xfId="4118" xr:uid="{00000000-0005-0000-0000-00000B060000}"/>
    <cellStyle name="_Приложение 02 русс на 16.04.2009 г. 1 сессия_Приложение 1-18 рус пост посл 20.10._прил4р_к_Приложение_пост_рус_авг_Приложение 4 русс,каз 16.03.11. посл_Приложение_рус _2012-2014_29,30" xfId="691" xr:uid="{00000000-0005-0000-0000-00000C060000}"/>
    <cellStyle name="_Приложение 02 русс на 16.04.2009 г. 1 сессия_Приложение 1-18 рус пост посл 20.10._прил4р_к_Приложение_пост_рус_авг_Приложение 4 русс,каз 16.03.11. посл_Приложение_рус _2012-2014_29,30 2" xfId="4119" xr:uid="{00000000-0005-0000-0000-00000D060000}"/>
    <cellStyle name="_Приложение 02 русс на 16.04.2009 г. 1 сессия_Приложение 1-18 рус пост посл 20.10._прил4р_к_Приложение_пост_рус_авг_Приложение_реал_рус 2011-2013 Уточнение" xfId="692" xr:uid="{00000000-0005-0000-0000-00000E060000}"/>
    <cellStyle name="_Приложение 02 русс на 16.04.2009 г. 1 сессия_Приложение 1-18 рус пост посл 20.10._прил4р_к_Приложение_пост_рус_авг_Приложение_реал_рус 2011-2013 Уточнение 2" xfId="4120" xr:uid="{00000000-0005-0000-0000-00000F060000}"/>
    <cellStyle name="_Приложение 02 русс на 16.04.2009 г. 1 сессия_Приложение 1-18 рус пост посл 20.10._прил4р_к_Приложение_пост_рус_авг_Приложение_реал_рус 2011-2013 Уточнение_Приложение_рус _2012-2014_29,30" xfId="693" xr:uid="{00000000-0005-0000-0000-000010060000}"/>
    <cellStyle name="_Приложение 02 русс на 16.04.2009 г. 1 сессия_Приложение 1-18 рус пост посл 20.10._прил4р_к_Приложение_пост_рус_авг_Приложение_реал_рус 2011-2013 Уточнение_Приложение_рус _2012-2014_29,30 2" xfId="4121" xr:uid="{00000000-0005-0000-0000-000011060000}"/>
    <cellStyle name="_Приложение 02 русс на 16.04.2009 г. 1 сессия_Приложение 1-18 рус пост посл 20.10._прил4р_к_Приложение_пост_рус_авг_Приложение_рус _2012-2014_29,30" xfId="694" xr:uid="{00000000-0005-0000-0000-000012060000}"/>
    <cellStyle name="_Приложение 02 русс на 16.04.2009 г. 1 сессия_Приложение 1-18 рус пост посл 20.10._прил4р_к_Приложение_пост_рус_авг_Приложение_рус _2012-2014_29,30 2" xfId="4122" xr:uid="{00000000-0005-0000-0000-000013060000}"/>
    <cellStyle name="_Приложение 02 русс на 16.04.2009 г. 1 сессия_Приложение 1-18 рус пост посл 20.10._прил4р_к_Приложение_пост_рус_авг_приложения 2012 рус" xfId="695" xr:uid="{00000000-0005-0000-0000-000014060000}"/>
    <cellStyle name="_Приложение 02 русс на 16.04.2009 г. 1 сессия_Приложение 1-18 рус пост посл 20.10._прил4р_к_Приложение_пост_рус_авг_приложения 2012 рус 2" xfId="4123" xr:uid="{00000000-0005-0000-0000-000015060000}"/>
    <cellStyle name="_Приложение 02 русс на 16.04.2009 г. 1 сессия_Приложение 1-18 рус пост посл 20.10._прил4р_к_Приложение_реал_рус 2011-2013 Уточнение" xfId="696" xr:uid="{00000000-0005-0000-0000-000016060000}"/>
    <cellStyle name="_Приложение 02 русс на 16.04.2009 г. 1 сессия_Приложение 1-18 рус пост посл 20.10._прил4р_к_Приложение_реал_рус 2011-2013 Уточнение 2" xfId="4124" xr:uid="{00000000-0005-0000-0000-000017060000}"/>
    <cellStyle name="_Приложение 02 русс на 16.04.2009 г. 1 сессия_Приложение 1-18 рус пост посл 20.10._прил4р_к_Приложение_реал_рус 2011-2013 Уточнение_Приложение_рус _2012-2014_29,30" xfId="697" xr:uid="{00000000-0005-0000-0000-000018060000}"/>
    <cellStyle name="_Приложение 02 русс на 16.04.2009 г. 1 сессия_Приложение 1-18 рус пост посл 20.10._прил4р_к_Приложение_реал_рус 2011-2013 Уточнение_Приложение_рус _2012-2014_29,30 2" xfId="4125" xr:uid="{00000000-0005-0000-0000-000019060000}"/>
    <cellStyle name="_Приложение 02 русс на 16.04.2009 г. 1 сессия_Приложение 1-18 рус пост посл 20.10._прил4р_к_Приложение_рус _2012-2014_29,30" xfId="698" xr:uid="{00000000-0005-0000-0000-00001A060000}"/>
    <cellStyle name="_Приложение 02 русс на 16.04.2009 г. 1 сессия_Приложение 1-18 рус пост посл 20.10._прил4р_к_Приложение_рус _2012-2014_29,30 2" xfId="4126" xr:uid="{00000000-0005-0000-0000-00001B060000}"/>
    <cellStyle name="_Приложение 02 русс на 16.04.2009 г. 1 сессия_Приложение 1-18 рус пост посл 20.10._прил4р_к_приложения 2012 рус" xfId="699" xr:uid="{00000000-0005-0000-0000-00001C060000}"/>
    <cellStyle name="_Приложение 02 русс на 16.04.2009 г. 1 сессия_Приложение 1-18 рус пост посл 20.10._прил4р_к_приложения 2012 рус 2" xfId="4127" xr:uid="{00000000-0005-0000-0000-00001D060000}"/>
    <cellStyle name="_Приложение 02 русс на 16.04.2009 г. 1 сессия_Приложение 1-18 рус пост посл 20.10._Прилож.к бюдж 2010г." xfId="700" xr:uid="{00000000-0005-0000-0000-00001E060000}"/>
    <cellStyle name="_Приложение 02 русс на 16.04.2009 г. 1 сессия_Приложение 1-18 рус пост посл 20.10._Прилож.к бюдж 2010г. 2" xfId="4128" xr:uid="{00000000-0005-0000-0000-00001F060000}"/>
    <cellStyle name="_Приложение 02 русс на 16.04.2009 г. 1 сессия_Приложение 1-18 рус пост посл 20.10._Прилож.к бюдж 2010г._Анализ" xfId="701" xr:uid="{00000000-0005-0000-0000-000020060000}"/>
    <cellStyle name="_Приложение 02 русс на 16.04.2009 г. 1 сессия_Приложение 1-18 рус пост посл 20.10._Прилож.к бюдж 2010г._Анализ 2" xfId="4129" xr:uid="{00000000-0005-0000-0000-000021060000}"/>
    <cellStyle name="_Приложение 02 русс на 16.04.2009 г. 1 сессия_Приложение 1-18 рус пост посл 20.10._Прилож.к бюдж 2010г._Анализ 3.03.2011г." xfId="2855" xr:uid="{00000000-0005-0000-0000-000022060000}"/>
    <cellStyle name="_Приложение 02 русс на 16.04.2009 г. 1 сессия_Приложение 1-18 рус пост посл 20.10._Прилож.к бюдж 2010г._Анализ 6.03.2011г." xfId="2856" xr:uid="{00000000-0005-0000-0000-000023060000}"/>
    <cellStyle name="_Приложение 02 русс на 16.04.2009 г. 1 сессия_Приложение 1-18 рус пост посл 20.10._Прилож.к бюдж 2010г._Анализ 9.03.2011г." xfId="2857" xr:uid="{00000000-0005-0000-0000-000024060000}"/>
    <cellStyle name="_Приложение 02 русс на 16.04.2009 г. 1 сессия_Приложение 1-18 рус пост посл 20.10._Прилож.к бюдж 2010г._Анализ_Приложение_рус _2012-2014_29,30" xfId="702" xr:uid="{00000000-0005-0000-0000-000025060000}"/>
    <cellStyle name="_Приложение 02 русс на 16.04.2009 г. 1 сессия_Приложение 1-18 рус пост посл 20.10._Прилож.к бюдж 2010г._Анализ_Приложение_рус _2012-2014_29,30 2" xfId="4130" xr:uid="{00000000-0005-0000-0000-000026060000}"/>
    <cellStyle name="_Приложение 02 русс на 16.04.2009 г. 1 сессия_Приложение 1-18 рус пост посл 20.10._Прилож.к бюдж 2010г._Копия Приложение_2010-2012 рус март" xfId="703" xr:uid="{00000000-0005-0000-0000-000027060000}"/>
    <cellStyle name="_Приложение 02 русс на 16.04.2009 г. 1 сессия_Приложение 1-18 рус пост посл 20.10._Прилож.к бюдж 2010г._Копия Приложение_2010-2012 рус март 2" xfId="4131" xr:uid="{00000000-0005-0000-0000-000028060000}"/>
    <cellStyle name="_Приложение 02 русс на 16.04.2009 г. 1 сессия_Приложение 1-18 рус пост посл 20.10._Прилож.к бюдж 2010г._Копия Приложение_2010-2012 рус март_Анализ" xfId="704" xr:uid="{00000000-0005-0000-0000-000029060000}"/>
    <cellStyle name="_Приложение 02 русс на 16.04.2009 г. 1 сессия_Приложение 1-18 рус пост посл 20.10._Прилож.к бюдж 2010г._Копия Приложение_2010-2012 рус март_Анализ 2" xfId="4132" xr:uid="{00000000-0005-0000-0000-00002A060000}"/>
    <cellStyle name="_Приложение 02 русс на 16.04.2009 г. 1 сессия_Приложение 1-18 рус пост посл 20.10._Прилож.к бюдж 2010г._Копия Приложение_2010-2012 рус март_Анализ 3.03.2011г." xfId="2858" xr:uid="{00000000-0005-0000-0000-00002B060000}"/>
    <cellStyle name="_Приложение 02 русс на 16.04.2009 г. 1 сессия_Приложение 1-18 рус пост посл 20.10._Прилож.к бюдж 2010г._Копия Приложение_2010-2012 рус март_Анализ 6.03.2011г." xfId="2859" xr:uid="{00000000-0005-0000-0000-00002C060000}"/>
    <cellStyle name="_Приложение 02 русс на 16.04.2009 г. 1 сессия_Приложение 1-18 рус пост посл 20.10._Прилож.к бюдж 2010г._Копия Приложение_2010-2012 рус март_Анализ 9.03.2011г." xfId="2860" xr:uid="{00000000-0005-0000-0000-00002D060000}"/>
    <cellStyle name="_Приложение 02 русс на 16.04.2009 г. 1 сессия_Приложение 1-18 рус пост посл 20.10._Прилож.к бюдж 2010г._Копия Приложение_2010-2012 рус март_Анализ_Приложение_рус _2012-2014_29,30" xfId="705" xr:uid="{00000000-0005-0000-0000-00002E060000}"/>
    <cellStyle name="_Приложение 02 русс на 16.04.2009 г. 1 сессия_Приложение 1-18 рус пост посл 20.10._Прилож.к бюдж 2010г._Копия Приложение_2010-2012 рус март_Анализ_Приложение_рус _2012-2014_29,30 2" xfId="4133" xr:uid="{00000000-0005-0000-0000-00002F060000}"/>
    <cellStyle name="_Приложение 02 русс на 16.04.2009 г. 1 сессия_Приложение 1-18 рус пост посл 20.10._Прилож.к бюдж 2010г._Копия Приложение_2010-2012 рус март_Пр 4     11.05.11. ИКС" xfId="706" xr:uid="{00000000-0005-0000-0000-000030060000}"/>
    <cellStyle name="_Приложение 02 русс на 16.04.2009 г. 1 сессия_Приложение 1-18 рус пост посл 20.10._Прилож.к бюдж 2010г._Копия Приложение_2010-2012 рус март_Пр 4     11.05.11. ИКС 2" xfId="4134" xr:uid="{00000000-0005-0000-0000-000031060000}"/>
    <cellStyle name="_Приложение 02 русс на 16.04.2009 г. 1 сессия_Приложение 1-18 рус пост посл 20.10._Прилож.к бюдж 2010г._Копия Приложение_2010-2012 рус март_Пр 4     11.05.11. ИКС_Приложение_рус _2012-2014_29,30" xfId="707" xr:uid="{00000000-0005-0000-0000-000032060000}"/>
    <cellStyle name="_Приложение 02 русс на 16.04.2009 г. 1 сессия_Приложение 1-18 рус пост посл 20.10._Прилож.к бюдж 2010г._Копия Приложение_2010-2012 рус март_Пр 4     11.05.11. ИКС_Приложение_рус _2012-2014_29,30 2" xfId="4135" xr:uid="{00000000-0005-0000-0000-000033060000}"/>
    <cellStyle name="_Приложение 02 русс на 16.04.2009 г. 1 сессия_Приложение 1-18 рус пост посл 20.10._Прилож.к бюдж 2010г._Копия Приложение_2010-2012 рус март_Приложение 4 русс,каз 16.03.11. посл" xfId="708" xr:uid="{00000000-0005-0000-0000-000034060000}"/>
    <cellStyle name="_Приложение 02 русс на 16.04.2009 г. 1 сессия_Приложение 1-18 рус пост посл 20.10._Прилож.к бюдж 2010г._Копия Приложение_2010-2012 рус март_Приложение 4 русс,каз 16.03.11. посл 2" xfId="4136" xr:uid="{00000000-0005-0000-0000-000035060000}"/>
    <cellStyle name="_Приложение 02 русс на 16.04.2009 г. 1 сессия_Приложение 1-18 рус пост посл 20.10._Прилож.к бюдж 2010г._Копия Приложение_2010-2012 рус март_Приложение 4 русс,каз 16.03.11. посл_Приложение_рус _2012-2014_29,30" xfId="709" xr:uid="{00000000-0005-0000-0000-000036060000}"/>
    <cellStyle name="_Приложение 02 русс на 16.04.2009 г. 1 сессия_Приложение 1-18 рус пост посл 20.10._Прилож.к бюдж 2010г._Копия Приложение_2010-2012 рус март_Приложение 4 русс,каз 16.03.11. посл_Приложение_рус _2012-2014_29,30 2" xfId="4137" xr:uid="{00000000-0005-0000-0000-000037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" xfId="710" xr:uid="{00000000-0005-0000-0000-000038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 2" xfId="4138" xr:uid="{00000000-0005-0000-0000-000039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" xfId="711" xr:uid="{00000000-0005-0000-0000-00003A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 2" xfId="4139" xr:uid="{00000000-0005-0000-0000-00003B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 3.03.2011г." xfId="2861" xr:uid="{00000000-0005-0000-0000-00003C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 6.03.2011г." xfId="2862" xr:uid="{00000000-0005-0000-0000-00003D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 9.03.2011г." xfId="2863" xr:uid="{00000000-0005-0000-0000-00003E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_Приложение_рус _2012-2014_29,30" xfId="712" xr:uid="{00000000-0005-0000-0000-00003F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_Приложение_рус _2012-2014_29,30 2" xfId="4140" xr:uid="{00000000-0005-0000-0000-000040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 4     11.05.11. ИКС" xfId="713" xr:uid="{00000000-0005-0000-0000-000041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 4     11.05.11. ИКС 2" xfId="4141" xr:uid="{00000000-0005-0000-0000-000042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 4     11.05.11. ИКС_Приложение_рус _2012-2014_29,30" xfId="714" xr:uid="{00000000-0005-0000-0000-000043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 4     11.05.11. ИКС_Приложение_рус _2012-2014_29,30 2" xfId="4142" xr:uid="{00000000-0005-0000-0000-000044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 4 русс,каз 16.03.11. посл" xfId="715" xr:uid="{00000000-0005-0000-0000-000045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 4 русс,каз 16.03.11. посл 2" xfId="4143" xr:uid="{00000000-0005-0000-0000-000046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 4 русс,каз 16.03.11. посл_Приложение_рус _2012-2014_29,30" xfId="716" xr:uid="{00000000-0005-0000-0000-000047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 4 русс,каз 16.03.11. посл_Приложение_рус _2012-2014_29,30 2" xfId="4144" xr:uid="{00000000-0005-0000-0000-000048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еал_рус 2011-2013 Уточнение" xfId="717" xr:uid="{00000000-0005-0000-0000-000049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еал_рус 2011-2013 Уточнение 2" xfId="4145" xr:uid="{00000000-0005-0000-0000-00004A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еал_рус 2011-2013 Уточнение_Приложение_рус _2012-2014_29,30" xfId="718" xr:uid="{00000000-0005-0000-0000-00004B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еал_рус 2011-2013 Уточнение_Приложение_рус _2012-2014_29,30 2" xfId="4146" xr:uid="{00000000-0005-0000-0000-00004C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ус _2012-2014_29,30" xfId="719" xr:uid="{00000000-0005-0000-0000-00004D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ус _2012-2014_29,30 2" xfId="4147" xr:uid="{00000000-0005-0000-0000-00004E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я 2012 рус" xfId="720" xr:uid="{00000000-0005-0000-0000-00004F060000}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я 2012 рус 2" xfId="4148" xr:uid="{00000000-0005-0000-0000-000050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" xfId="721" xr:uid="{00000000-0005-0000-0000-000051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 2" xfId="4149" xr:uid="{00000000-0005-0000-0000-000052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" xfId="722" xr:uid="{00000000-0005-0000-0000-000053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 2" xfId="4150" xr:uid="{00000000-0005-0000-0000-000054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 3.03.2011г." xfId="2864" xr:uid="{00000000-0005-0000-0000-000055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 6.03.2011г." xfId="2865" xr:uid="{00000000-0005-0000-0000-000056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 9.03.2011г." xfId="2866" xr:uid="{00000000-0005-0000-0000-000057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_Приложение_рус _2012-2014_29,30" xfId="723" xr:uid="{00000000-0005-0000-0000-000058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_Приложение_рус _2012-2014_29,30 2" xfId="4151" xr:uid="{00000000-0005-0000-0000-000059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 4     11.05.11. ИКС" xfId="724" xr:uid="{00000000-0005-0000-0000-00005A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 4     11.05.11. ИКС 2" xfId="4152" xr:uid="{00000000-0005-0000-0000-00005B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 4     11.05.11. ИКС_Приложение_рус _2012-2014_29,30" xfId="725" xr:uid="{00000000-0005-0000-0000-00005C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 4     11.05.11. ИКС_Приложение_рус _2012-2014_29,30 2" xfId="4153" xr:uid="{00000000-0005-0000-0000-00005D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 4 русс,каз 16.03.11. посл" xfId="726" xr:uid="{00000000-0005-0000-0000-00005E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 4 русс,каз 16.03.11. посл 2" xfId="4154" xr:uid="{00000000-0005-0000-0000-00005F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 4 русс,каз 16.03.11. посл_Приложение_рус _2012-2014_29,30" xfId="727" xr:uid="{00000000-0005-0000-0000-000060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 4 русс,каз 16.03.11. посл_Приложение_рус _2012-2014_29,30 2" xfId="4155" xr:uid="{00000000-0005-0000-0000-000061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еал_рус 2011-2013 Уточнение" xfId="728" xr:uid="{00000000-0005-0000-0000-000062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еал_рус 2011-2013 Уточнение 2" xfId="4156" xr:uid="{00000000-0005-0000-0000-000063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еал_рус 2011-2013 Уточнение_Приложение_рус _2012-2014_29,30" xfId="729" xr:uid="{00000000-0005-0000-0000-000064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еал_рус 2011-2013 Уточнение_Приложение_рус _2012-2014_29,30 2" xfId="4157" xr:uid="{00000000-0005-0000-0000-000065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ус _2012-2014_29,30" xfId="730" xr:uid="{00000000-0005-0000-0000-000066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ус _2012-2014_29,30 2" xfId="4158" xr:uid="{00000000-0005-0000-0000-000067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я 2012 рус" xfId="731" xr:uid="{00000000-0005-0000-0000-000068060000}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я 2012 рус 2" xfId="4159" xr:uid="{00000000-0005-0000-0000-000069060000}"/>
    <cellStyle name="_Приложение 02 русс на 16.04.2009 г. 1 сессия_Приложение 1-18 рус пост посл 20.10._Прилож.к бюдж 2010г._Копия Приложение_2010-2012 рус март_Приложение_реал_рус 2011-2013 Уточнение" xfId="732" xr:uid="{00000000-0005-0000-0000-00006A060000}"/>
    <cellStyle name="_Приложение 02 русс на 16.04.2009 г. 1 сессия_Приложение 1-18 рус пост посл 20.10._Прилож.к бюдж 2010г._Копия Приложение_2010-2012 рус март_Приложение_реал_рус 2011-2013 Уточнение 2" xfId="4160" xr:uid="{00000000-0005-0000-0000-00006B060000}"/>
    <cellStyle name="_Приложение 02 русс на 16.04.2009 г. 1 сессия_Приложение 1-18 рус пост посл 20.10._Прилож.к бюдж 2010г._Копия Приложение_2010-2012 рус март_Приложение_реал_рус 2011-2013 Уточнение_Приложение_рус _2012-2014_29,30" xfId="733" xr:uid="{00000000-0005-0000-0000-00006C060000}"/>
    <cellStyle name="_Приложение 02 русс на 16.04.2009 г. 1 сессия_Приложение 1-18 рус пост посл 20.10._Прилож.к бюдж 2010г._Копия Приложение_2010-2012 рус март_Приложение_реал_рус 2011-2013 Уточнение_Приложение_рус _2012-2014_29,30 2" xfId="4161" xr:uid="{00000000-0005-0000-0000-00006D060000}"/>
    <cellStyle name="_Приложение 02 русс на 16.04.2009 г. 1 сессия_Приложение 1-18 рус пост посл 20.10._Прилож.к бюдж 2010г._Копия Приложение_2010-2012 рус март_Приложение_рус _2012-2014_29,30" xfId="734" xr:uid="{00000000-0005-0000-0000-00006E060000}"/>
    <cellStyle name="_Приложение 02 русс на 16.04.2009 г. 1 сессия_Приложение 1-18 рус пост посл 20.10._Прилож.к бюдж 2010г._Копия Приложение_2010-2012 рус март_Приложение_рус _2012-2014_29,30 2" xfId="4162" xr:uid="{00000000-0005-0000-0000-00006F060000}"/>
    <cellStyle name="_Приложение 02 русс на 16.04.2009 г. 1 сессия_Приложение 1-18 рус пост посл 20.10._Прилож.к бюдж 2010г._Копия Приложение_2010-2012 рус март_приложения 2012 рус" xfId="735" xr:uid="{00000000-0005-0000-0000-000070060000}"/>
    <cellStyle name="_Приложение 02 русс на 16.04.2009 г. 1 сессия_Приложение 1-18 рус пост посл 20.10._Прилож.к бюдж 2010г._Копия Приложение_2010-2012 рус март_приложения 2012 рус 2" xfId="4163" xr:uid="{00000000-0005-0000-0000-000071060000}"/>
    <cellStyle name="_Приложение 02 русс на 16.04.2009 г. 1 сессия_Приложение 1-18 рус пост посл 20.10._Прилож.к бюдж 2010г._Пр 4     11.05.11. ИКС" xfId="736" xr:uid="{00000000-0005-0000-0000-000072060000}"/>
    <cellStyle name="_Приложение 02 русс на 16.04.2009 г. 1 сессия_Приложение 1-18 рус пост посл 20.10._Прилож.к бюдж 2010г._Пр 4     11.05.11. ИКС 2" xfId="4164" xr:uid="{00000000-0005-0000-0000-000073060000}"/>
    <cellStyle name="_Приложение 02 русс на 16.04.2009 г. 1 сессия_Приложение 1-18 рус пост посл 20.10._Прилож.к бюдж 2010г._Пр 4     11.05.11. ИКС_Приложение_рус _2012-2014_29,30" xfId="737" xr:uid="{00000000-0005-0000-0000-000074060000}"/>
    <cellStyle name="_Приложение 02 русс на 16.04.2009 г. 1 сессия_Приложение 1-18 рус пост посл 20.10._Прилож.к бюдж 2010г._Пр 4     11.05.11. ИКС_Приложение_рус _2012-2014_29,30 2" xfId="4165" xr:uid="{00000000-0005-0000-0000-000075060000}"/>
    <cellStyle name="_Приложение 02 русс на 16.04.2009 г. 1 сессия_Приложение 1-18 рус пост посл 20.10._Прилож.к бюдж 2010г._прил4р_к" xfId="738" xr:uid="{00000000-0005-0000-0000-000076060000}"/>
    <cellStyle name="_Приложение 02 русс на 16.04.2009 г. 1 сессия_Приложение 1-18 рус пост посл 20.10._Прилож.к бюдж 2010г._прил4р_к 2" xfId="739" xr:uid="{00000000-0005-0000-0000-000077060000}"/>
    <cellStyle name="_Приложение 02 русс на 16.04.2009 г. 1 сессия_Приложение 1-18 рус пост посл 20.10._Прилож.к бюдж 2010г._прил4р_к 2 2" xfId="4167" xr:uid="{00000000-0005-0000-0000-000078060000}"/>
    <cellStyle name="_Приложение 02 русс на 16.04.2009 г. 1 сессия_Приложение 1-18 рус пост посл 20.10._Прилож.к бюдж 2010г._прил4р_к 3" xfId="4166" xr:uid="{00000000-0005-0000-0000-000079060000}"/>
    <cellStyle name="_Приложение 02 русс на 16.04.2009 г. 1 сессия_Приложение 1-18 рус пост посл 20.10._Прилож.к бюдж 2010г._прил4р_к_Анализ" xfId="740" xr:uid="{00000000-0005-0000-0000-00007A060000}"/>
    <cellStyle name="_Приложение 02 русс на 16.04.2009 г. 1 сессия_Приложение 1-18 рус пост посл 20.10._Прилож.к бюдж 2010г._прил4р_к_Анализ 2" xfId="4168" xr:uid="{00000000-0005-0000-0000-00007B060000}"/>
    <cellStyle name="_Приложение 02 русс на 16.04.2009 г. 1 сессия_Приложение 1-18 рус пост посл 20.10._Прилож.к бюдж 2010г._прил4р_к_Анализ 3.03.2011г." xfId="2867" xr:uid="{00000000-0005-0000-0000-00007C060000}"/>
    <cellStyle name="_Приложение 02 русс на 16.04.2009 г. 1 сессия_Приложение 1-18 рус пост посл 20.10._Прилож.к бюдж 2010г._прил4р_к_Анализ 6.03.2011г." xfId="2868" xr:uid="{00000000-0005-0000-0000-00007D060000}"/>
    <cellStyle name="_Приложение 02 русс на 16.04.2009 г. 1 сессия_Приложение 1-18 рус пост посл 20.10._Прилож.к бюдж 2010г._прил4р_к_Анализ 9.03.2011г." xfId="2869" xr:uid="{00000000-0005-0000-0000-00007E060000}"/>
    <cellStyle name="_Приложение 02 русс на 16.04.2009 г. 1 сессия_Приложение 1-18 рус пост посл 20.10._Прилож.к бюдж 2010г._прил4р_к_Анализ_Приложение_рус _2012-2014_29,30" xfId="741" xr:uid="{00000000-0005-0000-0000-00007F060000}"/>
    <cellStyle name="_Приложение 02 русс на 16.04.2009 г. 1 сессия_Приложение 1-18 рус пост посл 20.10._Прилож.к бюдж 2010г._прил4р_к_Анализ_Приложение_рус _2012-2014_29,30 2" xfId="4169" xr:uid="{00000000-0005-0000-0000-000080060000}"/>
    <cellStyle name="_Приложение 02 русс на 16.04.2009 г. 1 сессия_Приложение 1-18 рус пост посл 20.10._Прилож.к бюдж 2010г._прил4р_к_Пр 4     11.05.11. ИКС" xfId="742" xr:uid="{00000000-0005-0000-0000-000081060000}"/>
    <cellStyle name="_Приложение 02 русс на 16.04.2009 г. 1 сессия_Приложение 1-18 рус пост посл 20.10._Прилож.к бюдж 2010г._прил4р_к_Пр 4     11.05.11. ИКС 2" xfId="4170" xr:uid="{00000000-0005-0000-0000-000082060000}"/>
    <cellStyle name="_Приложение 02 русс на 16.04.2009 г. 1 сессия_Приложение 1-18 рус пост посл 20.10._Прилож.к бюдж 2010г._прил4р_к_Пр 4     11.05.11. ИКС_Приложение_рус _2012-2014_29,30" xfId="743" xr:uid="{00000000-0005-0000-0000-000083060000}"/>
    <cellStyle name="_Приложение 02 русс на 16.04.2009 г. 1 сессия_Приложение 1-18 рус пост посл 20.10._Прилож.к бюдж 2010г._прил4р_к_Пр 4     11.05.11. ИКС_Приложение_рус _2012-2014_29,30 2" xfId="4171" xr:uid="{00000000-0005-0000-0000-000084060000}"/>
    <cellStyle name="_Приложение 02 русс на 16.04.2009 г. 1 сессия_Приложение 1-18 рус пост посл 20.10._Прилож.к бюдж 2010г._прил4р_к_Приложение 4 русс,каз 16.03.11. посл" xfId="744" xr:uid="{00000000-0005-0000-0000-000085060000}"/>
    <cellStyle name="_Приложение 02 русс на 16.04.2009 г. 1 сессия_Приложение 1-18 рус пост посл 20.10._Прилож.к бюдж 2010г._прил4р_к_Приложение 4 русс,каз 16.03.11. посл 2" xfId="4172" xr:uid="{00000000-0005-0000-0000-000086060000}"/>
    <cellStyle name="_Приложение 02 русс на 16.04.2009 г. 1 сессия_Приложение 1-18 рус пост посл 20.10._Прилож.к бюдж 2010г._прил4р_к_Приложение 4 русс,каз 16.03.11. посл_Приложение_рус _2012-2014_29,30" xfId="745" xr:uid="{00000000-0005-0000-0000-000087060000}"/>
    <cellStyle name="_Приложение 02 русс на 16.04.2009 г. 1 сессия_Приложение 1-18 рус пост посл 20.10._Прилож.к бюдж 2010г._прил4р_к_Приложение 4 русс,каз 16.03.11. посл_Приложение_рус _2012-2014_29,30 2" xfId="4173" xr:uid="{00000000-0005-0000-0000-000088060000}"/>
    <cellStyle name="_Приложение 02 русс на 16.04.2009 г. 1 сессия_Приложение 1-18 рус пост посл 20.10._Прилож.к бюдж 2010г._прил4р_к_Приложение_пост_каз_авг" xfId="746" xr:uid="{00000000-0005-0000-0000-000089060000}"/>
    <cellStyle name="_Приложение 02 русс на 16.04.2009 г. 1 сессия_Приложение 1-18 рус пост посл 20.10._Прилож.к бюдж 2010г._прил4р_к_Приложение_пост_каз_авг 2" xfId="4174" xr:uid="{00000000-0005-0000-0000-00008A060000}"/>
    <cellStyle name="_Приложение 02 русс на 16.04.2009 г. 1 сессия_Приложение 1-18 рус пост посл 20.10._Прилож.к бюдж 2010г._прил4р_к_Приложение_пост_каз_авг_Анализ" xfId="747" xr:uid="{00000000-0005-0000-0000-00008B060000}"/>
    <cellStyle name="_Приложение 02 русс на 16.04.2009 г. 1 сессия_Приложение 1-18 рус пост посл 20.10._Прилож.к бюдж 2010г._прил4р_к_Приложение_пост_каз_авг_Анализ 2" xfId="4175" xr:uid="{00000000-0005-0000-0000-00008C060000}"/>
    <cellStyle name="_Приложение 02 русс на 16.04.2009 г. 1 сессия_Приложение 1-18 рус пост посл 20.10._Прилож.к бюдж 2010г._прил4р_к_Приложение_пост_каз_авг_Анализ 3.03.2011г." xfId="2870" xr:uid="{00000000-0005-0000-0000-00008D060000}"/>
    <cellStyle name="_Приложение 02 русс на 16.04.2009 г. 1 сессия_Приложение 1-18 рус пост посл 20.10._Прилож.к бюдж 2010г._прил4р_к_Приложение_пост_каз_авг_Анализ 6.03.2011г." xfId="2871" xr:uid="{00000000-0005-0000-0000-00008E060000}"/>
    <cellStyle name="_Приложение 02 русс на 16.04.2009 г. 1 сессия_Приложение 1-18 рус пост посл 20.10._Прилож.к бюдж 2010г._прил4р_к_Приложение_пост_каз_авг_Анализ 9.03.2011г." xfId="2872" xr:uid="{00000000-0005-0000-0000-00008F060000}"/>
    <cellStyle name="_Приложение 02 русс на 16.04.2009 г. 1 сессия_Приложение 1-18 рус пост посл 20.10._Прилож.к бюдж 2010г._прил4р_к_Приложение_пост_каз_авг_Анализ_Приложение_рус _2012-2014_29,30" xfId="748" xr:uid="{00000000-0005-0000-0000-000090060000}"/>
    <cellStyle name="_Приложение 02 русс на 16.04.2009 г. 1 сессия_Приложение 1-18 рус пост посл 20.10._Прилож.к бюдж 2010г._прил4р_к_Приложение_пост_каз_авг_Анализ_Приложение_рус _2012-2014_29,30 2" xfId="4176" xr:uid="{00000000-0005-0000-0000-000091060000}"/>
    <cellStyle name="_Приложение 02 русс на 16.04.2009 г. 1 сессия_Приложение 1-18 рус пост посл 20.10._Прилож.к бюдж 2010г._прил4р_к_Приложение_пост_каз_авг_Пр 4     11.05.11. ИКС" xfId="749" xr:uid="{00000000-0005-0000-0000-000092060000}"/>
    <cellStyle name="_Приложение 02 русс на 16.04.2009 г. 1 сессия_Приложение 1-18 рус пост посл 20.10._Прилож.к бюдж 2010г._прил4р_к_Приложение_пост_каз_авг_Пр 4     11.05.11. ИКС 2" xfId="4177" xr:uid="{00000000-0005-0000-0000-000093060000}"/>
    <cellStyle name="_Приложение 02 русс на 16.04.2009 г. 1 сессия_Приложение 1-18 рус пост посл 20.10._Прилож.к бюдж 2010г._прил4р_к_Приложение_пост_каз_авг_Пр 4     11.05.11. ИКС_Приложение_рус _2012-2014_29,30" xfId="750" xr:uid="{00000000-0005-0000-0000-000094060000}"/>
    <cellStyle name="_Приложение 02 русс на 16.04.2009 г. 1 сессия_Приложение 1-18 рус пост посл 20.10._Прилож.к бюдж 2010г._прил4р_к_Приложение_пост_каз_авг_Пр 4     11.05.11. ИКС_Приложение_рус _2012-2014_29,30 2" xfId="4178" xr:uid="{00000000-0005-0000-0000-000095060000}"/>
    <cellStyle name="_Приложение 02 русс на 16.04.2009 г. 1 сессия_Приложение 1-18 рус пост посл 20.10._Прилож.к бюдж 2010г._прил4р_к_Приложение_пост_каз_авг_Приложение 4 русс,каз 16.03.11. посл" xfId="751" xr:uid="{00000000-0005-0000-0000-000096060000}"/>
    <cellStyle name="_Приложение 02 русс на 16.04.2009 г. 1 сессия_Приложение 1-18 рус пост посл 20.10._Прилож.к бюдж 2010г._прил4р_к_Приложение_пост_каз_авг_Приложение 4 русс,каз 16.03.11. посл 2" xfId="4179" xr:uid="{00000000-0005-0000-0000-000097060000}"/>
    <cellStyle name="_Приложение 02 русс на 16.04.2009 г. 1 сессия_Приложение 1-18 рус пост посл 20.10._Прилож.к бюдж 2010г._прил4р_к_Приложение_пост_каз_авг_Приложение 4 русс,каз 16.03.11. посл_Приложение_рус _2012-2014_29,30" xfId="752" xr:uid="{00000000-0005-0000-0000-000098060000}"/>
    <cellStyle name="_Приложение 02 русс на 16.04.2009 г. 1 сессия_Приложение 1-18 рус пост посл 20.10._Прилож.к бюдж 2010г._прил4р_к_Приложение_пост_каз_авг_Приложение 4 русс,каз 16.03.11. посл_Приложение_рус _2012-2014_29,30 2" xfId="4180" xr:uid="{00000000-0005-0000-0000-000099060000}"/>
    <cellStyle name="_Приложение 02 русс на 16.04.2009 г. 1 сессия_Приложение 1-18 рус пост посл 20.10._Прилож.к бюдж 2010г._прил4р_к_Приложение_пост_каз_авг_Приложение_реал_рус 2011-2013 Уточнение" xfId="753" xr:uid="{00000000-0005-0000-0000-00009A060000}"/>
    <cellStyle name="_Приложение 02 русс на 16.04.2009 г. 1 сессия_Приложение 1-18 рус пост посл 20.10._Прилож.к бюдж 2010г._прил4р_к_Приложение_пост_каз_авг_Приложение_реал_рус 2011-2013 Уточнение 2" xfId="4181" xr:uid="{00000000-0005-0000-0000-00009B060000}"/>
    <cellStyle name="_Приложение 02 русс на 16.04.2009 г. 1 сессия_Приложение 1-18 рус пост посл 20.10._Прилож.к бюдж 2010г._прил4р_к_Приложение_пост_каз_авг_Приложение_реал_рус 2011-2013 Уточнение_Приложение_рус _2012-2014_29,30" xfId="754" xr:uid="{00000000-0005-0000-0000-00009C060000}"/>
    <cellStyle name="_Приложение 02 русс на 16.04.2009 г. 1 сессия_Приложение 1-18 рус пост посл 20.10._Прилож.к бюдж 2010г._прил4р_к_Приложение_пост_каз_авг_Приложение_реал_рус 2011-2013 Уточнение_Приложение_рус _2012-2014_29,30 2" xfId="4182" xr:uid="{00000000-0005-0000-0000-00009D060000}"/>
    <cellStyle name="_Приложение 02 русс на 16.04.2009 г. 1 сессия_Приложение 1-18 рус пост посл 20.10._Прилож.к бюдж 2010г._прил4р_к_Приложение_пост_каз_авг_Приложение_рус _2012-2014_29,30" xfId="755" xr:uid="{00000000-0005-0000-0000-00009E060000}"/>
    <cellStyle name="_Приложение 02 русс на 16.04.2009 г. 1 сессия_Приложение 1-18 рус пост посл 20.10._Прилож.к бюдж 2010г._прил4р_к_Приложение_пост_каз_авг_Приложение_рус _2012-2014_29,30 2" xfId="4183" xr:uid="{00000000-0005-0000-0000-00009F060000}"/>
    <cellStyle name="_Приложение 02 русс на 16.04.2009 г. 1 сессия_Приложение 1-18 рус пост посл 20.10._Прилож.к бюдж 2010г._прил4р_к_Приложение_пост_каз_авг_приложения 2012 рус" xfId="756" xr:uid="{00000000-0005-0000-0000-0000A0060000}"/>
    <cellStyle name="_Приложение 02 русс на 16.04.2009 г. 1 сессия_Приложение 1-18 рус пост посл 20.10._Прилож.к бюдж 2010г._прил4р_к_Приложение_пост_каз_авг_приложения 2012 рус 2" xfId="4184" xr:uid="{00000000-0005-0000-0000-0000A1060000}"/>
    <cellStyle name="_Приложение 02 русс на 16.04.2009 г. 1 сессия_Приложение 1-18 рус пост посл 20.10._Прилож.к бюдж 2010г._прил4р_к_Приложение_пост_рус_авг" xfId="757" xr:uid="{00000000-0005-0000-0000-0000A2060000}"/>
    <cellStyle name="_Приложение 02 русс на 16.04.2009 г. 1 сессия_Приложение 1-18 рус пост посл 20.10._Прилож.к бюдж 2010г._прил4р_к_Приложение_пост_рус_авг 2" xfId="4185" xr:uid="{00000000-0005-0000-0000-0000A3060000}"/>
    <cellStyle name="_Приложение 02 русс на 16.04.2009 г. 1 сессия_Приложение 1-18 рус пост посл 20.10._Прилож.к бюдж 2010г._прил4р_к_Приложение_пост_рус_авг_Анализ" xfId="758" xr:uid="{00000000-0005-0000-0000-0000A4060000}"/>
    <cellStyle name="_Приложение 02 русс на 16.04.2009 г. 1 сессия_Приложение 1-18 рус пост посл 20.10._Прилож.к бюдж 2010г._прил4р_к_Приложение_пост_рус_авг_Анализ 2" xfId="4186" xr:uid="{00000000-0005-0000-0000-0000A5060000}"/>
    <cellStyle name="_Приложение 02 русс на 16.04.2009 г. 1 сессия_Приложение 1-18 рус пост посл 20.10._Прилож.к бюдж 2010г._прил4р_к_Приложение_пост_рус_авг_Анализ 3.03.2011г." xfId="2873" xr:uid="{00000000-0005-0000-0000-0000A6060000}"/>
    <cellStyle name="_Приложение 02 русс на 16.04.2009 г. 1 сессия_Приложение 1-18 рус пост посл 20.10._Прилож.к бюдж 2010г._прил4р_к_Приложение_пост_рус_авг_Анализ 6.03.2011г." xfId="2874" xr:uid="{00000000-0005-0000-0000-0000A7060000}"/>
    <cellStyle name="_Приложение 02 русс на 16.04.2009 г. 1 сессия_Приложение 1-18 рус пост посл 20.10._Прилож.к бюдж 2010г._прил4р_к_Приложение_пост_рус_авг_Анализ 9.03.2011г." xfId="2875" xr:uid="{00000000-0005-0000-0000-0000A8060000}"/>
    <cellStyle name="_Приложение 02 русс на 16.04.2009 г. 1 сессия_Приложение 1-18 рус пост посл 20.10._Прилож.к бюдж 2010г._прил4р_к_Приложение_пост_рус_авг_Анализ_Приложение_рус _2012-2014_29,30" xfId="759" xr:uid="{00000000-0005-0000-0000-0000A9060000}"/>
    <cellStyle name="_Приложение 02 русс на 16.04.2009 г. 1 сессия_Приложение 1-18 рус пост посл 20.10._Прилож.к бюдж 2010г._прил4р_к_Приложение_пост_рус_авг_Анализ_Приложение_рус _2012-2014_29,30 2" xfId="4187" xr:uid="{00000000-0005-0000-0000-0000AA060000}"/>
    <cellStyle name="_Приложение 02 русс на 16.04.2009 г. 1 сессия_Приложение 1-18 рус пост посл 20.10._Прилож.к бюдж 2010г._прил4р_к_Приложение_пост_рус_авг_Пр 4     11.05.11. ИКС" xfId="760" xr:uid="{00000000-0005-0000-0000-0000AB060000}"/>
    <cellStyle name="_Приложение 02 русс на 16.04.2009 г. 1 сессия_Приложение 1-18 рус пост посл 20.10._Прилож.к бюдж 2010г._прил4р_к_Приложение_пост_рус_авг_Пр 4     11.05.11. ИКС 2" xfId="4188" xr:uid="{00000000-0005-0000-0000-0000AC060000}"/>
    <cellStyle name="_Приложение 02 русс на 16.04.2009 г. 1 сессия_Приложение 1-18 рус пост посл 20.10._Прилож.к бюдж 2010г._прил4р_к_Приложение_пост_рус_авг_Пр 4     11.05.11. ИКС_Приложение_рус _2012-2014_29,30" xfId="761" xr:uid="{00000000-0005-0000-0000-0000AD060000}"/>
    <cellStyle name="_Приложение 02 русс на 16.04.2009 г. 1 сессия_Приложение 1-18 рус пост посл 20.10._Прилож.к бюдж 2010г._прил4р_к_Приложение_пост_рус_авг_Пр 4     11.05.11. ИКС_Приложение_рус _2012-2014_29,30 2" xfId="4189" xr:uid="{00000000-0005-0000-0000-0000AE060000}"/>
    <cellStyle name="_Приложение 02 русс на 16.04.2009 г. 1 сессия_Приложение 1-18 рус пост посл 20.10._Прилож.к бюдж 2010г._прил4р_к_Приложение_пост_рус_авг_Приложение 4 русс,каз 16.03.11. посл" xfId="762" xr:uid="{00000000-0005-0000-0000-0000AF060000}"/>
    <cellStyle name="_Приложение 02 русс на 16.04.2009 г. 1 сессия_Приложение 1-18 рус пост посл 20.10._Прилож.к бюдж 2010г._прил4р_к_Приложение_пост_рус_авг_Приложение 4 русс,каз 16.03.11. посл 2" xfId="4190" xr:uid="{00000000-0005-0000-0000-0000B0060000}"/>
    <cellStyle name="_Приложение 02 русс на 16.04.2009 г. 1 сессия_Приложение 1-18 рус пост посл 20.10._Прилож.к бюдж 2010г._прил4р_к_Приложение_пост_рус_авг_Приложение 4 русс,каз 16.03.11. посл_Приложение_рус _2012-2014_29,30" xfId="763" xr:uid="{00000000-0005-0000-0000-0000B1060000}"/>
    <cellStyle name="_Приложение 02 русс на 16.04.2009 г. 1 сессия_Приложение 1-18 рус пост посл 20.10._Прилож.к бюдж 2010г._прил4р_к_Приложение_пост_рус_авг_Приложение 4 русс,каз 16.03.11. посл_Приложение_рус _2012-2014_29,30 2" xfId="4191" xr:uid="{00000000-0005-0000-0000-0000B2060000}"/>
    <cellStyle name="_Приложение 02 русс на 16.04.2009 г. 1 сессия_Приложение 1-18 рус пост посл 20.10._Прилож.к бюдж 2010г._прил4р_к_Приложение_пост_рус_авг_Приложение_реал_рус 2011-2013 Уточнение" xfId="764" xr:uid="{00000000-0005-0000-0000-0000B3060000}"/>
    <cellStyle name="_Приложение 02 русс на 16.04.2009 г. 1 сессия_Приложение 1-18 рус пост посл 20.10._Прилож.к бюдж 2010г._прил4р_к_Приложение_пост_рус_авг_Приложение_реал_рус 2011-2013 Уточнение 2" xfId="4192" xr:uid="{00000000-0005-0000-0000-0000B4060000}"/>
    <cellStyle name="_Приложение 02 русс на 16.04.2009 г. 1 сессия_Приложение 1-18 рус пост посл 20.10._Прилож.к бюдж 2010г._прил4р_к_Приложение_пост_рус_авг_Приложение_реал_рус 2011-2013 Уточнение_Приложение_рус _2012-2014_29,30" xfId="765" xr:uid="{00000000-0005-0000-0000-0000B5060000}"/>
    <cellStyle name="_Приложение 02 русс на 16.04.2009 г. 1 сессия_Приложение 1-18 рус пост посл 20.10._Прилож.к бюдж 2010г._прил4р_к_Приложение_пост_рус_авг_Приложение_реал_рус 2011-2013 Уточнение_Приложение_рус _2012-2014_29,30 2" xfId="4193" xr:uid="{00000000-0005-0000-0000-0000B6060000}"/>
    <cellStyle name="_Приложение 02 русс на 16.04.2009 г. 1 сессия_Приложение 1-18 рус пост посл 20.10._Прилож.к бюдж 2010г._прил4р_к_Приложение_пост_рус_авг_Приложение_рус _2012-2014_29,30" xfId="766" xr:uid="{00000000-0005-0000-0000-0000B7060000}"/>
    <cellStyle name="_Приложение 02 русс на 16.04.2009 г. 1 сессия_Приложение 1-18 рус пост посл 20.10._Прилож.к бюдж 2010г._прил4р_к_Приложение_пост_рус_авг_Приложение_рус _2012-2014_29,30 2" xfId="4194" xr:uid="{00000000-0005-0000-0000-0000B8060000}"/>
    <cellStyle name="_Приложение 02 русс на 16.04.2009 г. 1 сессия_Приложение 1-18 рус пост посл 20.10._Прилож.к бюдж 2010г._прил4р_к_Приложение_пост_рус_авг_приложения 2012 рус" xfId="767" xr:uid="{00000000-0005-0000-0000-0000B9060000}"/>
    <cellStyle name="_Приложение 02 русс на 16.04.2009 г. 1 сессия_Приложение 1-18 рус пост посл 20.10._Прилож.к бюдж 2010г._прил4р_к_Приложение_пост_рус_авг_приложения 2012 рус 2" xfId="4195" xr:uid="{00000000-0005-0000-0000-0000BA060000}"/>
    <cellStyle name="_Приложение 02 русс на 16.04.2009 г. 1 сессия_Приложение 1-18 рус пост посл 20.10._Прилож.к бюдж 2010г._прил4р_к_Приложение_реал_рус 2011-2013 Уточнение" xfId="768" xr:uid="{00000000-0005-0000-0000-0000BB060000}"/>
    <cellStyle name="_Приложение 02 русс на 16.04.2009 г. 1 сессия_Приложение 1-18 рус пост посл 20.10._Прилож.к бюдж 2010г._прил4р_к_Приложение_реал_рус 2011-2013 Уточнение 2" xfId="4196" xr:uid="{00000000-0005-0000-0000-0000BC060000}"/>
    <cellStyle name="_Приложение 02 русс на 16.04.2009 г. 1 сессия_Приложение 1-18 рус пост посл 20.10._Прилож.к бюдж 2010г._прил4р_к_Приложение_реал_рус 2011-2013 Уточнение_Приложение_рус _2012-2014_29,30" xfId="769" xr:uid="{00000000-0005-0000-0000-0000BD060000}"/>
    <cellStyle name="_Приложение 02 русс на 16.04.2009 г. 1 сессия_Приложение 1-18 рус пост посл 20.10._Прилож.к бюдж 2010г._прил4р_к_Приложение_реал_рус 2011-2013 Уточнение_Приложение_рус _2012-2014_29,30 2" xfId="4197" xr:uid="{00000000-0005-0000-0000-0000BE060000}"/>
    <cellStyle name="_Приложение 02 русс на 16.04.2009 г. 1 сессия_Приложение 1-18 рус пост посл 20.10._Прилож.к бюдж 2010г._прил4р_к_Приложение_рус _2012-2014_29,30" xfId="770" xr:uid="{00000000-0005-0000-0000-0000BF060000}"/>
    <cellStyle name="_Приложение 02 русс на 16.04.2009 г. 1 сессия_Приложение 1-18 рус пост посл 20.10._Прилож.к бюдж 2010г._прил4р_к_Приложение_рус _2012-2014_29,30 2" xfId="4198" xr:uid="{00000000-0005-0000-0000-0000C0060000}"/>
    <cellStyle name="_Приложение 02 русс на 16.04.2009 г. 1 сессия_Приложение 1-18 рус пост посл 20.10._Прилож.к бюдж 2010г._прил4р_к_приложения 2012 рус" xfId="771" xr:uid="{00000000-0005-0000-0000-0000C1060000}"/>
    <cellStyle name="_Приложение 02 русс на 16.04.2009 г. 1 сессия_Приложение 1-18 рус пост посл 20.10._Прилож.к бюдж 2010г._прил4р_к_приложения 2012 рус 2" xfId="4199" xr:uid="{00000000-0005-0000-0000-0000C2060000}"/>
    <cellStyle name="_Приложение 02 русс на 16.04.2009 г. 1 сессия_Приложение 1-18 рус пост посл 20.10._Прилож.к бюдж 2010г._Приложение 4 русс,каз 16.03.11. посл" xfId="772" xr:uid="{00000000-0005-0000-0000-0000C3060000}"/>
    <cellStyle name="_Приложение 02 русс на 16.04.2009 г. 1 сессия_Приложение 1-18 рус пост посл 20.10._Прилож.к бюдж 2010г._Приложение 4 русс,каз 16.03.11. посл 2" xfId="4200" xr:uid="{00000000-0005-0000-0000-0000C4060000}"/>
    <cellStyle name="_Приложение 02 русс на 16.04.2009 г. 1 сессия_Приложение 1-18 рус пост посл 20.10._Прилож.к бюдж 2010г._Приложение 4 русс,каз 16.03.11. посл_Приложение_рус _2012-2014_29,30" xfId="773" xr:uid="{00000000-0005-0000-0000-0000C5060000}"/>
    <cellStyle name="_Приложение 02 русс на 16.04.2009 г. 1 сессия_Приложение 1-18 рус пост посл 20.10._Прилож.к бюдж 2010г._Приложение 4 русс,каз 16.03.11. посл_Приложение_рус _2012-2014_29,30 2" xfId="4201" xr:uid="{00000000-0005-0000-0000-0000C6060000}"/>
    <cellStyle name="_Приложение 02 русс на 16.04.2009 г. 1 сессия_Приложение 1-18 рус пост посл 20.10._Прилож.к бюдж 2010г._Приложение_2010-2012 каз 04.08.10_ДК-2020" xfId="774" xr:uid="{00000000-0005-0000-0000-0000C7060000}"/>
    <cellStyle name="_Приложение 02 русс на 16.04.2009 г. 1 сессия_Приложение 1-18 рус пост посл 20.10._Прилож.к бюдж 2010г._Приложение_2010-2012 каз 04.08.10_ДК-2020 2" xfId="4202" xr:uid="{00000000-0005-0000-0000-0000C8060000}"/>
    <cellStyle name="_Приложение 02 русс на 16.04.2009 г. 1 сессия_Приложение 1-18 рус пост посл 20.10._Прилож.к бюдж 2010г._Приложение_2010-2012 каз 04.08.10_ДК-2020_Анализ" xfId="775" xr:uid="{00000000-0005-0000-0000-0000C9060000}"/>
    <cellStyle name="_Приложение 02 русс на 16.04.2009 г. 1 сессия_Приложение 1-18 рус пост посл 20.10._Прилож.к бюдж 2010г._Приложение_2010-2012 каз 04.08.10_ДК-2020_Анализ 2" xfId="4203" xr:uid="{00000000-0005-0000-0000-0000CA060000}"/>
    <cellStyle name="_Приложение 02 русс на 16.04.2009 г. 1 сессия_Приложение 1-18 рус пост посл 20.10._Прилож.к бюдж 2010г._Приложение_2010-2012 каз 04.08.10_ДК-2020_Анализ 3.03.2011г." xfId="2876" xr:uid="{00000000-0005-0000-0000-0000CB060000}"/>
    <cellStyle name="_Приложение 02 русс на 16.04.2009 г. 1 сессия_Приложение 1-18 рус пост посл 20.10._Прилож.к бюдж 2010г._Приложение_2010-2012 каз 04.08.10_ДК-2020_Анализ 6.03.2011г." xfId="2877" xr:uid="{00000000-0005-0000-0000-0000CC060000}"/>
    <cellStyle name="_Приложение 02 русс на 16.04.2009 г. 1 сессия_Приложение 1-18 рус пост посл 20.10._Прилож.к бюдж 2010г._Приложение_2010-2012 каз 04.08.10_ДК-2020_Анализ 9.03.2011г." xfId="2878" xr:uid="{00000000-0005-0000-0000-0000CD060000}"/>
    <cellStyle name="_Приложение 02 русс на 16.04.2009 г. 1 сессия_Приложение 1-18 рус пост посл 20.10._Прилож.к бюдж 2010г._Приложение_2010-2012 каз 04.08.10_ДК-2020_Анализ_Приложение_рус _2012-2014_29,30" xfId="776" xr:uid="{00000000-0005-0000-0000-0000CE060000}"/>
    <cellStyle name="_Приложение 02 русс на 16.04.2009 г. 1 сессия_Приложение 1-18 рус пост посл 20.10._Прилож.к бюдж 2010г._Приложение_2010-2012 каз 04.08.10_ДК-2020_Анализ_Приложение_рус _2012-2014_29,30 2" xfId="4204" xr:uid="{00000000-0005-0000-0000-0000CF060000}"/>
    <cellStyle name="_Приложение 02 русс на 16.04.2009 г. 1 сессия_Приложение 1-18 рус пост посл 20.10._Прилож.к бюдж 2010г._Приложение_2010-2012 каз 04.08.10_ДК-2020_Пр 4     11.05.11. ИКС" xfId="777" xr:uid="{00000000-0005-0000-0000-0000D0060000}"/>
    <cellStyle name="_Приложение 02 русс на 16.04.2009 г. 1 сессия_Приложение 1-18 рус пост посл 20.10._Прилож.к бюдж 2010г._Приложение_2010-2012 каз 04.08.10_ДК-2020_Пр 4     11.05.11. ИКС 2" xfId="4205" xr:uid="{00000000-0005-0000-0000-0000D1060000}"/>
    <cellStyle name="_Приложение 02 русс на 16.04.2009 г. 1 сессия_Приложение 1-18 рус пост посл 20.10._Прилож.к бюдж 2010г._Приложение_2010-2012 каз 04.08.10_ДК-2020_Пр 4     11.05.11. ИКС_Приложение_рус _2012-2014_29,30" xfId="778" xr:uid="{00000000-0005-0000-0000-0000D2060000}"/>
    <cellStyle name="_Приложение 02 русс на 16.04.2009 г. 1 сессия_Приложение 1-18 рус пост посл 20.10._Прилож.к бюдж 2010г._Приложение_2010-2012 каз 04.08.10_ДК-2020_Пр 4     11.05.11. ИКС_Приложение_рус _2012-2014_29,30 2" xfId="4206" xr:uid="{00000000-0005-0000-0000-0000D3060000}"/>
    <cellStyle name="_Приложение 02 русс на 16.04.2009 г. 1 сессия_Приложение 1-18 рус пост посл 20.10._Прилож.к бюдж 2010г._Приложение_2010-2012 каз 04.08.10_ДК-2020_Приложение 4 русс,каз 16.03.11. посл" xfId="779" xr:uid="{00000000-0005-0000-0000-0000D4060000}"/>
    <cellStyle name="_Приложение 02 русс на 16.04.2009 г. 1 сессия_Приложение 1-18 рус пост посл 20.10._Прилож.к бюдж 2010г._Приложение_2010-2012 каз 04.08.10_ДК-2020_Приложение 4 русс,каз 16.03.11. посл 2" xfId="4207" xr:uid="{00000000-0005-0000-0000-0000D5060000}"/>
    <cellStyle name="_Приложение 02 русс на 16.04.2009 г. 1 сессия_Приложение 1-18 рус пост посл 20.10._Прилож.к бюдж 2010г._Приложение_2010-2012 каз 04.08.10_ДК-2020_Приложение 4 русс,каз 16.03.11. посл_Приложение_рус _2012-2014_29,30" xfId="780" xr:uid="{00000000-0005-0000-0000-0000D6060000}"/>
    <cellStyle name="_Приложение 02 русс на 16.04.2009 г. 1 сессия_Приложение 1-18 рус пост посл 20.10._Прилож.к бюдж 2010г._Приложение_2010-2012 каз 04.08.10_ДК-2020_Приложение 4 русс,каз 16.03.11. посл_Приложение_рус _2012-2014_29,30 2" xfId="4208" xr:uid="{00000000-0005-0000-0000-0000D7060000}"/>
    <cellStyle name="_Приложение 02 русс на 16.04.2009 г. 1 сессия_Приложение 1-18 рус пост посл 20.10._Прилож.к бюдж 2010г._Приложение_2010-2012 каз 04.08.10_ДК-2020_Приложение_реал_рус 2011-2013 Уточнение" xfId="781" xr:uid="{00000000-0005-0000-0000-0000D8060000}"/>
    <cellStyle name="_Приложение 02 русс на 16.04.2009 г. 1 сессия_Приложение 1-18 рус пост посл 20.10._Прилож.к бюдж 2010г._Приложение_2010-2012 каз 04.08.10_ДК-2020_Приложение_реал_рус 2011-2013 Уточнение 2" xfId="4209" xr:uid="{00000000-0005-0000-0000-0000D9060000}"/>
    <cellStyle name="_Приложение 02 русс на 16.04.2009 г. 1 сессия_Приложение 1-18 рус пост посл 20.10._Прилож.к бюдж 2010г._Приложение_2010-2012 каз 04.08.10_ДК-2020_Приложение_реал_рус 2011-2013 Уточнение_Приложение_рус _2012-2014_29,30" xfId="782" xr:uid="{00000000-0005-0000-0000-0000DA060000}"/>
    <cellStyle name="_Приложение 02 русс на 16.04.2009 г. 1 сессия_Приложение 1-18 рус пост посл 20.10._Прилож.к бюдж 2010г._Приложение_2010-2012 каз 04.08.10_ДК-2020_Приложение_реал_рус 2011-2013 Уточнение_Приложение_рус _2012-2014_29,30 2" xfId="4210" xr:uid="{00000000-0005-0000-0000-0000DB060000}"/>
    <cellStyle name="_Приложение 02 русс на 16.04.2009 г. 1 сессия_Приложение 1-18 рус пост посл 20.10._Прилож.к бюдж 2010г._Приложение_2010-2012 каз 04.08.10_ДК-2020_Приложение_рус _2012-2014_29,30" xfId="783" xr:uid="{00000000-0005-0000-0000-0000DC060000}"/>
    <cellStyle name="_Приложение 02 русс на 16.04.2009 г. 1 сессия_Приложение 1-18 рус пост посл 20.10._Прилож.к бюдж 2010г._Приложение_2010-2012 каз 04.08.10_ДК-2020_Приложение_рус _2012-2014_29,30 2" xfId="4211" xr:uid="{00000000-0005-0000-0000-0000DD060000}"/>
    <cellStyle name="_Приложение 02 русс на 16.04.2009 г. 1 сессия_Приложение 1-18 рус пост посл 20.10._Прилож.к бюдж 2010г._Приложение_2010-2012 каз 04.08.10_ДК-2020_приложения 2012 рус" xfId="784" xr:uid="{00000000-0005-0000-0000-0000DE060000}"/>
    <cellStyle name="_Приложение 02 русс на 16.04.2009 г. 1 сессия_Приложение 1-18 рус пост посл 20.10._Прилож.к бюдж 2010г._Приложение_2010-2012 каз 04.08.10_ДК-2020_приложения 2012 рус 2" xfId="4212" xr:uid="{00000000-0005-0000-0000-0000DF060000}"/>
    <cellStyle name="_Приложение 02 русс на 16.04.2009 г. 1 сессия_Приложение 1-18 рус пост посл 20.10._Прилож.к бюдж 2010г._Приложение_2010-2012 каз_март" xfId="785" xr:uid="{00000000-0005-0000-0000-0000E0060000}"/>
    <cellStyle name="_Приложение 02 русс на 16.04.2009 г. 1 сессия_Приложение 1-18 рус пост посл 20.10._Прилож.к бюдж 2010г._Приложение_2010-2012 каз_март 2" xfId="786" xr:uid="{00000000-0005-0000-0000-0000E1060000}"/>
    <cellStyle name="_Приложение 02 русс на 16.04.2009 г. 1 сессия_Приложение 1-18 рус пост посл 20.10._Прилож.к бюдж 2010г._Приложение_2010-2012 каз_март 2 2" xfId="4214" xr:uid="{00000000-0005-0000-0000-0000E2060000}"/>
    <cellStyle name="_Приложение 02 русс на 16.04.2009 г. 1 сессия_Приложение 1-18 рус пост посл 20.10._Прилож.к бюдж 2010г._Приложение_2010-2012 каз_март 3" xfId="4213" xr:uid="{00000000-0005-0000-0000-0000E3060000}"/>
    <cellStyle name="_Приложение 02 русс на 16.04.2009 г. 1 сессия_Приложение 1-18 рус пост посл 20.10._Прилож.к бюдж 2010г._Приложение_2010-2012 каз_март_Анализ" xfId="787" xr:uid="{00000000-0005-0000-0000-0000E4060000}"/>
    <cellStyle name="_Приложение 02 русс на 16.04.2009 г. 1 сессия_Приложение 1-18 рус пост посл 20.10._Прилож.к бюдж 2010г._Приложение_2010-2012 каз_март_Анализ 2" xfId="4215" xr:uid="{00000000-0005-0000-0000-0000E5060000}"/>
    <cellStyle name="_Приложение 02 русс на 16.04.2009 г. 1 сессия_Приложение 1-18 рус пост посл 20.10._Прилож.к бюдж 2010г._Приложение_2010-2012 каз_март_Анализ 3.03.2011г." xfId="2879" xr:uid="{00000000-0005-0000-0000-0000E6060000}"/>
    <cellStyle name="_Приложение 02 русс на 16.04.2009 г. 1 сессия_Приложение 1-18 рус пост посл 20.10._Прилож.к бюдж 2010г._Приложение_2010-2012 каз_март_Анализ 6.03.2011г." xfId="2880" xr:uid="{00000000-0005-0000-0000-0000E7060000}"/>
    <cellStyle name="_Приложение 02 русс на 16.04.2009 г. 1 сессия_Приложение 1-18 рус пост посл 20.10._Прилож.к бюдж 2010г._Приложение_2010-2012 каз_март_Анализ 9.03.2011г." xfId="2881" xr:uid="{00000000-0005-0000-0000-0000E8060000}"/>
    <cellStyle name="_Приложение 02 русс на 16.04.2009 г. 1 сессия_Приложение 1-18 рус пост посл 20.10._Прилож.к бюдж 2010г._Приложение_2010-2012 каз_март_Анализ_Приложение_рус _2012-2014_29,30" xfId="788" xr:uid="{00000000-0005-0000-0000-0000E9060000}"/>
    <cellStyle name="_Приложение 02 русс на 16.04.2009 г. 1 сессия_Приложение 1-18 рус пост посл 20.10._Прилож.к бюдж 2010г._Приложение_2010-2012 каз_март_Анализ_Приложение_рус _2012-2014_29,30 2" xfId="4216" xr:uid="{00000000-0005-0000-0000-0000EA060000}"/>
    <cellStyle name="_Приложение 02 русс на 16.04.2009 г. 1 сессия_Приложение 1-18 рус пост посл 20.10._Прилож.к бюдж 2010г._Приложение_2010-2012 каз_март_Пр 4     11.05.11. ИКС" xfId="789" xr:uid="{00000000-0005-0000-0000-0000EB060000}"/>
    <cellStyle name="_Приложение 02 русс на 16.04.2009 г. 1 сессия_Приложение 1-18 рус пост посл 20.10._Прилож.к бюдж 2010г._Приложение_2010-2012 каз_март_Пр 4     11.05.11. ИКС 2" xfId="4217" xr:uid="{00000000-0005-0000-0000-0000EC060000}"/>
    <cellStyle name="_Приложение 02 русс на 16.04.2009 г. 1 сессия_Приложение 1-18 рус пост посл 20.10._Прилож.к бюдж 2010г._Приложение_2010-2012 каз_март_Пр 4     11.05.11. ИКС_Приложение_рус _2012-2014_29,30" xfId="790" xr:uid="{00000000-0005-0000-0000-0000ED060000}"/>
    <cellStyle name="_Приложение 02 русс на 16.04.2009 г. 1 сессия_Приложение 1-18 рус пост посл 20.10._Прилож.к бюдж 2010г._Приложение_2010-2012 каз_март_Пр 4     11.05.11. ИКС_Приложение_рус _2012-2014_29,30 2" xfId="4218" xr:uid="{00000000-0005-0000-0000-0000EE060000}"/>
    <cellStyle name="_Приложение 02 русс на 16.04.2009 г. 1 сессия_Приложение 1-18 рус пост посл 20.10._Прилож.к бюдж 2010г._Приложение_2010-2012 каз_март_Приложение 4 русс,каз 16.03.11. посл" xfId="791" xr:uid="{00000000-0005-0000-0000-0000EF060000}"/>
    <cellStyle name="_Приложение 02 русс на 16.04.2009 г. 1 сессия_Приложение 1-18 рус пост посл 20.10._Прилож.к бюдж 2010г._Приложение_2010-2012 каз_март_Приложение 4 русс,каз 16.03.11. посл 2" xfId="4219" xr:uid="{00000000-0005-0000-0000-0000F0060000}"/>
    <cellStyle name="_Приложение 02 русс на 16.04.2009 г. 1 сессия_Приложение 1-18 рус пост посл 20.10._Прилож.к бюдж 2010г._Приложение_2010-2012 каз_март_Приложение 4 русс,каз 16.03.11. посл_Приложение_рус _2012-2014_29,30" xfId="792" xr:uid="{00000000-0005-0000-0000-0000F1060000}"/>
    <cellStyle name="_Приложение 02 русс на 16.04.2009 г. 1 сессия_Приложение 1-18 рус пост посл 20.10._Прилож.к бюдж 2010г._Приложение_2010-2012 каз_март_Приложение 4 русс,каз 16.03.11. посл_Приложение_рус _2012-2014_29,30 2" xfId="4220" xr:uid="{00000000-0005-0000-0000-0000F2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" xfId="793" xr:uid="{00000000-0005-0000-0000-0000F3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 2" xfId="4221" xr:uid="{00000000-0005-0000-0000-0000F4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" xfId="794" xr:uid="{00000000-0005-0000-0000-0000F5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 2" xfId="4222" xr:uid="{00000000-0005-0000-0000-0000F6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 3.03.2011г." xfId="2882" xr:uid="{00000000-0005-0000-0000-0000F7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 6.03.2011г." xfId="2883" xr:uid="{00000000-0005-0000-0000-0000F8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 9.03.2011г." xfId="2884" xr:uid="{00000000-0005-0000-0000-0000F9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_Приложение_рус _2012-2014_29,30" xfId="795" xr:uid="{00000000-0005-0000-0000-0000FA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_Приложение_рус _2012-2014_29,30 2" xfId="4223" xr:uid="{00000000-0005-0000-0000-0000FB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 4     11.05.11. ИКС" xfId="796" xr:uid="{00000000-0005-0000-0000-0000FC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 4     11.05.11. ИКС 2" xfId="4224" xr:uid="{00000000-0005-0000-0000-0000FD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 4     11.05.11. ИКС_Приложение_рус _2012-2014_29,30" xfId="797" xr:uid="{00000000-0005-0000-0000-0000FE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 4     11.05.11. ИКС_Приложение_рус _2012-2014_29,30 2" xfId="4225" xr:uid="{00000000-0005-0000-0000-0000FF06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 4 русс,каз 16.03.11. посл" xfId="798" xr:uid="{00000000-0005-0000-0000-000000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 4 русс,каз 16.03.11. посл 2" xfId="4226" xr:uid="{00000000-0005-0000-0000-000001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 4 русс,каз 16.03.11. посл_Приложение_рус _2012-2014_29,30" xfId="799" xr:uid="{00000000-0005-0000-0000-000002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 4 русс,каз 16.03.11. посл_Приложение_рус _2012-2014_29,30 2" xfId="4227" xr:uid="{00000000-0005-0000-0000-000003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еал_рус 2011-2013 Уточнение" xfId="800" xr:uid="{00000000-0005-0000-0000-000004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еал_рус 2011-2013 Уточнение 2" xfId="4228" xr:uid="{00000000-0005-0000-0000-000005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еал_рус 2011-2013 Уточнение_Приложение_рус _2012-2014_29,30" xfId="801" xr:uid="{00000000-0005-0000-0000-000006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еал_рус 2011-2013 Уточнение_Приложение_рус _2012-2014_29,30 2" xfId="4229" xr:uid="{00000000-0005-0000-0000-000007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ус _2012-2014_29,30" xfId="802" xr:uid="{00000000-0005-0000-0000-000008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ус _2012-2014_29,30 2" xfId="4230" xr:uid="{00000000-0005-0000-0000-000009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я 2012 рус" xfId="803" xr:uid="{00000000-0005-0000-0000-00000A070000}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я 2012 рус 2" xfId="4231" xr:uid="{00000000-0005-0000-0000-00000B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" xfId="804" xr:uid="{00000000-0005-0000-0000-00000C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 2" xfId="4232" xr:uid="{00000000-0005-0000-0000-00000D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" xfId="805" xr:uid="{00000000-0005-0000-0000-00000E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 2" xfId="4233" xr:uid="{00000000-0005-0000-0000-00000F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 3.03.2011г." xfId="2885" xr:uid="{00000000-0005-0000-0000-000010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 6.03.2011г." xfId="2886" xr:uid="{00000000-0005-0000-0000-000011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 9.03.2011г." xfId="2887" xr:uid="{00000000-0005-0000-0000-000012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_Приложение_рус _2012-2014_29,30" xfId="806" xr:uid="{00000000-0005-0000-0000-000013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_Приложение_рус _2012-2014_29,30 2" xfId="4234" xr:uid="{00000000-0005-0000-0000-000014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 4     11.05.11. ИКС" xfId="807" xr:uid="{00000000-0005-0000-0000-000015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 4     11.05.11. ИКС 2" xfId="4235" xr:uid="{00000000-0005-0000-0000-000016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 4     11.05.11. ИКС_Приложение_рус _2012-2014_29,30" xfId="808" xr:uid="{00000000-0005-0000-0000-000017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 4     11.05.11. ИКС_Приложение_рус _2012-2014_29,30 2" xfId="4236" xr:uid="{00000000-0005-0000-0000-000018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 4 русс,каз 16.03.11. посл" xfId="809" xr:uid="{00000000-0005-0000-0000-000019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 4 русс,каз 16.03.11. посл 2" xfId="4237" xr:uid="{00000000-0005-0000-0000-00001A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 4 русс,каз 16.03.11. посл_Приложение_рус _2012-2014_29,30" xfId="810" xr:uid="{00000000-0005-0000-0000-00001B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 4 русс,каз 16.03.11. посл_Приложение_рус _2012-2014_29,30 2" xfId="4238" xr:uid="{00000000-0005-0000-0000-00001C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еал_рус 2011-2013 Уточнение" xfId="811" xr:uid="{00000000-0005-0000-0000-00001D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еал_рус 2011-2013 Уточнение 2" xfId="4239" xr:uid="{00000000-0005-0000-0000-00001E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еал_рус 2011-2013 Уточнение_Приложение_рус _2012-2014_29,30" xfId="812" xr:uid="{00000000-0005-0000-0000-00001F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еал_рус 2011-2013 Уточнение_Приложение_рус _2012-2014_29,30 2" xfId="4240" xr:uid="{00000000-0005-0000-0000-000020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ус _2012-2014_29,30" xfId="813" xr:uid="{00000000-0005-0000-0000-000021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ус _2012-2014_29,30 2" xfId="4241" xr:uid="{00000000-0005-0000-0000-000022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я 2012 рус" xfId="814" xr:uid="{00000000-0005-0000-0000-000023070000}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я 2012 рус 2" xfId="4242" xr:uid="{00000000-0005-0000-0000-000024070000}"/>
    <cellStyle name="_Приложение 02 русс на 16.04.2009 г. 1 сессия_Приложение 1-18 рус пост посл 20.10._Прилож.к бюдж 2010г._Приложение_2010-2012 каз_март_Приложение_реал_рус 2011-2013 Уточнение" xfId="815" xr:uid="{00000000-0005-0000-0000-000025070000}"/>
    <cellStyle name="_Приложение 02 русс на 16.04.2009 г. 1 сессия_Приложение 1-18 рус пост посл 20.10._Прилож.к бюдж 2010г._Приложение_2010-2012 каз_март_Приложение_реал_рус 2011-2013 Уточнение 2" xfId="4243" xr:uid="{00000000-0005-0000-0000-000026070000}"/>
    <cellStyle name="_Приложение 02 русс на 16.04.2009 г. 1 сессия_Приложение 1-18 рус пост посл 20.10._Прилож.к бюдж 2010г._Приложение_2010-2012 каз_март_Приложение_реал_рус 2011-2013 Уточнение_Приложение_рус _2012-2014_29,30" xfId="816" xr:uid="{00000000-0005-0000-0000-000027070000}"/>
    <cellStyle name="_Приложение 02 русс на 16.04.2009 г. 1 сессия_Приложение 1-18 рус пост посл 20.10._Прилож.к бюдж 2010г._Приложение_2010-2012 каз_март_Приложение_реал_рус 2011-2013 Уточнение_Приложение_рус _2012-2014_29,30 2" xfId="4244" xr:uid="{00000000-0005-0000-0000-000028070000}"/>
    <cellStyle name="_Приложение 02 русс на 16.04.2009 г. 1 сессия_Приложение 1-18 рус пост посл 20.10._Прилож.к бюдж 2010г._Приложение_2010-2012 каз_март_Приложение_рус _2012-2014_29,30" xfId="817" xr:uid="{00000000-0005-0000-0000-000029070000}"/>
    <cellStyle name="_Приложение 02 русс на 16.04.2009 г. 1 сессия_Приложение 1-18 рус пост посл 20.10._Прилож.к бюдж 2010г._Приложение_2010-2012 каз_март_Приложение_рус _2012-2014_29,30 2" xfId="4245" xr:uid="{00000000-0005-0000-0000-00002A070000}"/>
    <cellStyle name="_Приложение 02 русс на 16.04.2009 г. 1 сессия_Приложение 1-18 рус пост посл 20.10._Прилож.к бюдж 2010г._Приложение_2010-2012 каз_март_приложения 2012 рус" xfId="818" xr:uid="{00000000-0005-0000-0000-00002B070000}"/>
    <cellStyle name="_Приложение 02 русс на 16.04.2009 г. 1 сессия_Приложение 1-18 рус пост посл 20.10._Прилож.к бюдж 2010г._Приложение_2010-2012 каз_март_приложения 2012 рус 2" xfId="4246" xr:uid="{00000000-0005-0000-0000-00002C070000}"/>
    <cellStyle name="_Приложение 02 русс на 16.04.2009 г. 1 сессия_Приложение 1-18 рус пост посл 20.10._Прилож.к бюдж 2010г._Приложение_2010-2012 рус  КОРРЕКТИРОВКА" xfId="819" xr:uid="{00000000-0005-0000-0000-00002D070000}"/>
    <cellStyle name="_Приложение 02 русс на 16.04.2009 г. 1 сессия_Приложение 1-18 рус пост посл 20.10._Прилож.к бюдж 2010г._Приложение_2010-2012 рус  КОРРЕКТИРОВКА 2" xfId="4247" xr:uid="{00000000-0005-0000-0000-00002E070000}"/>
    <cellStyle name="_Приложение 02 русс на 16.04.2009 г. 1 сессия_Приложение 1-18 рус пост посл 20.10._Прилож.к бюдж 2010г._Приложение_2010-2012 рус  КОРРЕКТИРОВКА_Анализ" xfId="820" xr:uid="{00000000-0005-0000-0000-00002F070000}"/>
    <cellStyle name="_Приложение 02 русс на 16.04.2009 г. 1 сессия_Приложение 1-18 рус пост посл 20.10._Прилож.к бюдж 2010г._Приложение_2010-2012 рус  КОРРЕКТИРОВКА_Анализ 2" xfId="4248" xr:uid="{00000000-0005-0000-0000-000030070000}"/>
    <cellStyle name="_Приложение 02 русс на 16.04.2009 г. 1 сессия_Приложение 1-18 рус пост посл 20.10._Прилож.к бюдж 2010г._Приложение_2010-2012 рус  КОРРЕКТИРОВКА_Анализ 3.03.2011г." xfId="2888" xr:uid="{00000000-0005-0000-0000-000031070000}"/>
    <cellStyle name="_Приложение 02 русс на 16.04.2009 г. 1 сессия_Приложение 1-18 рус пост посл 20.10._Прилож.к бюдж 2010г._Приложение_2010-2012 рус  КОРРЕКТИРОВКА_Анализ 6.03.2011г." xfId="2889" xr:uid="{00000000-0005-0000-0000-000032070000}"/>
    <cellStyle name="_Приложение 02 русс на 16.04.2009 г. 1 сессия_Приложение 1-18 рус пост посл 20.10._Прилож.к бюдж 2010г._Приложение_2010-2012 рус  КОРРЕКТИРОВКА_Анализ 9.03.2011г." xfId="2890" xr:uid="{00000000-0005-0000-0000-000033070000}"/>
    <cellStyle name="_Приложение 02 русс на 16.04.2009 г. 1 сессия_Приложение 1-18 рус пост посл 20.10._Прилож.к бюдж 2010г._Приложение_2010-2012 рус  КОРРЕКТИРОВКА_Анализ_Приложение_рус _2012-2014_29,30" xfId="821" xr:uid="{00000000-0005-0000-0000-000034070000}"/>
    <cellStyle name="_Приложение 02 русс на 16.04.2009 г. 1 сессия_Приложение 1-18 рус пост посл 20.10._Прилож.к бюдж 2010г._Приложение_2010-2012 рус  КОРРЕКТИРОВКА_Анализ_Приложение_рус _2012-2014_29,30 2" xfId="4249" xr:uid="{00000000-0005-0000-0000-000035070000}"/>
    <cellStyle name="_Приложение 02 русс на 16.04.2009 г. 1 сессия_Приложение 1-18 рус пост посл 20.10._Прилож.к бюдж 2010г._Приложение_2010-2012 рус  КОРРЕКТИРОВКА_Пр 4     11.05.11. ИКС" xfId="822" xr:uid="{00000000-0005-0000-0000-000036070000}"/>
    <cellStyle name="_Приложение 02 русс на 16.04.2009 г. 1 сессия_Приложение 1-18 рус пост посл 20.10._Прилож.к бюдж 2010г._Приложение_2010-2012 рус  КОРРЕКТИРОВКА_Пр 4     11.05.11. ИКС 2" xfId="4250" xr:uid="{00000000-0005-0000-0000-000037070000}"/>
    <cellStyle name="_Приложение 02 русс на 16.04.2009 г. 1 сессия_Приложение 1-18 рус пост посл 20.10._Прилож.к бюдж 2010г._Приложение_2010-2012 рус  КОРРЕКТИРОВКА_Пр 4     11.05.11. ИКС_Приложение_рус _2012-2014_29,30" xfId="823" xr:uid="{00000000-0005-0000-0000-000038070000}"/>
    <cellStyle name="_Приложение 02 русс на 16.04.2009 г. 1 сессия_Приложение 1-18 рус пост посл 20.10._Прилож.к бюдж 2010г._Приложение_2010-2012 рус  КОРРЕКТИРОВКА_Пр 4     11.05.11. ИКС_Приложение_рус _2012-2014_29,30 2" xfId="4251" xr:uid="{00000000-0005-0000-0000-000039070000}"/>
    <cellStyle name="_Приложение 02 русс на 16.04.2009 г. 1 сессия_Приложение 1-18 рус пост посл 20.10._Прилож.к бюдж 2010г._Приложение_2010-2012 рус  КОРРЕКТИРОВКА_Приложение 4 русс,каз 16.03.11. посл" xfId="824" xr:uid="{00000000-0005-0000-0000-00003A070000}"/>
    <cellStyle name="_Приложение 02 русс на 16.04.2009 г. 1 сессия_Приложение 1-18 рус пост посл 20.10._Прилож.к бюдж 2010г._Приложение_2010-2012 рус  КОРРЕКТИРОВКА_Приложение 4 русс,каз 16.03.11. посл 2" xfId="4252" xr:uid="{00000000-0005-0000-0000-00003B070000}"/>
    <cellStyle name="_Приложение 02 русс на 16.04.2009 г. 1 сессия_Приложение 1-18 рус пост посл 20.10._Прилож.к бюдж 2010г._Приложение_2010-2012 рус  КОРРЕКТИРОВКА_Приложение 4 русс,каз 16.03.11. посл_Приложение_рус _2012-2014_29,30" xfId="825" xr:uid="{00000000-0005-0000-0000-00003C070000}"/>
    <cellStyle name="_Приложение 02 русс на 16.04.2009 г. 1 сессия_Приложение 1-18 рус пост посл 20.10._Прилож.к бюдж 2010г._Приложение_2010-2012 рус  КОРРЕКТИРОВКА_Приложение 4 русс,каз 16.03.11. посл_Приложение_рус _2012-2014_29,30 2" xfId="4253" xr:uid="{00000000-0005-0000-0000-00003D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" xfId="826" xr:uid="{00000000-0005-0000-0000-00003E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 2" xfId="4254" xr:uid="{00000000-0005-0000-0000-00003F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" xfId="827" xr:uid="{00000000-0005-0000-0000-000040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 2" xfId="4255" xr:uid="{00000000-0005-0000-0000-000041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 3.03.2011г." xfId="2891" xr:uid="{00000000-0005-0000-0000-000042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 6.03.2011г." xfId="2892" xr:uid="{00000000-0005-0000-0000-000043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 9.03.2011г." xfId="2893" xr:uid="{00000000-0005-0000-0000-000044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_Приложение_рус _2012-2014_29,30" xfId="828" xr:uid="{00000000-0005-0000-0000-000045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_Приложение_рус _2012-2014_29,30 2" xfId="4256" xr:uid="{00000000-0005-0000-0000-000046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 4     11.05.11. ИКС" xfId="829" xr:uid="{00000000-0005-0000-0000-000047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 4     11.05.11. ИКС 2" xfId="4257" xr:uid="{00000000-0005-0000-0000-000048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 4     11.05.11. ИКС_Приложение_рус _2012-2014_29,30" xfId="830" xr:uid="{00000000-0005-0000-0000-000049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 4     11.05.11. ИКС_Приложение_рус _2012-2014_29,30 2" xfId="4258" xr:uid="{00000000-0005-0000-0000-00004A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 4 русс,каз 16.03.11. посл" xfId="831" xr:uid="{00000000-0005-0000-0000-00004B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 4 русс,каз 16.03.11. посл 2" xfId="4259" xr:uid="{00000000-0005-0000-0000-00004C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 4 русс,каз 16.03.11. посл_Приложение_рус _2012-2014_29,30" xfId="832" xr:uid="{00000000-0005-0000-0000-00004D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 4 русс,каз 16.03.11. посл_Приложение_рус _2012-2014_29,30 2" xfId="4260" xr:uid="{00000000-0005-0000-0000-00004E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еал_рус 2011-2013 Уточнение" xfId="833" xr:uid="{00000000-0005-0000-0000-00004F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еал_рус 2011-2013 Уточнение 2" xfId="4261" xr:uid="{00000000-0005-0000-0000-000050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еал_рус 2011-2013 Уточнение_Приложение_рус _2012-2014_29,30" xfId="834" xr:uid="{00000000-0005-0000-0000-000051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еал_рус 2011-2013 Уточнение_Приложение_рус _2012-2014_29,30 2" xfId="4262" xr:uid="{00000000-0005-0000-0000-000052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ус _2012-2014_29,30" xfId="835" xr:uid="{00000000-0005-0000-0000-000053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ус _2012-2014_29,30 2" xfId="4263" xr:uid="{00000000-0005-0000-0000-000054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я 2012 рус" xfId="836" xr:uid="{00000000-0005-0000-0000-000055070000}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я 2012 рус 2" xfId="4264" xr:uid="{00000000-0005-0000-0000-000056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" xfId="837" xr:uid="{00000000-0005-0000-0000-000057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 2" xfId="4265" xr:uid="{00000000-0005-0000-0000-000058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" xfId="838" xr:uid="{00000000-0005-0000-0000-000059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 2" xfId="4266" xr:uid="{00000000-0005-0000-0000-00005A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 3.03.2011г." xfId="2894" xr:uid="{00000000-0005-0000-0000-00005B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 6.03.2011г." xfId="2895" xr:uid="{00000000-0005-0000-0000-00005C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 9.03.2011г." xfId="2896" xr:uid="{00000000-0005-0000-0000-00005D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_Приложение_рус _2012-2014_29,30" xfId="839" xr:uid="{00000000-0005-0000-0000-00005E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_Приложение_рус _2012-2014_29,30 2" xfId="4267" xr:uid="{00000000-0005-0000-0000-00005F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 4     11.05.11. ИКС" xfId="840" xr:uid="{00000000-0005-0000-0000-000060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 4     11.05.11. ИКС 2" xfId="4268" xr:uid="{00000000-0005-0000-0000-000061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 4     11.05.11. ИКС_Приложение_рус _2012-2014_29,30" xfId="841" xr:uid="{00000000-0005-0000-0000-000062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 4     11.05.11. ИКС_Приложение_рус _2012-2014_29,30 2" xfId="4269" xr:uid="{00000000-0005-0000-0000-000063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 4 русс,каз 16.03.11. посл" xfId="842" xr:uid="{00000000-0005-0000-0000-000064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 4 русс,каз 16.03.11. посл 2" xfId="4270" xr:uid="{00000000-0005-0000-0000-000065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 4 русс,каз 16.03.11. посл_Приложение_рус _2012-2014_29,30" xfId="843" xr:uid="{00000000-0005-0000-0000-000066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 4 русс,каз 16.03.11. посл_Приложение_рус _2012-2014_29,30 2" xfId="4271" xr:uid="{00000000-0005-0000-0000-000067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еал_рус 2011-2013 Уточнение" xfId="844" xr:uid="{00000000-0005-0000-0000-000068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еал_рус 2011-2013 Уточнение 2" xfId="4272" xr:uid="{00000000-0005-0000-0000-000069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еал_рус 2011-2013 Уточнение_Приложение_рус _2012-2014_29,30" xfId="845" xr:uid="{00000000-0005-0000-0000-00006A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еал_рус 2011-2013 Уточнение_Приложение_рус _2012-2014_29,30 2" xfId="4273" xr:uid="{00000000-0005-0000-0000-00006B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ус _2012-2014_29,30" xfId="846" xr:uid="{00000000-0005-0000-0000-00006C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ус _2012-2014_29,30 2" xfId="4274" xr:uid="{00000000-0005-0000-0000-00006D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я 2012 рус" xfId="847" xr:uid="{00000000-0005-0000-0000-00006E070000}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я 2012 рус 2" xfId="4275" xr:uid="{00000000-0005-0000-0000-00006F070000}"/>
    <cellStyle name="_Приложение 02 русс на 16.04.2009 г. 1 сессия_Приложение 1-18 рус пост посл 20.10._Прилож.к бюдж 2010г._Приложение_2010-2012 рус  КОРРЕКТИРОВКА_Приложение_реал_рус 2011-2013 Уточнение" xfId="848" xr:uid="{00000000-0005-0000-0000-000070070000}"/>
    <cellStyle name="_Приложение 02 русс на 16.04.2009 г. 1 сессия_Приложение 1-18 рус пост посл 20.10._Прилож.к бюдж 2010г._Приложение_2010-2012 рус  КОРРЕКТИРОВКА_Приложение_реал_рус 2011-2013 Уточнение 2" xfId="4276" xr:uid="{00000000-0005-0000-0000-000071070000}"/>
    <cellStyle name="_Приложение 02 русс на 16.04.2009 г. 1 сессия_Приложение 1-18 рус пост посл 20.10._Прилож.к бюдж 2010г._Приложение_2010-2012 рус  КОРРЕКТИРОВКА_Приложение_реал_рус 2011-2013 Уточнение_Приложение_рус _2012-2014_29,30" xfId="849" xr:uid="{00000000-0005-0000-0000-000072070000}"/>
    <cellStyle name="_Приложение 02 русс на 16.04.2009 г. 1 сессия_Приложение 1-18 рус пост посл 20.10._Прилож.к бюдж 2010г._Приложение_2010-2012 рус  КОРРЕКТИРОВКА_Приложение_реал_рус 2011-2013 Уточнение_Приложение_рус _2012-2014_29,30 2" xfId="4277" xr:uid="{00000000-0005-0000-0000-000073070000}"/>
    <cellStyle name="_Приложение 02 русс на 16.04.2009 г. 1 сессия_Приложение 1-18 рус пост посл 20.10._Прилож.к бюдж 2010г._Приложение_2010-2012 рус  КОРРЕКТИРОВКА_Приложение_рус _2012-2014_29,30" xfId="850" xr:uid="{00000000-0005-0000-0000-000074070000}"/>
    <cellStyle name="_Приложение 02 русс на 16.04.2009 г. 1 сессия_Приложение 1-18 рус пост посл 20.10._Прилож.к бюдж 2010г._Приложение_2010-2012 рус  КОРРЕКТИРОВКА_Приложение_рус _2012-2014_29,30 2" xfId="4278" xr:uid="{00000000-0005-0000-0000-000075070000}"/>
    <cellStyle name="_Приложение 02 русс на 16.04.2009 г. 1 сессия_Приложение 1-18 рус пост посл 20.10._Прилож.к бюдж 2010г._Приложение_2010-2012 рус  КОРРЕКТИРОВКА_приложения 2012 рус" xfId="851" xr:uid="{00000000-0005-0000-0000-000076070000}"/>
    <cellStyle name="_Приложение 02 русс на 16.04.2009 г. 1 сессия_Приложение 1-18 рус пост посл 20.10._Прилож.к бюдж 2010г._Приложение_2010-2012 рус  КОРРЕКТИРОВКА_приложения 2012 рус 2" xfId="4279" xr:uid="{00000000-0005-0000-0000-000077070000}"/>
    <cellStyle name="_Приложение 02 русс на 16.04.2009 г. 1 сессия_Приложение 1-18 рус пост посл 20.10._Прилож.к бюдж 2010г._Приложение_2010-2012 рус 04.08.10" xfId="852" xr:uid="{00000000-0005-0000-0000-000078070000}"/>
    <cellStyle name="_Приложение 02 русс на 16.04.2009 г. 1 сессия_Приложение 1-18 рус пост посл 20.10._Прилож.к бюдж 2010г._Приложение_2010-2012 рус 04.08.10 2" xfId="4280" xr:uid="{00000000-0005-0000-0000-000079070000}"/>
    <cellStyle name="_Приложение 02 русс на 16.04.2009 г. 1 сессия_Приложение 1-18 рус пост посл 20.10._Прилож.к бюдж 2010г._Приложение_2010-2012 рус 04.08.10_Анализ" xfId="853" xr:uid="{00000000-0005-0000-0000-00007A070000}"/>
    <cellStyle name="_Приложение 02 русс на 16.04.2009 г. 1 сессия_Приложение 1-18 рус пост посл 20.10._Прилож.к бюдж 2010г._Приложение_2010-2012 рус 04.08.10_Анализ 2" xfId="4281" xr:uid="{00000000-0005-0000-0000-00007B070000}"/>
    <cellStyle name="_Приложение 02 русс на 16.04.2009 г. 1 сессия_Приложение 1-18 рус пост посл 20.10._Прилож.к бюдж 2010г._Приложение_2010-2012 рус 04.08.10_Анализ 3.03.2011г." xfId="2897" xr:uid="{00000000-0005-0000-0000-00007C070000}"/>
    <cellStyle name="_Приложение 02 русс на 16.04.2009 г. 1 сессия_Приложение 1-18 рус пост посл 20.10._Прилож.к бюдж 2010г._Приложение_2010-2012 рус 04.08.10_Анализ 6.03.2011г." xfId="2898" xr:uid="{00000000-0005-0000-0000-00007D070000}"/>
    <cellStyle name="_Приложение 02 русс на 16.04.2009 г. 1 сессия_Приложение 1-18 рус пост посл 20.10._Прилож.к бюдж 2010г._Приложение_2010-2012 рус 04.08.10_Анализ 9.03.2011г." xfId="2899" xr:uid="{00000000-0005-0000-0000-00007E070000}"/>
    <cellStyle name="_Приложение 02 русс на 16.04.2009 г. 1 сессия_Приложение 1-18 рус пост посл 20.10._Прилож.к бюдж 2010г._Приложение_2010-2012 рус 04.08.10_Анализ_Приложение_рус _2012-2014_29,30" xfId="854" xr:uid="{00000000-0005-0000-0000-00007F070000}"/>
    <cellStyle name="_Приложение 02 русс на 16.04.2009 г. 1 сессия_Приложение 1-18 рус пост посл 20.10._Прилож.к бюдж 2010г._Приложение_2010-2012 рус 04.08.10_Анализ_Приложение_рус _2012-2014_29,30 2" xfId="4282" xr:uid="{00000000-0005-0000-0000-000080070000}"/>
    <cellStyle name="_Приложение 02 русс на 16.04.2009 г. 1 сессия_Приложение 1-18 рус пост посл 20.10._Прилож.к бюдж 2010г._Приложение_2010-2012 рус 04.08.10_Пр 4     11.05.11. ИКС" xfId="855" xr:uid="{00000000-0005-0000-0000-000081070000}"/>
    <cellStyle name="_Приложение 02 русс на 16.04.2009 г. 1 сессия_Приложение 1-18 рус пост посл 20.10._Прилож.к бюдж 2010г._Приложение_2010-2012 рус 04.08.10_Пр 4     11.05.11. ИКС 2" xfId="4283" xr:uid="{00000000-0005-0000-0000-000082070000}"/>
    <cellStyle name="_Приложение 02 русс на 16.04.2009 г. 1 сессия_Приложение 1-18 рус пост посл 20.10._Прилож.к бюдж 2010г._Приложение_2010-2012 рус 04.08.10_Пр 4     11.05.11. ИКС_Приложение_рус _2012-2014_29,30" xfId="856" xr:uid="{00000000-0005-0000-0000-000083070000}"/>
    <cellStyle name="_Приложение 02 русс на 16.04.2009 г. 1 сессия_Приложение 1-18 рус пост посл 20.10._Прилож.к бюдж 2010г._Приложение_2010-2012 рус 04.08.10_Пр 4     11.05.11. ИКС_Приложение_рус _2012-2014_29,30 2" xfId="4284" xr:uid="{00000000-0005-0000-0000-000084070000}"/>
    <cellStyle name="_Приложение 02 русс на 16.04.2009 г. 1 сессия_Приложение 1-18 рус пост посл 20.10._Прилож.к бюдж 2010г._Приложение_2010-2012 рус 04.08.10_Приложение 4 русс,каз 16.03.11. посл" xfId="857" xr:uid="{00000000-0005-0000-0000-000085070000}"/>
    <cellStyle name="_Приложение 02 русс на 16.04.2009 г. 1 сессия_Приложение 1-18 рус пост посл 20.10._Прилож.к бюдж 2010г._Приложение_2010-2012 рус 04.08.10_Приложение 4 русс,каз 16.03.11. посл 2" xfId="4285" xr:uid="{00000000-0005-0000-0000-000086070000}"/>
    <cellStyle name="_Приложение 02 русс на 16.04.2009 г. 1 сессия_Приложение 1-18 рус пост посл 20.10._Прилож.к бюдж 2010г._Приложение_2010-2012 рус 04.08.10_Приложение 4 русс,каз 16.03.11. посл_Приложение_рус _2012-2014_29,30" xfId="858" xr:uid="{00000000-0005-0000-0000-000087070000}"/>
    <cellStyle name="_Приложение 02 русс на 16.04.2009 г. 1 сессия_Приложение 1-18 рус пост посл 20.10._Прилож.к бюдж 2010г._Приложение_2010-2012 рус 04.08.10_Приложение 4 русс,каз 16.03.11. посл_Приложение_рус _2012-2014_29,30 2" xfId="4286" xr:uid="{00000000-0005-0000-0000-000088070000}"/>
    <cellStyle name="_Приложение 02 русс на 16.04.2009 г. 1 сессия_Приложение 1-18 рус пост посл 20.10._Прилож.к бюдж 2010г._Приложение_2010-2012 рус 04.08.10_Приложение_реал_рус 2011-2013 Уточнение" xfId="859" xr:uid="{00000000-0005-0000-0000-000089070000}"/>
    <cellStyle name="_Приложение 02 русс на 16.04.2009 г. 1 сессия_Приложение 1-18 рус пост посл 20.10._Прилож.к бюдж 2010г._Приложение_2010-2012 рус 04.08.10_Приложение_реал_рус 2011-2013 Уточнение 2" xfId="4287" xr:uid="{00000000-0005-0000-0000-00008A070000}"/>
    <cellStyle name="_Приложение 02 русс на 16.04.2009 г. 1 сессия_Приложение 1-18 рус пост посл 20.10._Прилож.к бюдж 2010г._Приложение_2010-2012 рус 04.08.10_Приложение_реал_рус 2011-2013 Уточнение_Приложение_рус _2012-2014_29,30" xfId="860" xr:uid="{00000000-0005-0000-0000-00008B070000}"/>
    <cellStyle name="_Приложение 02 русс на 16.04.2009 г. 1 сессия_Приложение 1-18 рус пост посл 20.10._Прилож.к бюдж 2010г._Приложение_2010-2012 рус 04.08.10_Приложение_реал_рус 2011-2013 Уточнение_Приложение_рус _2012-2014_29,30 2" xfId="4288" xr:uid="{00000000-0005-0000-0000-00008C070000}"/>
    <cellStyle name="_Приложение 02 русс на 16.04.2009 г. 1 сессия_Приложение 1-18 рус пост посл 20.10._Прилож.к бюдж 2010г._Приложение_2010-2012 рус 04.08.10_Приложение_рус _2012-2014_29,30" xfId="861" xr:uid="{00000000-0005-0000-0000-00008D070000}"/>
    <cellStyle name="_Приложение 02 русс на 16.04.2009 г. 1 сессия_Приложение 1-18 рус пост посл 20.10._Прилож.к бюдж 2010г._Приложение_2010-2012 рус 04.08.10_Приложение_рус _2012-2014_29,30 2" xfId="4289" xr:uid="{00000000-0005-0000-0000-00008E070000}"/>
    <cellStyle name="_Приложение 02 русс на 16.04.2009 г. 1 сессия_Приложение 1-18 рус пост посл 20.10._Прилож.к бюдж 2010г._Приложение_2010-2012 рус 04.08.10_приложения 2012 рус" xfId="862" xr:uid="{00000000-0005-0000-0000-00008F070000}"/>
    <cellStyle name="_Приложение 02 русс на 16.04.2009 г. 1 сессия_Приложение 1-18 рус пост посл 20.10._Прилож.к бюдж 2010г._Приложение_2010-2012 рус 04.08.10_приложения 2012 рус 2" xfId="4290" xr:uid="{00000000-0005-0000-0000-000090070000}"/>
    <cellStyle name="_Приложение 02 русс на 16.04.2009 г. 1 сессия_Приложение 1-18 рус пост посл 20.10._Прилож.к бюдж 2010г._Приложение_2010-2012 рус март" xfId="863" xr:uid="{00000000-0005-0000-0000-000091070000}"/>
    <cellStyle name="_Приложение 02 русс на 16.04.2009 г. 1 сессия_Приложение 1-18 рус пост посл 20.10._Прилож.к бюдж 2010г._Приложение_2010-2012 рус март 2" xfId="4291" xr:uid="{00000000-0005-0000-0000-000092070000}"/>
    <cellStyle name="_Приложение 02 русс на 16.04.2009 г. 1 сессия_Приложение 1-18 рус пост посл 20.10._Прилож.к бюдж 2010г._Приложение_2010-2012 рус март_Анализ" xfId="864" xr:uid="{00000000-0005-0000-0000-000093070000}"/>
    <cellStyle name="_Приложение 02 русс на 16.04.2009 г. 1 сессия_Приложение 1-18 рус пост посл 20.10._Прилож.к бюдж 2010г._Приложение_2010-2012 рус март_Анализ 2" xfId="4292" xr:uid="{00000000-0005-0000-0000-000094070000}"/>
    <cellStyle name="_Приложение 02 русс на 16.04.2009 г. 1 сессия_Приложение 1-18 рус пост посл 20.10._Прилож.к бюдж 2010г._Приложение_2010-2012 рус март_Анализ 3.03.2011г." xfId="2900" xr:uid="{00000000-0005-0000-0000-000095070000}"/>
    <cellStyle name="_Приложение 02 русс на 16.04.2009 г. 1 сессия_Приложение 1-18 рус пост посл 20.10._Прилож.к бюдж 2010г._Приложение_2010-2012 рус март_Анализ 6.03.2011г." xfId="2901" xr:uid="{00000000-0005-0000-0000-000096070000}"/>
    <cellStyle name="_Приложение 02 русс на 16.04.2009 г. 1 сессия_Приложение 1-18 рус пост посл 20.10._Прилож.к бюдж 2010г._Приложение_2010-2012 рус март_Анализ 9.03.2011г." xfId="2902" xr:uid="{00000000-0005-0000-0000-000097070000}"/>
    <cellStyle name="_Приложение 02 русс на 16.04.2009 г. 1 сессия_Приложение 1-18 рус пост посл 20.10._Прилож.к бюдж 2010г._Приложение_2010-2012 рус март_Анализ_Приложение_рус _2012-2014_29,30" xfId="865" xr:uid="{00000000-0005-0000-0000-000098070000}"/>
    <cellStyle name="_Приложение 02 русс на 16.04.2009 г. 1 сессия_Приложение 1-18 рус пост посл 20.10._Прилож.к бюдж 2010г._Приложение_2010-2012 рус март_Анализ_Приложение_рус _2012-2014_29,30 2" xfId="4293" xr:uid="{00000000-0005-0000-0000-000099070000}"/>
    <cellStyle name="_Приложение 02 русс на 16.04.2009 г. 1 сессия_Приложение 1-18 рус пост посл 20.10._Прилож.к бюдж 2010г._Приложение_2010-2012 рус март_Пр 4     11.05.11. ИКС" xfId="866" xr:uid="{00000000-0005-0000-0000-00009A070000}"/>
    <cellStyle name="_Приложение 02 русс на 16.04.2009 г. 1 сессия_Приложение 1-18 рус пост посл 20.10._Прилож.к бюдж 2010г._Приложение_2010-2012 рус март_Пр 4     11.05.11. ИКС 2" xfId="4294" xr:uid="{00000000-0005-0000-0000-00009B070000}"/>
    <cellStyle name="_Приложение 02 русс на 16.04.2009 г. 1 сессия_Приложение 1-18 рус пост посл 20.10._Прилож.к бюдж 2010г._Приложение_2010-2012 рус март_Пр 4     11.05.11. ИКС_Приложение_рус _2012-2014_29,30" xfId="867" xr:uid="{00000000-0005-0000-0000-00009C070000}"/>
    <cellStyle name="_Приложение 02 русс на 16.04.2009 г. 1 сессия_Приложение 1-18 рус пост посл 20.10._Прилож.к бюдж 2010г._Приложение_2010-2012 рус март_Пр 4     11.05.11. ИКС_Приложение_рус _2012-2014_29,30 2" xfId="4295" xr:uid="{00000000-0005-0000-0000-00009D070000}"/>
    <cellStyle name="_Приложение 02 русс на 16.04.2009 г. 1 сессия_Приложение 1-18 рус пост посл 20.10._Прилож.к бюдж 2010г._Приложение_2010-2012 рус март_Приложение 4 русс,каз 16.03.11. посл" xfId="868" xr:uid="{00000000-0005-0000-0000-00009E070000}"/>
    <cellStyle name="_Приложение 02 русс на 16.04.2009 г. 1 сессия_Приложение 1-18 рус пост посл 20.10._Прилож.к бюдж 2010г._Приложение_2010-2012 рус март_Приложение 4 русс,каз 16.03.11. посл 2" xfId="4296" xr:uid="{00000000-0005-0000-0000-00009F070000}"/>
    <cellStyle name="_Приложение 02 русс на 16.04.2009 г. 1 сессия_Приложение 1-18 рус пост посл 20.10._Прилож.к бюдж 2010г._Приложение_2010-2012 рус март_Приложение 4 русс,каз 16.03.11. посл_Приложение_рус _2012-2014_29,30" xfId="869" xr:uid="{00000000-0005-0000-0000-0000A0070000}"/>
    <cellStyle name="_Приложение 02 русс на 16.04.2009 г. 1 сессия_Приложение 1-18 рус пост посл 20.10._Прилож.к бюдж 2010г._Приложение_2010-2012 рус март_Приложение 4 русс,каз 16.03.11. посл_Приложение_рус _2012-2014_29,30 2" xfId="4297" xr:uid="{00000000-0005-0000-0000-0000A1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" xfId="870" xr:uid="{00000000-0005-0000-0000-0000A2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 2" xfId="4298" xr:uid="{00000000-0005-0000-0000-0000A3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" xfId="871" xr:uid="{00000000-0005-0000-0000-0000A4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 2" xfId="4299" xr:uid="{00000000-0005-0000-0000-0000A5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 3.03.2011г." xfId="2903" xr:uid="{00000000-0005-0000-0000-0000A6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 6.03.2011г." xfId="2904" xr:uid="{00000000-0005-0000-0000-0000A7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 9.03.2011г." xfId="2905" xr:uid="{00000000-0005-0000-0000-0000A8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_Приложение_рус _2012-2014_29,30" xfId="872" xr:uid="{00000000-0005-0000-0000-0000A9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_Приложение_рус _2012-2014_29,30 2" xfId="4300" xr:uid="{00000000-0005-0000-0000-0000AA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 4     11.05.11. ИКС" xfId="873" xr:uid="{00000000-0005-0000-0000-0000AB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 4     11.05.11. ИКС 2" xfId="4301" xr:uid="{00000000-0005-0000-0000-0000AC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 4     11.05.11. ИКС_Приложение_рус _2012-2014_29,30" xfId="874" xr:uid="{00000000-0005-0000-0000-0000AD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 4     11.05.11. ИКС_Приложение_рус _2012-2014_29,30 2" xfId="4302" xr:uid="{00000000-0005-0000-0000-0000AE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 4 русс,каз 16.03.11. посл" xfId="875" xr:uid="{00000000-0005-0000-0000-0000AF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 4 русс,каз 16.03.11. посл 2" xfId="4303" xr:uid="{00000000-0005-0000-0000-0000B0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 4 русс,каз 16.03.11. посл_Приложение_рус _2012-2014_29,30" xfId="876" xr:uid="{00000000-0005-0000-0000-0000B1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 4 русс,каз 16.03.11. посл_Приложение_рус _2012-2014_29,30 2" xfId="4304" xr:uid="{00000000-0005-0000-0000-0000B2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еал_рус 2011-2013 Уточнение" xfId="877" xr:uid="{00000000-0005-0000-0000-0000B3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еал_рус 2011-2013 Уточнение 2" xfId="4305" xr:uid="{00000000-0005-0000-0000-0000B4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еал_рус 2011-2013 Уточнение_Приложение_рус _2012-2014_29,30" xfId="878" xr:uid="{00000000-0005-0000-0000-0000B5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еал_рус 2011-2013 Уточнение_Приложение_рус _2012-2014_29,30 2" xfId="4306" xr:uid="{00000000-0005-0000-0000-0000B6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ус _2012-2014_29,30" xfId="879" xr:uid="{00000000-0005-0000-0000-0000B7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ус _2012-2014_29,30 2" xfId="4307" xr:uid="{00000000-0005-0000-0000-0000B8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я 2012 рус" xfId="880" xr:uid="{00000000-0005-0000-0000-0000B9070000}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я 2012 рус 2" xfId="4308" xr:uid="{00000000-0005-0000-0000-0000BA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" xfId="881" xr:uid="{00000000-0005-0000-0000-0000BB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 2" xfId="4309" xr:uid="{00000000-0005-0000-0000-0000BC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" xfId="882" xr:uid="{00000000-0005-0000-0000-0000BD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 2" xfId="4310" xr:uid="{00000000-0005-0000-0000-0000BE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 3.03.2011г." xfId="2906" xr:uid="{00000000-0005-0000-0000-0000BF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 6.03.2011г." xfId="2907" xr:uid="{00000000-0005-0000-0000-0000C0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 9.03.2011г." xfId="2908" xr:uid="{00000000-0005-0000-0000-0000C1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_Приложение_рус _2012-2014_29,30" xfId="883" xr:uid="{00000000-0005-0000-0000-0000C2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_Приложение_рус _2012-2014_29,30 2" xfId="4311" xr:uid="{00000000-0005-0000-0000-0000C3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 4     11.05.11. ИКС" xfId="884" xr:uid="{00000000-0005-0000-0000-0000C4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 4     11.05.11. ИКС 2" xfId="4312" xr:uid="{00000000-0005-0000-0000-0000C5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 4     11.05.11. ИКС_Приложение_рус _2012-2014_29,30" xfId="885" xr:uid="{00000000-0005-0000-0000-0000C6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 4     11.05.11. ИКС_Приложение_рус _2012-2014_29,30 2" xfId="4313" xr:uid="{00000000-0005-0000-0000-0000C7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 4 русс,каз 16.03.11. посл" xfId="886" xr:uid="{00000000-0005-0000-0000-0000C8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 4 русс,каз 16.03.11. посл 2" xfId="4314" xr:uid="{00000000-0005-0000-0000-0000C9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 4 русс,каз 16.03.11. посл_Приложение_рус _2012-2014_29,30" xfId="887" xr:uid="{00000000-0005-0000-0000-0000CA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 4 русс,каз 16.03.11. посл_Приложение_рус _2012-2014_29,30 2" xfId="4315" xr:uid="{00000000-0005-0000-0000-0000CB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еал_рус 2011-2013 Уточнение" xfId="888" xr:uid="{00000000-0005-0000-0000-0000CC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еал_рус 2011-2013 Уточнение 2" xfId="4316" xr:uid="{00000000-0005-0000-0000-0000CD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еал_рус 2011-2013 Уточнение_Приложение_рус _2012-2014_29,30" xfId="889" xr:uid="{00000000-0005-0000-0000-0000CE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еал_рус 2011-2013 Уточнение_Приложение_рус _2012-2014_29,30 2" xfId="4317" xr:uid="{00000000-0005-0000-0000-0000CF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ус _2012-2014_29,30" xfId="890" xr:uid="{00000000-0005-0000-0000-0000D0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ус _2012-2014_29,30 2" xfId="4318" xr:uid="{00000000-0005-0000-0000-0000D1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я 2012 рус" xfId="891" xr:uid="{00000000-0005-0000-0000-0000D2070000}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я 2012 рус 2" xfId="4319" xr:uid="{00000000-0005-0000-0000-0000D3070000}"/>
    <cellStyle name="_Приложение 02 русс на 16.04.2009 г. 1 сессия_Приложение 1-18 рус пост посл 20.10._Прилож.к бюдж 2010г._Приложение_2010-2012 рус март_Приложение_реал_рус 2011-2013 Уточнение" xfId="892" xr:uid="{00000000-0005-0000-0000-0000D4070000}"/>
    <cellStyle name="_Приложение 02 русс на 16.04.2009 г. 1 сессия_Приложение 1-18 рус пост посл 20.10._Прилож.к бюдж 2010г._Приложение_2010-2012 рус март_Приложение_реал_рус 2011-2013 Уточнение 2" xfId="4320" xr:uid="{00000000-0005-0000-0000-0000D5070000}"/>
    <cellStyle name="_Приложение 02 русс на 16.04.2009 г. 1 сессия_Приложение 1-18 рус пост посл 20.10._Прилож.к бюдж 2010г._Приложение_2010-2012 рус март_Приложение_реал_рус 2011-2013 Уточнение_Приложение_рус _2012-2014_29,30" xfId="893" xr:uid="{00000000-0005-0000-0000-0000D6070000}"/>
    <cellStyle name="_Приложение 02 русс на 16.04.2009 г. 1 сессия_Приложение 1-18 рус пост посл 20.10._Прилож.к бюдж 2010г._Приложение_2010-2012 рус март_Приложение_реал_рус 2011-2013 Уточнение_Приложение_рус _2012-2014_29,30 2" xfId="4321" xr:uid="{00000000-0005-0000-0000-0000D7070000}"/>
    <cellStyle name="_Приложение 02 русс на 16.04.2009 г. 1 сессия_Приложение 1-18 рус пост посл 20.10._Прилож.к бюдж 2010г._Приложение_2010-2012 рус март_Приложение_рус _2012-2014_29,30" xfId="894" xr:uid="{00000000-0005-0000-0000-0000D8070000}"/>
    <cellStyle name="_Приложение 02 русс на 16.04.2009 г. 1 сессия_Приложение 1-18 рус пост посл 20.10._Прилож.к бюдж 2010г._Приложение_2010-2012 рус март_Приложение_рус _2012-2014_29,30 2" xfId="4322" xr:uid="{00000000-0005-0000-0000-0000D9070000}"/>
    <cellStyle name="_Приложение 02 русс на 16.04.2009 г. 1 сессия_Приложение 1-18 рус пост посл 20.10._Прилож.к бюдж 2010г._Приложение_2010-2012 рус март_приложения 2012 рус" xfId="895" xr:uid="{00000000-0005-0000-0000-0000DA070000}"/>
    <cellStyle name="_Приложение 02 русс на 16.04.2009 г. 1 сессия_Приложение 1-18 рус пост посл 20.10._Прилож.к бюдж 2010г._Приложение_2010-2012 рус март_приложения 2012 рус 2" xfId="4323" xr:uid="{00000000-0005-0000-0000-0000DB070000}"/>
    <cellStyle name="_Приложение 02 русс на 16.04.2009 г. 1 сессия_Приложение 1-18 рус пост посл 20.10._Прилож.к бюдж 2010г._Приложение_пост_каз_авг" xfId="896" xr:uid="{00000000-0005-0000-0000-0000DC070000}"/>
    <cellStyle name="_Приложение 02 русс на 16.04.2009 г. 1 сессия_Приложение 1-18 рус пост посл 20.10._Прилож.к бюдж 2010г._Приложение_пост_каз_авг 2" xfId="4324" xr:uid="{00000000-0005-0000-0000-0000DD070000}"/>
    <cellStyle name="_Приложение 02 русс на 16.04.2009 г. 1 сессия_Приложение 1-18 рус пост посл 20.10._Прилож.к бюдж 2010г._Приложение_пост_каз_авг_Анализ" xfId="897" xr:uid="{00000000-0005-0000-0000-0000DE070000}"/>
    <cellStyle name="_Приложение 02 русс на 16.04.2009 г. 1 сессия_Приложение 1-18 рус пост посл 20.10._Прилож.к бюдж 2010г._Приложение_пост_каз_авг_Анализ 2" xfId="4325" xr:uid="{00000000-0005-0000-0000-0000DF070000}"/>
    <cellStyle name="_Приложение 02 русс на 16.04.2009 г. 1 сессия_Приложение 1-18 рус пост посл 20.10._Прилож.к бюдж 2010г._Приложение_пост_каз_авг_Анализ 3.03.2011г." xfId="2909" xr:uid="{00000000-0005-0000-0000-0000E0070000}"/>
    <cellStyle name="_Приложение 02 русс на 16.04.2009 г. 1 сессия_Приложение 1-18 рус пост посл 20.10._Прилож.к бюдж 2010г._Приложение_пост_каз_авг_Анализ 6.03.2011г." xfId="2910" xr:uid="{00000000-0005-0000-0000-0000E1070000}"/>
    <cellStyle name="_Приложение 02 русс на 16.04.2009 г. 1 сессия_Приложение 1-18 рус пост посл 20.10._Прилож.к бюдж 2010г._Приложение_пост_каз_авг_Анализ 9.03.2011г." xfId="2911" xr:uid="{00000000-0005-0000-0000-0000E2070000}"/>
    <cellStyle name="_Приложение 02 русс на 16.04.2009 г. 1 сессия_Приложение 1-18 рус пост посл 20.10._Прилож.к бюдж 2010г._Приложение_пост_каз_авг_Анализ_Приложение_рус _2012-2014_29,30" xfId="898" xr:uid="{00000000-0005-0000-0000-0000E3070000}"/>
    <cellStyle name="_Приложение 02 русс на 16.04.2009 г. 1 сессия_Приложение 1-18 рус пост посл 20.10._Прилож.к бюдж 2010г._Приложение_пост_каз_авг_Анализ_Приложение_рус _2012-2014_29,30 2" xfId="4326" xr:uid="{00000000-0005-0000-0000-0000E4070000}"/>
    <cellStyle name="_Приложение 02 русс на 16.04.2009 г. 1 сессия_Приложение 1-18 рус пост посл 20.10._Прилож.к бюдж 2010г._Приложение_пост_каз_авг_Пр 4     11.05.11. ИКС" xfId="899" xr:uid="{00000000-0005-0000-0000-0000E5070000}"/>
    <cellStyle name="_Приложение 02 русс на 16.04.2009 г. 1 сессия_Приложение 1-18 рус пост посл 20.10._Прилож.к бюдж 2010г._Приложение_пост_каз_авг_Пр 4     11.05.11. ИКС 2" xfId="4327" xr:uid="{00000000-0005-0000-0000-0000E6070000}"/>
    <cellStyle name="_Приложение 02 русс на 16.04.2009 г. 1 сессия_Приложение 1-18 рус пост посл 20.10._Прилож.к бюдж 2010г._Приложение_пост_каз_авг_Пр 4     11.05.11. ИКС_Приложение_рус _2012-2014_29,30" xfId="900" xr:uid="{00000000-0005-0000-0000-0000E7070000}"/>
    <cellStyle name="_Приложение 02 русс на 16.04.2009 г. 1 сессия_Приложение 1-18 рус пост посл 20.10._Прилож.к бюдж 2010г._Приложение_пост_каз_авг_Пр 4     11.05.11. ИКС_Приложение_рус _2012-2014_29,30 2" xfId="4328" xr:uid="{00000000-0005-0000-0000-0000E8070000}"/>
    <cellStyle name="_Приложение 02 русс на 16.04.2009 г. 1 сессия_Приложение 1-18 рус пост посл 20.10._Прилож.к бюдж 2010г._Приложение_пост_каз_авг_Приложение 4 русс,каз 16.03.11. посл" xfId="901" xr:uid="{00000000-0005-0000-0000-0000E9070000}"/>
    <cellStyle name="_Приложение 02 русс на 16.04.2009 г. 1 сессия_Приложение 1-18 рус пост посл 20.10._Прилож.к бюдж 2010г._Приложение_пост_каз_авг_Приложение 4 русс,каз 16.03.11. посл 2" xfId="4329" xr:uid="{00000000-0005-0000-0000-0000EA070000}"/>
    <cellStyle name="_Приложение 02 русс на 16.04.2009 г. 1 сессия_Приложение 1-18 рус пост посл 20.10._Прилож.к бюдж 2010г._Приложение_пост_каз_авг_Приложение 4 русс,каз 16.03.11. посл_Приложение_рус _2012-2014_29,30" xfId="902" xr:uid="{00000000-0005-0000-0000-0000EB070000}"/>
    <cellStyle name="_Приложение 02 русс на 16.04.2009 г. 1 сессия_Приложение 1-18 рус пост посл 20.10._Прилож.к бюдж 2010г._Приложение_пост_каз_авг_Приложение 4 русс,каз 16.03.11. посл_Приложение_рус _2012-2014_29,30 2" xfId="4330" xr:uid="{00000000-0005-0000-0000-0000EC070000}"/>
    <cellStyle name="_Приложение 02 русс на 16.04.2009 г. 1 сессия_Приложение 1-18 рус пост посл 20.10._Прилож.к бюдж 2010г._Приложение_пост_каз_авг_Приложение_реал_рус 2011-2013 Уточнение" xfId="903" xr:uid="{00000000-0005-0000-0000-0000ED070000}"/>
    <cellStyle name="_Приложение 02 русс на 16.04.2009 г. 1 сессия_Приложение 1-18 рус пост посл 20.10._Прилож.к бюдж 2010г._Приложение_пост_каз_авг_Приложение_реал_рус 2011-2013 Уточнение 2" xfId="4331" xr:uid="{00000000-0005-0000-0000-0000EE070000}"/>
    <cellStyle name="_Приложение 02 русс на 16.04.2009 г. 1 сессия_Приложение 1-18 рус пост посл 20.10._Прилож.к бюдж 2010г._Приложение_пост_каз_авг_Приложение_реал_рус 2011-2013 Уточнение_Приложение_рус _2012-2014_29,30" xfId="904" xr:uid="{00000000-0005-0000-0000-0000EF070000}"/>
    <cellStyle name="_Приложение 02 русс на 16.04.2009 г. 1 сессия_Приложение 1-18 рус пост посл 20.10._Прилож.к бюдж 2010г._Приложение_пост_каз_авг_Приложение_реал_рус 2011-2013 Уточнение_Приложение_рус _2012-2014_29,30 2" xfId="4332" xr:uid="{00000000-0005-0000-0000-0000F0070000}"/>
    <cellStyle name="_Приложение 02 русс на 16.04.2009 г. 1 сессия_Приложение 1-18 рус пост посл 20.10._Прилож.к бюдж 2010г._Приложение_пост_каз_авг_Приложение_рус _2012-2014_29,30" xfId="905" xr:uid="{00000000-0005-0000-0000-0000F1070000}"/>
    <cellStyle name="_Приложение 02 русс на 16.04.2009 г. 1 сессия_Приложение 1-18 рус пост посл 20.10._Прилож.к бюдж 2010г._Приложение_пост_каз_авг_Приложение_рус _2012-2014_29,30 2" xfId="4333" xr:uid="{00000000-0005-0000-0000-0000F2070000}"/>
    <cellStyle name="_Приложение 02 русс на 16.04.2009 г. 1 сессия_Приложение 1-18 рус пост посл 20.10._Прилож.к бюдж 2010г._Приложение_пост_каз_авг_приложения 2012 рус" xfId="906" xr:uid="{00000000-0005-0000-0000-0000F3070000}"/>
    <cellStyle name="_Приложение 02 русс на 16.04.2009 г. 1 сессия_Приложение 1-18 рус пост посл 20.10._Прилож.к бюдж 2010г._Приложение_пост_каз_авг_приложения 2012 рус 2" xfId="4334" xr:uid="{00000000-0005-0000-0000-0000F4070000}"/>
    <cellStyle name="_Приложение 02 русс на 16.04.2009 г. 1 сессия_Приложение 1-18 рус пост посл 20.10._Прилож.к бюдж 2010г._Приложение_пост_рус_авг" xfId="907" xr:uid="{00000000-0005-0000-0000-0000F5070000}"/>
    <cellStyle name="_Приложение 02 русс на 16.04.2009 г. 1 сессия_Приложение 1-18 рус пост посл 20.10._Прилож.к бюдж 2010г._Приложение_пост_рус_авг 2" xfId="4335" xr:uid="{00000000-0005-0000-0000-0000F6070000}"/>
    <cellStyle name="_Приложение 02 русс на 16.04.2009 г. 1 сессия_Приложение 1-18 рус пост посл 20.10._Прилож.к бюдж 2010г._Приложение_пост_рус_авг_Анализ" xfId="908" xr:uid="{00000000-0005-0000-0000-0000F7070000}"/>
    <cellStyle name="_Приложение 02 русс на 16.04.2009 г. 1 сессия_Приложение 1-18 рус пост посл 20.10._Прилож.к бюдж 2010г._Приложение_пост_рус_авг_Анализ 2" xfId="4336" xr:uid="{00000000-0005-0000-0000-0000F8070000}"/>
    <cellStyle name="_Приложение 02 русс на 16.04.2009 г. 1 сессия_Приложение 1-18 рус пост посл 20.10._Прилож.к бюдж 2010г._Приложение_пост_рус_авг_Анализ 3.03.2011г." xfId="2912" xr:uid="{00000000-0005-0000-0000-0000F9070000}"/>
    <cellStyle name="_Приложение 02 русс на 16.04.2009 г. 1 сессия_Приложение 1-18 рус пост посл 20.10._Прилож.к бюдж 2010г._Приложение_пост_рус_авг_Анализ 6.03.2011г." xfId="2913" xr:uid="{00000000-0005-0000-0000-0000FA070000}"/>
    <cellStyle name="_Приложение 02 русс на 16.04.2009 г. 1 сессия_Приложение 1-18 рус пост посл 20.10._Прилож.к бюдж 2010г._Приложение_пост_рус_авг_Анализ 9.03.2011г." xfId="2914" xr:uid="{00000000-0005-0000-0000-0000FB070000}"/>
    <cellStyle name="_Приложение 02 русс на 16.04.2009 г. 1 сессия_Приложение 1-18 рус пост посл 20.10._Прилож.к бюдж 2010г._Приложение_пост_рус_авг_Анализ_Приложение_рус _2012-2014_29,30" xfId="909" xr:uid="{00000000-0005-0000-0000-0000FC070000}"/>
    <cellStyle name="_Приложение 02 русс на 16.04.2009 г. 1 сессия_Приложение 1-18 рус пост посл 20.10._Прилож.к бюдж 2010г._Приложение_пост_рус_авг_Анализ_Приложение_рус _2012-2014_29,30 2" xfId="4337" xr:uid="{00000000-0005-0000-0000-0000FD070000}"/>
    <cellStyle name="_Приложение 02 русс на 16.04.2009 г. 1 сессия_Приложение 1-18 рус пост посл 20.10._Прилож.к бюдж 2010г._Приложение_пост_рус_авг_Пр 4     11.05.11. ИКС" xfId="910" xr:uid="{00000000-0005-0000-0000-0000FE070000}"/>
    <cellStyle name="_Приложение 02 русс на 16.04.2009 г. 1 сессия_Приложение 1-18 рус пост посл 20.10._Прилож.к бюдж 2010г._Приложение_пост_рус_авг_Пр 4     11.05.11. ИКС 2" xfId="4338" xr:uid="{00000000-0005-0000-0000-0000FF070000}"/>
    <cellStyle name="_Приложение 02 русс на 16.04.2009 г. 1 сессия_Приложение 1-18 рус пост посл 20.10._Прилож.к бюдж 2010г._Приложение_пост_рус_авг_Пр 4     11.05.11. ИКС_Приложение_рус _2012-2014_29,30" xfId="911" xr:uid="{00000000-0005-0000-0000-000000080000}"/>
    <cellStyle name="_Приложение 02 русс на 16.04.2009 г. 1 сессия_Приложение 1-18 рус пост посл 20.10._Прилож.к бюдж 2010г._Приложение_пост_рус_авг_Пр 4     11.05.11. ИКС_Приложение_рус _2012-2014_29,30 2" xfId="4339" xr:uid="{00000000-0005-0000-0000-000001080000}"/>
    <cellStyle name="_Приложение 02 русс на 16.04.2009 г. 1 сессия_Приложение 1-18 рус пост посл 20.10._Прилож.к бюдж 2010г._Приложение_пост_рус_авг_Приложение 4 русс,каз 16.03.11. посл" xfId="912" xr:uid="{00000000-0005-0000-0000-000002080000}"/>
    <cellStyle name="_Приложение 02 русс на 16.04.2009 г. 1 сессия_Приложение 1-18 рус пост посл 20.10._Прилож.к бюдж 2010г._Приложение_пост_рус_авг_Приложение 4 русс,каз 16.03.11. посл 2" xfId="4340" xr:uid="{00000000-0005-0000-0000-000003080000}"/>
    <cellStyle name="_Приложение 02 русс на 16.04.2009 г. 1 сессия_Приложение 1-18 рус пост посл 20.10._Прилож.к бюдж 2010г._Приложение_пост_рус_авг_Приложение 4 русс,каз 16.03.11. посл_Приложение_рус _2012-2014_29,30" xfId="913" xr:uid="{00000000-0005-0000-0000-000004080000}"/>
    <cellStyle name="_Приложение 02 русс на 16.04.2009 г. 1 сессия_Приложение 1-18 рус пост посл 20.10._Прилож.к бюдж 2010г._Приложение_пост_рус_авг_Приложение 4 русс,каз 16.03.11. посл_Приложение_рус _2012-2014_29,30 2" xfId="4341" xr:uid="{00000000-0005-0000-0000-000005080000}"/>
    <cellStyle name="_Приложение 02 русс на 16.04.2009 г. 1 сессия_Приложение 1-18 рус пост посл 20.10._Прилож.к бюдж 2010г._Приложение_пост_рус_авг_Приложение_реал_рус 2011-2013 Уточнение" xfId="914" xr:uid="{00000000-0005-0000-0000-000006080000}"/>
    <cellStyle name="_Приложение 02 русс на 16.04.2009 г. 1 сессия_Приложение 1-18 рус пост посл 20.10._Прилож.к бюдж 2010г._Приложение_пост_рус_авг_Приложение_реал_рус 2011-2013 Уточнение 2" xfId="4342" xr:uid="{00000000-0005-0000-0000-000007080000}"/>
    <cellStyle name="_Приложение 02 русс на 16.04.2009 г. 1 сессия_Приложение 1-18 рус пост посл 20.10._Прилож.к бюдж 2010г._Приложение_пост_рус_авг_Приложение_реал_рус 2011-2013 Уточнение_Приложение_рус _2012-2014_29,30" xfId="915" xr:uid="{00000000-0005-0000-0000-000008080000}"/>
    <cellStyle name="_Приложение 02 русс на 16.04.2009 г. 1 сессия_Приложение 1-18 рус пост посл 20.10._Прилож.к бюдж 2010г._Приложение_пост_рус_авг_Приложение_реал_рус 2011-2013 Уточнение_Приложение_рус _2012-2014_29,30 2" xfId="4343" xr:uid="{00000000-0005-0000-0000-000009080000}"/>
    <cellStyle name="_Приложение 02 русс на 16.04.2009 г. 1 сессия_Приложение 1-18 рус пост посл 20.10._Прилож.к бюдж 2010г._Приложение_пост_рус_авг_Приложение_рус _2012-2014_29,30" xfId="916" xr:uid="{00000000-0005-0000-0000-00000A080000}"/>
    <cellStyle name="_Приложение 02 русс на 16.04.2009 г. 1 сессия_Приложение 1-18 рус пост посл 20.10._Прилож.к бюдж 2010г._Приложение_пост_рус_авг_Приложение_рус _2012-2014_29,30 2" xfId="4344" xr:uid="{00000000-0005-0000-0000-00000B080000}"/>
    <cellStyle name="_Приложение 02 русс на 16.04.2009 г. 1 сессия_Приложение 1-18 рус пост посл 20.10._Прилож.к бюдж 2010г._Приложение_пост_рус_авг_приложения 2012 рус" xfId="917" xr:uid="{00000000-0005-0000-0000-00000C080000}"/>
    <cellStyle name="_Приложение 02 русс на 16.04.2009 г. 1 сессия_Приложение 1-18 рус пост посл 20.10._Прилож.к бюдж 2010г._Приложение_пост_рус_авг_приложения 2012 рус 2" xfId="4345" xr:uid="{00000000-0005-0000-0000-00000D080000}"/>
    <cellStyle name="_Приложение 02 русс на 16.04.2009 г. 1 сессия_Приложение 1-18 рус пост посл 20.10._Прилож.к бюдж 2010г._Приложение_реал_рус 2011-2013 Уточнение" xfId="918" xr:uid="{00000000-0005-0000-0000-00000E080000}"/>
    <cellStyle name="_Приложение 02 русс на 16.04.2009 г. 1 сессия_Приложение 1-18 рус пост посл 20.10._Прилож.к бюдж 2010г._Приложение_реал_рус 2011-2013 Уточнение 2" xfId="4346" xr:uid="{00000000-0005-0000-0000-00000F080000}"/>
    <cellStyle name="_Приложение 02 русс на 16.04.2009 г. 1 сессия_Приложение 1-18 рус пост посл 20.10._Прилож.к бюдж 2010г._Приложение_реал_рус 2011-2013 Уточнение_Приложение_рус _2012-2014_29,30" xfId="919" xr:uid="{00000000-0005-0000-0000-000010080000}"/>
    <cellStyle name="_Приложение 02 русс на 16.04.2009 г. 1 сессия_Приложение 1-18 рус пост посл 20.10._Прилож.к бюдж 2010г._Приложение_реал_рус 2011-2013 Уточнение_Приложение_рус _2012-2014_29,30 2" xfId="4347" xr:uid="{00000000-0005-0000-0000-000011080000}"/>
    <cellStyle name="_Приложение 02 русс на 16.04.2009 г. 1 сессия_Приложение 1-18 рус пост посл 20.10._Прилож.к бюдж 2010г._Приложение_рус _2012-2014_29,30" xfId="920" xr:uid="{00000000-0005-0000-0000-000012080000}"/>
    <cellStyle name="_Приложение 02 русс на 16.04.2009 г. 1 сессия_Приложение 1-18 рус пост посл 20.10._Прилож.к бюдж 2010г._Приложение_рус _2012-2014_29,30 2" xfId="4348" xr:uid="{00000000-0005-0000-0000-000013080000}"/>
    <cellStyle name="_Приложение 02 русс на 16.04.2009 г. 1 сессия_Приложение 1-18 рус пост посл 20.10._Прилож.к бюдж 2010г._приложения 2012 рус" xfId="921" xr:uid="{00000000-0005-0000-0000-000014080000}"/>
    <cellStyle name="_Приложение 02 русс на 16.04.2009 г. 1 сессия_Приложение 1-18 рус пост посл 20.10._Прилож.к бюдж 2010г._приложения 2012 рус 2" xfId="4349" xr:uid="{00000000-0005-0000-0000-000015080000}"/>
    <cellStyle name="_Приложение 02 русс на 16.04.2009 г. 1 сессия_Приложение 1-18 рус пост посл 20.10._Приложение 4 русс,каз 16.03.11. посл" xfId="922" xr:uid="{00000000-0005-0000-0000-000016080000}"/>
    <cellStyle name="_Приложение 02 русс на 16.04.2009 г. 1 сессия_Приложение 1-18 рус пост посл 20.10._Приложение 4 русс,каз 16.03.11. посл 2" xfId="4350" xr:uid="{00000000-0005-0000-0000-000017080000}"/>
    <cellStyle name="_Приложение 02 русс на 16.04.2009 г. 1 сессия_Приложение 1-18 рус пост посл 20.10._Приложение 4 русс,каз 16.03.11. посл_Приложение_рус _2012-2014_29,30" xfId="923" xr:uid="{00000000-0005-0000-0000-000018080000}"/>
    <cellStyle name="_Приложение 02 русс на 16.04.2009 г. 1 сессия_Приложение 1-18 рус пост посл 20.10._Приложение 4 русс,каз 16.03.11. посл_Приложение_рус _2012-2014_29,30 2" xfId="4351" xr:uid="{00000000-0005-0000-0000-000019080000}"/>
    <cellStyle name="_Приложение 02 русс на 16.04.2009 г. 1 сессия_Приложение 1-18 рус пост посл 20.10._Приложение рус_ноябрь РБ" xfId="924" xr:uid="{00000000-0005-0000-0000-00001A080000}"/>
    <cellStyle name="_Приложение 02 русс на 16.04.2009 г. 1 сессия_Приложение 1-18 рус пост посл 20.10._Приложение рус_ноябрь РБ 2" xfId="4352" xr:uid="{00000000-0005-0000-0000-00001B080000}"/>
    <cellStyle name="_Приложение 02 русс на 16.04.2009 г. 1 сессия_Приложение 1-18 рус пост посл 20.10._Приложение рус_ноябрь РБ_Анализ" xfId="925" xr:uid="{00000000-0005-0000-0000-00001C080000}"/>
    <cellStyle name="_Приложение 02 русс на 16.04.2009 г. 1 сессия_Приложение 1-18 рус пост посл 20.10._Приложение рус_ноябрь РБ_Анализ 2" xfId="4353" xr:uid="{00000000-0005-0000-0000-00001D080000}"/>
    <cellStyle name="_Приложение 02 русс на 16.04.2009 г. 1 сессия_Приложение 1-18 рус пост посл 20.10._Приложение рус_ноябрь РБ_Анализ 3.03.2011г." xfId="2915" xr:uid="{00000000-0005-0000-0000-00001E080000}"/>
    <cellStyle name="_Приложение 02 русс на 16.04.2009 г. 1 сессия_Приложение 1-18 рус пост посл 20.10._Приложение рус_ноябрь РБ_Анализ 6.03.2011г." xfId="2916" xr:uid="{00000000-0005-0000-0000-00001F080000}"/>
    <cellStyle name="_Приложение 02 русс на 16.04.2009 г. 1 сессия_Приложение 1-18 рус пост посл 20.10._Приложение рус_ноябрь РБ_Анализ 9.03.2011г." xfId="2917" xr:uid="{00000000-0005-0000-0000-000020080000}"/>
    <cellStyle name="_Приложение 02 русс на 16.04.2009 г. 1 сессия_Приложение 1-18 рус пост посл 20.10._Приложение рус_ноябрь РБ_Анализ_Приложение_рус _2012-2014_29,30" xfId="926" xr:uid="{00000000-0005-0000-0000-000021080000}"/>
    <cellStyle name="_Приложение 02 русс на 16.04.2009 г. 1 сессия_Приложение 1-18 рус пост посл 20.10._Приложение рус_ноябрь РБ_Анализ_Приложение_рус _2012-2014_29,30 2" xfId="4354" xr:uid="{00000000-0005-0000-0000-000022080000}"/>
    <cellStyle name="_Приложение 02 русс на 16.04.2009 г. 1 сессия_Приложение 1-18 рус пост посл 20.10._Приложение рус_ноябрь РБ_Копия Приложение_2010-2012 рус март" xfId="927" xr:uid="{00000000-0005-0000-0000-000023080000}"/>
    <cellStyle name="_Приложение 02 русс на 16.04.2009 г. 1 сессия_Приложение 1-18 рус пост посл 20.10._Приложение рус_ноябрь РБ_Копия Приложение_2010-2012 рус март 2" xfId="4355" xr:uid="{00000000-0005-0000-0000-000024080000}"/>
    <cellStyle name="_Приложение 02 русс на 16.04.2009 г. 1 сессия_Приложение 1-18 рус пост посл 20.10._Приложение рус_ноябрь РБ_Копия Приложение_2010-2012 рус март_Анализ" xfId="928" xr:uid="{00000000-0005-0000-0000-000025080000}"/>
    <cellStyle name="_Приложение 02 русс на 16.04.2009 г. 1 сессия_Приложение 1-18 рус пост посл 20.10._Приложение рус_ноябрь РБ_Копия Приложение_2010-2012 рус март_Анализ 2" xfId="4356" xr:uid="{00000000-0005-0000-0000-000026080000}"/>
    <cellStyle name="_Приложение 02 русс на 16.04.2009 г. 1 сессия_Приложение 1-18 рус пост посл 20.10._Приложение рус_ноябрь РБ_Копия Приложение_2010-2012 рус март_Анализ 3.03.2011г." xfId="2918" xr:uid="{00000000-0005-0000-0000-000027080000}"/>
    <cellStyle name="_Приложение 02 русс на 16.04.2009 г. 1 сессия_Приложение 1-18 рус пост посл 20.10._Приложение рус_ноябрь РБ_Копия Приложение_2010-2012 рус март_Анализ 6.03.2011г." xfId="2919" xr:uid="{00000000-0005-0000-0000-000028080000}"/>
    <cellStyle name="_Приложение 02 русс на 16.04.2009 г. 1 сессия_Приложение 1-18 рус пост посл 20.10._Приложение рус_ноябрь РБ_Копия Приложение_2010-2012 рус март_Анализ 9.03.2011г." xfId="2920" xr:uid="{00000000-0005-0000-0000-000029080000}"/>
    <cellStyle name="_Приложение 02 русс на 16.04.2009 г. 1 сессия_Приложение 1-18 рус пост посл 20.10._Приложение рус_ноябрь РБ_Копия Приложение_2010-2012 рус март_Анализ_Приложение_рус _2012-2014_29,30" xfId="929" xr:uid="{00000000-0005-0000-0000-00002A080000}"/>
    <cellStyle name="_Приложение 02 русс на 16.04.2009 г. 1 сессия_Приложение 1-18 рус пост посл 20.10._Приложение рус_ноябрь РБ_Копия Приложение_2010-2012 рус март_Анализ_Приложение_рус _2012-2014_29,30 2" xfId="4357" xr:uid="{00000000-0005-0000-0000-00002B080000}"/>
    <cellStyle name="_Приложение 02 русс на 16.04.2009 г. 1 сессия_Приложение 1-18 рус пост посл 20.10._Приложение рус_ноябрь РБ_Копия Приложение_2010-2012 рус март_Пр 4     11.05.11. ИКС" xfId="930" xr:uid="{00000000-0005-0000-0000-00002C080000}"/>
    <cellStyle name="_Приложение 02 русс на 16.04.2009 г. 1 сессия_Приложение 1-18 рус пост посл 20.10._Приложение рус_ноябрь РБ_Копия Приложение_2010-2012 рус март_Пр 4     11.05.11. ИКС 2" xfId="4358" xr:uid="{00000000-0005-0000-0000-00002D080000}"/>
    <cellStyle name="_Приложение 02 русс на 16.04.2009 г. 1 сессия_Приложение 1-18 рус пост посл 20.10._Приложение рус_ноябрь РБ_Копия Приложение_2010-2012 рус март_Пр 4     11.05.11. ИКС_Приложение_рус _2012-2014_29,30" xfId="931" xr:uid="{00000000-0005-0000-0000-00002E080000}"/>
    <cellStyle name="_Приложение 02 русс на 16.04.2009 г. 1 сессия_Приложение 1-18 рус пост посл 20.10._Приложение рус_ноябрь РБ_Копия Приложение_2010-2012 рус март_Пр 4     11.05.11. ИКС_Приложение_рус _2012-2014_29,30 2" xfId="4359" xr:uid="{00000000-0005-0000-0000-00002F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 4 русс,каз 16.03.11. посл" xfId="932" xr:uid="{00000000-0005-0000-0000-000030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 4 русс,каз 16.03.11. посл 2" xfId="4360" xr:uid="{00000000-0005-0000-0000-000031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 4 русс,каз 16.03.11. посл_Приложение_рус _2012-2014_29,30" xfId="933" xr:uid="{00000000-0005-0000-0000-000032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 4 русс,каз 16.03.11. посл_Приложение_рус _2012-2014_29,30 2" xfId="4361" xr:uid="{00000000-0005-0000-0000-000033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" xfId="934" xr:uid="{00000000-0005-0000-0000-000034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 2" xfId="4362" xr:uid="{00000000-0005-0000-0000-000035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" xfId="935" xr:uid="{00000000-0005-0000-0000-000036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 2" xfId="4363" xr:uid="{00000000-0005-0000-0000-000037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 3.03.2011г." xfId="2921" xr:uid="{00000000-0005-0000-0000-000038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 6.03.2011г." xfId="2922" xr:uid="{00000000-0005-0000-0000-000039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 9.03.2011г." xfId="2923" xr:uid="{00000000-0005-0000-0000-00003A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_Приложение_рус _2012-2014_29,30" xfId="936" xr:uid="{00000000-0005-0000-0000-00003B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_Приложение_рус _2012-2014_29,30 2" xfId="4364" xr:uid="{00000000-0005-0000-0000-00003C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 4     11.05.11. ИКС" xfId="937" xr:uid="{00000000-0005-0000-0000-00003D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 4     11.05.11. ИКС 2" xfId="4365" xr:uid="{00000000-0005-0000-0000-00003E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 4     11.05.11. ИКС_Приложение_рус _2012-2014_29,30" xfId="938" xr:uid="{00000000-0005-0000-0000-00003F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 4     11.05.11. ИКС_Приложение_рус _2012-2014_29,30 2" xfId="4366" xr:uid="{00000000-0005-0000-0000-000040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 4 русс,каз 16.03.11. посл" xfId="939" xr:uid="{00000000-0005-0000-0000-000041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 4 русс,каз 16.03.11. посл 2" xfId="4367" xr:uid="{00000000-0005-0000-0000-000042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 4 русс,каз 16.03.11. посл_Приложение_рус _2012-2014_29,30" xfId="940" xr:uid="{00000000-0005-0000-0000-000043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 4 русс,каз 16.03.11. посл_Приложение_рус _2012-2014_29,30 2" xfId="4368" xr:uid="{00000000-0005-0000-0000-000044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еал_рус 2011-2013 Уточнение" xfId="941" xr:uid="{00000000-0005-0000-0000-000045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еал_рус 2011-2013 Уточнение 2" xfId="4369" xr:uid="{00000000-0005-0000-0000-000046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еал_рус 2011-2013 Уточнение_Приложение_рус _2012-2014_29,30" xfId="942" xr:uid="{00000000-0005-0000-0000-000047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еал_рус 2011-2013 Уточнение_Приложение_рус _2012-2014_29,30 2" xfId="4370" xr:uid="{00000000-0005-0000-0000-000048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ус _2012-2014_29,30" xfId="943" xr:uid="{00000000-0005-0000-0000-000049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ус _2012-2014_29,30 2" xfId="4371" xr:uid="{00000000-0005-0000-0000-00004A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я 2012 рус" xfId="944" xr:uid="{00000000-0005-0000-0000-00004B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я 2012 рус 2" xfId="4372" xr:uid="{00000000-0005-0000-0000-00004C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" xfId="945" xr:uid="{00000000-0005-0000-0000-00004D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 2" xfId="4373" xr:uid="{00000000-0005-0000-0000-00004E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" xfId="946" xr:uid="{00000000-0005-0000-0000-00004F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 2" xfId="4374" xr:uid="{00000000-0005-0000-0000-000050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 3.03.2011г." xfId="2924" xr:uid="{00000000-0005-0000-0000-000051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 6.03.2011г." xfId="2925" xr:uid="{00000000-0005-0000-0000-000052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 9.03.2011г." xfId="2926" xr:uid="{00000000-0005-0000-0000-000053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_Приложение_рус _2012-2014_29,30" xfId="947" xr:uid="{00000000-0005-0000-0000-000054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_Приложение_рус _2012-2014_29,30 2" xfId="4375" xr:uid="{00000000-0005-0000-0000-000055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 4     11.05.11. ИКС" xfId="948" xr:uid="{00000000-0005-0000-0000-000056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 4     11.05.11. ИКС 2" xfId="4376" xr:uid="{00000000-0005-0000-0000-000057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 4     11.05.11. ИКС_Приложение_рус _2012-2014_29,30" xfId="949" xr:uid="{00000000-0005-0000-0000-000058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 4     11.05.11. ИКС_Приложение_рус _2012-2014_29,30 2" xfId="4377" xr:uid="{00000000-0005-0000-0000-000059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 4 русс,каз 16.03.11. посл" xfId="950" xr:uid="{00000000-0005-0000-0000-00005A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 4 русс,каз 16.03.11. посл 2" xfId="4378" xr:uid="{00000000-0005-0000-0000-00005B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 4 русс,каз 16.03.11. посл_Приложение_рус _2012-2014_29,30" xfId="951" xr:uid="{00000000-0005-0000-0000-00005C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 4 русс,каз 16.03.11. посл_Приложение_рус _2012-2014_29,30 2" xfId="4379" xr:uid="{00000000-0005-0000-0000-00005D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еал_рус 2011-2013 Уточнение" xfId="952" xr:uid="{00000000-0005-0000-0000-00005E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еал_рус 2011-2013 Уточнение 2" xfId="4380" xr:uid="{00000000-0005-0000-0000-00005F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еал_рус 2011-2013 Уточнение_Приложение_рус _2012-2014_29,30" xfId="953" xr:uid="{00000000-0005-0000-0000-000060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еал_рус 2011-2013 Уточнение_Приложение_рус _2012-2014_29,30 2" xfId="4381" xr:uid="{00000000-0005-0000-0000-000061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ус _2012-2014_29,30" xfId="954" xr:uid="{00000000-0005-0000-0000-000062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ус _2012-2014_29,30 2" xfId="4382" xr:uid="{00000000-0005-0000-0000-000063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я 2012 рус" xfId="955" xr:uid="{00000000-0005-0000-0000-000064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я 2012 рус 2" xfId="4383" xr:uid="{00000000-0005-0000-0000-000065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реал_рус 2011-2013 Уточнение" xfId="956" xr:uid="{00000000-0005-0000-0000-000066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реал_рус 2011-2013 Уточнение 2" xfId="4384" xr:uid="{00000000-0005-0000-0000-000067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реал_рус 2011-2013 Уточнение_Приложение_рус _2012-2014_29,30" xfId="957" xr:uid="{00000000-0005-0000-0000-000068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реал_рус 2011-2013 Уточнение_Приложение_рус _2012-2014_29,30 2" xfId="4385" xr:uid="{00000000-0005-0000-0000-000069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рус _2012-2014_29,30" xfId="958" xr:uid="{00000000-0005-0000-0000-00006A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е_рус _2012-2014_29,30 2" xfId="4386" xr:uid="{00000000-0005-0000-0000-00006B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я 2012 рус" xfId="959" xr:uid="{00000000-0005-0000-0000-00006C080000}"/>
    <cellStyle name="_Приложение 02 русс на 16.04.2009 г. 1 сессия_Приложение 1-18 рус пост посл 20.10._Приложение рус_ноябрь РБ_Копия Приложение_2010-2012 рус март_приложения 2012 рус 2" xfId="4387" xr:uid="{00000000-0005-0000-0000-00006D080000}"/>
    <cellStyle name="_Приложение 02 русс на 16.04.2009 г. 1 сессия_Приложение 1-18 рус пост посл 20.10._Приложение рус_ноябрь РБ_Пр 4     11.05.11. ИКС" xfId="960" xr:uid="{00000000-0005-0000-0000-00006E080000}"/>
    <cellStyle name="_Приложение 02 русс на 16.04.2009 г. 1 сессия_Приложение 1-18 рус пост посл 20.10._Приложение рус_ноябрь РБ_Пр 4     11.05.11. ИКС 2" xfId="4388" xr:uid="{00000000-0005-0000-0000-00006F080000}"/>
    <cellStyle name="_Приложение 02 русс на 16.04.2009 г. 1 сессия_Приложение 1-18 рус пост посл 20.10._Приложение рус_ноябрь РБ_Пр 4     11.05.11. ИКС_Приложение_рус _2012-2014_29,30" xfId="961" xr:uid="{00000000-0005-0000-0000-000070080000}"/>
    <cellStyle name="_Приложение 02 русс на 16.04.2009 г. 1 сессия_Приложение 1-18 рус пост посл 20.10._Приложение рус_ноябрь РБ_Пр 4     11.05.11. ИКС_Приложение_рус _2012-2014_29,30 2" xfId="4389" xr:uid="{00000000-0005-0000-0000-000071080000}"/>
    <cellStyle name="_Приложение 02 русс на 16.04.2009 г. 1 сессия_Приложение 1-18 рус пост посл 20.10._Приложение рус_ноябрь РБ_прил4р_к" xfId="962" xr:uid="{00000000-0005-0000-0000-000072080000}"/>
    <cellStyle name="_Приложение 02 русс на 16.04.2009 г. 1 сессия_Приложение 1-18 рус пост посл 20.10._Приложение рус_ноябрь РБ_прил4р_к 2" xfId="963" xr:uid="{00000000-0005-0000-0000-000073080000}"/>
    <cellStyle name="_Приложение 02 русс на 16.04.2009 г. 1 сессия_Приложение 1-18 рус пост посл 20.10._Приложение рус_ноябрь РБ_прил4р_к 2 2" xfId="4391" xr:uid="{00000000-0005-0000-0000-000074080000}"/>
    <cellStyle name="_Приложение 02 русс на 16.04.2009 г. 1 сессия_Приложение 1-18 рус пост посл 20.10._Приложение рус_ноябрь РБ_прил4р_к 3" xfId="4390" xr:uid="{00000000-0005-0000-0000-000075080000}"/>
    <cellStyle name="_Приложение 02 русс на 16.04.2009 г. 1 сессия_Приложение 1-18 рус пост посл 20.10._Приложение рус_ноябрь РБ_прил4р_к_Анализ" xfId="964" xr:uid="{00000000-0005-0000-0000-000076080000}"/>
    <cellStyle name="_Приложение 02 русс на 16.04.2009 г. 1 сессия_Приложение 1-18 рус пост посл 20.10._Приложение рус_ноябрь РБ_прил4р_к_Анализ 2" xfId="4392" xr:uid="{00000000-0005-0000-0000-000077080000}"/>
    <cellStyle name="_Приложение 02 русс на 16.04.2009 г. 1 сессия_Приложение 1-18 рус пост посл 20.10._Приложение рус_ноябрь РБ_прил4р_к_Анализ 3.03.2011г." xfId="2927" xr:uid="{00000000-0005-0000-0000-000078080000}"/>
    <cellStyle name="_Приложение 02 русс на 16.04.2009 г. 1 сессия_Приложение 1-18 рус пост посл 20.10._Приложение рус_ноябрь РБ_прил4р_к_Анализ 6.03.2011г." xfId="2928" xr:uid="{00000000-0005-0000-0000-000079080000}"/>
    <cellStyle name="_Приложение 02 русс на 16.04.2009 г. 1 сессия_Приложение 1-18 рус пост посл 20.10._Приложение рус_ноябрь РБ_прил4р_к_Анализ 9.03.2011г." xfId="2929" xr:uid="{00000000-0005-0000-0000-00007A080000}"/>
    <cellStyle name="_Приложение 02 русс на 16.04.2009 г. 1 сессия_Приложение 1-18 рус пост посл 20.10._Приложение рус_ноябрь РБ_прил4р_к_Анализ_Приложение_рус _2012-2014_29,30" xfId="965" xr:uid="{00000000-0005-0000-0000-00007B080000}"/>
    <cellStyle name="_Приложение 02 русс на 16.04.2009 г. 1 сессия_Приложение 1-18 рус пост посл 20.10._Приложение рус_ноябрь РБ_прил4р_к_Анализ_Приложение_рус _2012-2014_29,30 2" xfId="4393" xr:uid="{00000000-0005-0000-0000-00007C080000}"/>
    <cellStyle name="_Приложение 02 русс на 16.04.2009 г. 1 сессия_Приложение 1-18 рус пост посл 20.10._Приложение рус_ноябрь РБ_прил4р_к_Пр 4     11.05.11. ИКС" xfId="966" xr:uid="{00000000-0005-0000-0000-00007D080000}"/>
    <cellStyle name="_Приложение 02 русс на 16.04.2009 г. 1 сессия_Приложение 1-18 рус пост посл 20.10._Приложение рус_ноябрь РБ_прил4р_к_Пр 4     11.05.11. ИКС 2" xfId="4394" xr:uid="{00000000-0005-0000-0000-00007E080000}"/>
    <cellStyle name="_Приложение 02 русс на 16.04.2009 г. 1 сессия_Приложение 1-18 рус пост посл 20.10._Приложение рус_ноябрь РБ_прил4р_к_Пр 4     11.05.11. ИКС_Приложение_рус _2012-2014_29,30" xfId="967" xr:uid="{00000000-0005-0000-0000-00007F080000}"/>
    <cellStyle name="_Приложение 02 русс на 16.04.2009 г. 1 сессия_Приложение 1-18 рус пост посл 20.10._Приложение рус_ноябрь РБ_прил4р_к_Пр 4     11.05.11. ИКС_Приложение_рус _2012-2014_29,30 2" xfId="4395" xr:uid="{00000000-0005-0000-0000-000080080000}"/>
    <cellStyle name="_Приложение 02 русс на 16.04.2009 г. 1 сессия_Приложение 1-18 рус пост посл 20.10._Приложение рус_ноябрь РБ_прил4р_к_Приложение 4 русс,каз 16.03.11. посл" xfId="968" xr:uid="{00000000-0005-0000-0000-000081080000}"/>
    <cellStyle name="_Приложение 02 русс на 16.04.2009 г. 1 сессия_Приложение 1-18 рус пост посл 20.10._Приложение рус_ноябрь РБ_прил4р_к_Приложение 4 русс,каз 16.03.11. посл 2" xfId="4396" xr:uid="{00000000-0005-0000-0000-000082080000}"/>
    <cellStyle name="_Приложение 02 русс на 16.04.2009 г. 1 сессия_Приложение 1-18 рус пост посл 20.10._Приложение рус_ноябрь РБ_прил4р_к_Приложение 4 русс,каз 16.03.11. посл_Приложение_рус _2012-2014_29,30" xfId="969" xr:uid="{00000000-0005-0000-0000-000083080000}"/>
    <cellStyle name="_Приложение 02 русс на 16.04.2009 г. 1 сессия_Приложение 1-18 рус пост посл 20.10._Приложение рус_ноябрь РБ_прил4р_к_Приложение 4 русс,каз 16.03.11. посл_Приложение_рус _2012-2014_29,30 2" xfId="4397" xr:uid="{00000000-0005-0000-0000-000084080000}"/>
    <cellStyle name="_Приложение 02 русс на 16.04.2009 г. 1 сессия_Приложение 1-18 рус пост посл 20.10._Приложение рус_ноябрь РБ_прил4р_к_Приложение_пост_каз_авг" xfId="970" xr:uid="{00000000-0005-0000-0000-000085080000}"/>
    <cellStyle name="_Приложение 02 русс на 16.04.2009 г. 1 сессия_Приложение 1-18 рус пост посл 20.10._Приложение рус_ноябрь РБ_прил4р_к_Приложение_пост_каз_авг 2" xfId="4398" xr:uid="{00000000-0005-0000-0000-000086080000}"/>
    <cellStyle name="_Приложение 02 русс на 16.04.2009 г. 1 сессия_Приложение 1-18 рус пост посл 20.10._Приложение рус_ноябрь РБ_прил4р_к_Приложение_пост_каз_авг_Анализ" xfId="971" xr:uid="{00000000-0005-0000-0000-000087080000}"/>
    <cellStyle name="_Приложение 02 русс на 16.04.2009 г. 1 сессия_Приложение 1-18 рус пост посл 20.10._Приложение рус_ноябрь РБ_прил4р_к_Приложение_пост_каз_авг_Анализ 2" xfId="4399" xr:uid="{00000000-0005-0000-0000-000088080000}"/>
    <cellStyle name="_Приложение 02 русс на 16.04.2009 г. 1 сессия_Приложение 1-18 рус пост посл 20.10._Приложение рус_ноябрь РБ_прил4р_к_Приложение_пост_каз_авг_Анализ 3.03.2011г." xfId="2930" xr:uid="{00000000-0005-0000-0000-000089080000}"/>
    <cellStyle name="_Приложение 02 русс на 16.04.2009 г. 1 сессия_Приложение 1-18 рус пост посл 20.10._Приложение рус_ноябрь РБ_прил4р_к_Приложение_пост_каз_авг_Анализ 6.03.2011г." xfId="2931" xr:uid="{00000000-0005-0000-0000-00008A080000}"/>
    <cellStyle name="_Приложение 02 русс на 16.04.2009 г. 1 сессия_Приложение 1-18 рус пост посл 20.10._Приложение рус_ноябрь РБ_прил4р_к_Приложение_пост_каз_авг_Анализ 9.03.2011г." xfId="2932" xr:uid="{00000000-0005-0000-0000-00008B080000}"/>
    <cellStyle name="_Приложение 02 русс на 16.04.2009 г. 1 сессия_Приложение 1-18 рус пост посл 20.10._Приложение рус_ноябрь РБ_прил4р_к_Приложение_пост_каз_авг_Анализ_Приложение_рус _2012-2014_29,30" xfId="972" xr:uid="{00000000-0005-0000-0000-00008C080000}"/>
    <cellStyle name="_Приложение 02 русс на 16.04.2009 г. 1 сессия_Приложение 1-18 рус пост посл 20.10._Приложение рус_ноябрь РБ_прил4р_к_Приложение_пост_каз_авг_Анализ_Приложение_рус _2012-2014_29,30 2" xfId="4400" xr:uid="{00000000-0005-0000-0000-00008D080000}"/>
    <cellStyle name="_Приложение 02 русс на 16.04.2009 г. 1 сессия_Приложение 1-18 рус пост посл 20.10._Приложение рус_ноябрь РБ_прил4р_к_Приложение_пост_каз_авг_Пр 4     11.05.11. ИКС" xfId="973" xr:uid="{00000000-0005-0000-0000-00008E080000}"/>
    <cellStyle name="_Приложение 02 русс на 16.04.2009 г. 1 сессия_Приложение 1-18 рус пост посл 20.10._Приложение рус_ноябрь РБ_прил4р_к_Приложение_пост_каз_авг_Пр 4     11.05.11. ИКС 2" xfId="4401" xr:uid="{00000000-0005-0000-0000-00008F080000}"/>
    <cellStyle name="_Приложение 02 русс на 16.04.2009 г. 1 сессия_Приложение 1-18 рус пост посл 20.10._Приложение рус_ноябрь РБ_прил4р_к_Приложение_пост_каз_авг_Пр 4     11.05.11. ИКС_Приложение_рус _2012-2014_29,30" xfId="974" xr:uid="{00000000-0005-0000-0000-000090080000}"/>
    <cellStyle name="_Приложение 02 русс на 16.04.2009 г. 1 сессия_Приложение 1-18 рус пост посл 20.10._Приложение рус_ноябрь РБ_прил4р_к_Приложение_пост_каз_авг_Пр 4     11.05.11. ИКС_Приложение_рус _2012-2014_29,30 2" xfId="4402" xr:uid="{00000000-0005-0000-0000-000091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е 4 русс,каз 16.03.11. посл" xfId="975" xr:uid="{00000000-0005-0000-0000-000092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е 4 русс,каз 16.03.11. посл 2" xfId="4403" xr:uid="{00000000-0005-0000-0000-000093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е 4 русс,каз 16.03.11. посл_Приложение_рус _2012-2014_29,30" xfId="976" xr:uid="{00000000-0005-0000-0000-000094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е 4 русс,каз 16.03.11. посл_Приложение_рус _2012-2014_29,30 2" xfId="4404" xr:uid="{00000000-0005-0000-0000-000095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еал_рус 2011-2013 Уточнение" xfId="977" xr:uid="{00000000-0005-0000-0000-000096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еал_рус 2011-2013 Уточнение 2" xfId="4405" xr:uid="{00000000-0005-0000-0000-000097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еал_рус 2011-2013 Уточнение_Приложение_рус _2012-2014_29,30" xfId="978" xr:uid="{00000000-0005-0000-0000-000098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еал_рус 2011-2013 Уточнение_Приложение_рус _2012-2014_29,30 2" xfId="4406" xr:uid="{00000000-0005-0000-0000-000099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ус _2012-2014_29,30" xfId="979" xr:uid="{00000000-0005-0000-0000-00009A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ус _2012-2014_29,30 2" xfId="4407" xr:uid="{00000000-0005-0000-0000-00009B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я 2012 рус" xfId="980" xr:uid="{00000000-0005-0000-0000-00009C080000}"/>
    <cellStyle name="_Приложение 02 русс на 16.04.2009 г. 1 сессия_Приложение 1-18 рус пост посл 20.10._Приложение рус_ноябрь РБ_прил4р_к_Приложение_пост_каз_авг_приложения 2012 рус 2" xfId="4408" xr:uid="{00000000-0005-0000-0000-00009D080000}"/>
    <cellStyle name="_Приложение 02 русс на 16.04.2009 г. 1 сессия_Приложение 1-18 рус пост посл 20.10._Приложение рус_ноябрь РБ_прил4р_к_Приложение_пост_рус_авг" xfId="981" xr:uid="{00000000-0005-0000-0000-00009E080000}"/>
    <cellStyle name="_Приложение 02 русс на 16.04.2009 г. 1 сессия_Приложение 1-18 рус пост посл 20.10._Приложение рус_ноябрь РБ_прил4р_к_Приложение_пост_рус_авг 2" xfId="4409" xr:uid="{00000000-0005-0000-0000-00009F080000}"/>
    <cellStyle name="_Приложение 02 русс на 16.04.2009 г. 1 сессия_Приложение 1-18 рус пост посл 20.10._Приложение рус_ноябрь РБ_прил4р_к_Приложение_пост_рус_авг_Анализ" xfId="982" xr:uid="{00000000-0005-0000-0000-0000A0080000}"/>
    <cellStyle name="_Приложение 02 русс на 16.04.2009 г. 1 сессия_Приложение 1-18 рус пост посл 20.10._Приложение рус_ноябрь РБ_прил4р_к_Приложение_пост_рус_авг_Анализ 2" xfId="4410" xr:uid="{00000000-0005-0000-0000-0000A1080000}"/>
    <cellStyle name="_Приложение 02 русс на 16.04.2009 г. 1 сессия_Приложение 1-18 рус пост посл 20.10._Приложение рус_ноябрь РБ_прил4р_к_Приложение_пост_рус_авг_Анализ 3.03.2011г." xfId="2933" xr:uid="{00000000-0005-0000-0000-0000A2080000}"/>
    <cellStyle name="_Приложение 02 русс на 16.04.2009 г. 1 сессия_Приложение 1-18 рус пост посл 20.10._Приложение рус_ноябрь РБ_прил4р_к_Приложение_пост_рус_авг_Анализ 6.03.2011г." xfId="2934" xr:uid="{00000000-0005-0000-0000-0000A3080000}"/>
    <cellStyle name="_Приложение 02 русс на 16.04.2009 г. 1 сессия_Приложение 1-18 рус пост посл 20.10._Приложение рус_ноябрь РБ_прил4р_к_Приложение_пост_рус_авг_Анализ 9.03.2011г." xfId="2935" xr:uid="{00000000-0005-0000-0000-0000A4080000}"/>
    <cellStyle name="_Приложение 02 русс на 16.04.2009 г. 1 сессия_Приложение 1-18 рус пост посл 20.10._Приложение рус_ноябрь РБ_прил4р_к_Приложение_пост_рус_авг_Анализ_Приложение_рус _2012-2014_29,30" xfId="983" xr:uid="{00000000-0005-0000-0000-0000A5080000}"/>
    <cellStyle name="_Приложение 02 русс на 16.04.2009 г. 1 сессия_Приложение 1-18 рус пост посл 20.10._Приложение рус_ноябрь РБ_прил4р_к_Приложение_пост_рус_авг_Анализ_Приложение_рус _2012-2014_29,30 2" xfId="4411" xr:uid="{00000000-0005-0000-0000-0000A6080000}"/>
    <cellStyle name="_Приложение 02 русс на 16.04.2009 г. 1 сессия_Приложение 1-18 рус пост посл 20.10._Приложение рус_ноябрь РБ_прил4р_к_Приложение_пост_рус_авг_Пр 4     11.05.11. ИКС" xfId="984" xr:uid="{00000000-0005-0000-0000-0000A7080000}"/>
    <cellStyle name="_Приложение 02 русс на 16.04.2009 г. 1 сессия_Приложение 1-18 рус пост посл 20.10._Приложение рус_ноябрь РБ_прил4р_к_Приложение_пост_рус_авг_Пр 4     11.05.11. ИКС 2" xfId="4412" xr:uid="{00000000-0005-0000-0000-0000A8080000}"/>
    <cellStyle name="_Приложение 02 русс на 16.04.2009 г. 1 сессия_Приложение 1-18 рус пост посл 20.10._Приложение рус_ноябрь РБ_прил4р_к_Приложение_пост_рус_авг_Пр 4     11.05.11. ИКС_Приложение_рус _2012-2014_29,30" xfId="985" xr:uid="{00000000-0005-0000-0000-0000A9080000}"/>
    <cellStyle name="_Приложение 02 русс на 16.04.2009 г. 1 сессия_Приложение 1-18 рус пост посл 20.10._Приложение рус_ноябрь РБ_прил4р_к_Приложение_пост_рус_авг_Пр 4     11.05.11. ИКС_Приложение_рус _2012-2014_29,30 2" xfId="4413" xr:uid="{00000000-0005-0000-0000-0000AA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е 4 русс,каз 16.03.11. посл" xfId="986" xr:uid="{00000000-0005-0000-0000-0000AB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е 4 русс,каз 16.03.11. посл 2" xfId="4414" xr:uid="{00000000-0005-0000-0000-0000AC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е 4 русс,каз 16.03.11. посл_Приложение_рус _2012-2014_29,30" xfId="987" xr:uid="{00000000-0005-0000-0000-0000AD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е 4 русс,каз 16.03.11. посл_Приложение_рус _2012-2014_29,30 2" xfId="4415" xr:uid="{00000000-0005-0000-0000-0000AE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еал_рус 2011-2013 Уточнение" xfId="988" xr:uid="{00000000-0005-0000-0000-0000AF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еал_рус 2011-2013 Уточнение 2" xfId="4416" xr:uid="{00000000-0005-0000-0000-0000B0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еал_рус 2011-2013 Уточнение_Приложение_рус _2012-2014_29,30" xfId="989" xr:uid="{00000000-0005-0000-0000-0000B1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еал_рус 2011-2013 Уточнение_Приложение_рус _2012-2014_29,30 2" xfId="4417" xr:uid="{00000000-0005-0000-0000-0000B2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ус _2012-2014_29,30" xfId="990" xr:uid="{00000000-0005-0000-0000-0000B3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ус _2012-2014_29,30 2" xfId="4418" xr:uid="{00000000-0005-0000-0000-0000B4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я 2012 рус" xfId="991" xr:uid="{00000000-0005-0000-0000-0000B5080000}"/>
    <cellStyle name="_Приложение 02 русс на 16.04.2009 г. 1 сессия_Приложение 1-18 рус пост посл 20.10._Приложение рус_ноябрь РБ_прил4р_к_Приложение_пост_рус_авг_приложения 2012 рус 2" xfId="4419" xr:uid="{00000000-0005-0000-0000-0000B6080000}"/>
    <cellStyle name="_Приложение 02 русс на 16.04.2009 г. 1 сессия_Приложение 1-18 рус пост посл 20.10._Приложение рус_ноябрь РБ_прил4р_к_Приложение_реал_рус 2011-2013 Уточнение" xfId="992" xr:uid="{00000000-0005-0000-0000-0000B7080000}"/>
    <cellStyle name="_Приложение 02 русс на 16.04.2009 г. 1 сессия_Приложение 1-18 рус пост посл 20.10._Приложение рус_ноябрь РБ_прил4р_к_Приложение_реал_рус 2011-2013 Уточнение 2" xfId="4420" xr:uid="{00000000-0005-0000-0000-0000B8080000}"/>
    <cellStyle name="_Приложение 02 русс на 16.04.2009 г. 1 сессия_Приложение 1-18 рус пост посл 20.10._Приложение рус_ноябрь РБ_прил4р_к_Приложение_реал_рус 2011-2013 Уточнение_Приложение_рус _2012-2014_29,30" xfId="993" xr:uid="{00000000-0005-0000-0000-0000B9080000}"/>
    <cellStyle name="_Приложение 02 русс на 16.04.2009 г. 1 сессия_Приложение 1-18 рус пост посл 20.10._Приложение рус_ноябрь РБ_прил4р_к_Приложение_реал_рус 2011-2013 Уточнение_Приложение_рус _2012-2014_29,30 2" xfId="4421" xr:uid="{00000000-0005-0000-0000-0000BA080000}"/>
    <cellStyle name="_Приложение 02 русс на 16.04.2009 г. 1 сессия_Приложение 1-18 рус пост посл 20.10._Приложение рус_ноябрь РБ_прил4р_к_Приложение_рус _2012-2014_29,30" xfId="994" xr:uid="{00000000-0005-0000-0000-0000BB080000}"/>
    <cellStyle name="_Приложение 02 русс на 16.04.2009 г. 1 сессия_Приложение 1-18 рус пост посл 20.10._Приложение рус_ноябрь РБ_прил4р_к_Приложение_рус _2012-2014_29,30 2" xfId="4422" xr:uid="{00000000-0005-0000-0000-0000BC080000}"/>
    <cellStyle name="_Приложение 02 русс на 16.04.2009 г. 1 сессия_Приложение 1-18 рус пост посл 20.10._Приложение рус_ноябрь РБ_прил4р_к_приложения 2012 рус" xfId="995" xr:uid="{00000000-0005-0000-0000-0000BD080000}"/>
    <cellStyle name="_Приложение 02 русс на 16.04.2009 г. 1 сессия_Приложение 1-18 рус пост посл 20.10._Приложение рус_ноябрь РБ_прил4р_к_приложения 2012 рус 2" xfId="4423" xr:uid="{00000000-0005-0000-0000-0000BE080000}"/>
    <cellStyle name="_Приложение 02 русс на 16.04.2009 г. 1 сессия_Приложение 1-18 рус пост посл 20.10._Приложение рус_ноябрь РБ_Приложение 4 русс,каз 16.03.11. посл" xfId="996" xr:uid="{00000000-0005-0000-0000-0000BF080000}"/>
    <cellStyle name="_Приложение 02 русс на 16.04.2009 г. 1 сессия_Приложение 1-18 рус пост посл 20.10._Приложение рус_ноябрь РБ_Приложение 4 русс,каз 16.03.11. посл 2" xfId="4424" xr:uid="{00000000-0005-0000-0000-0000C0080000}"/>
    <cellStyle name="_Приложение 02 русс на 16.04.2009 г. 1 сессия_Приложение 1-18 рус пост посл 20.10._Приложение рус_ноябрь РБ_Приложение 4 русс,каз 16.03.11. посл_Приложение_рус _2012-2014_29,30" xfId="997" xr:uid="{00000000-0005-0000-0000-0000C1080000}"/>
    <cellStyle name="_Приложение 02 русс на 16.04.2009 г. 1 сессия_Приложение 1-18 рус пост посл 20.10._Приложение рус_ноябрь РБ_Приложение 4 русс,каз 16.03.11. посл_Приложение_рус _2012-2014_29,30 2" xfId="4425" xr:uid="{00000000-0005-0000-0000-0000C2080000}"/>
    <cellStyle name="_Приложение 02 русс на 16.04.2009 г. 1 сессия_Приложение 1-18 рус пост посл 20.10._Приложение рус_ноябрь РБ_Приложение_2010-2012 каз 04.08.10_ДК-2020" xfId="998" xr:uid="{00000000-0005-0000-0000-0000C3080000}"/>
    <cellStyle name="_Приложение 02 русс на 16.04.2009 г. 1 сессия_Приложение 1-18 рус пост посл 20.10._Приложение рус_ноябрь РБ_Приложение_2010-2012 каз 04.08.10_ДК-2020 2" xfId="4426" xr:uid="{00000000-0005-0000-0000-0000C4080000}"/>
    <cellStyle name="_Приложение 02 русс на 16.04.2009 г. 1 сессия_Приложение 1-18 рус пост посл 20.10._Приложение рус_ноябрь РБ_Приложение_2010-2012 каз 04.08.10_ДК-2020_Анализ" xfId="999" xr:uid="{00000000-0005-0000-0000-0000C5080000}"/>
    <cellStyle name="_Приложение 02 русс на 16.04.2009 г. 1 сессия_Приложение 1-18 рус пост посл 20.10._Приложение рус_ноябрь РБ_Приложение_2010-2012 каз 04.08.10_ДК-2020_Анализ 2" xfId="4427" xr:uid="{00000000-0005-0000-0000-0000C6080000}"/>
    <cellStyle name="_Приложение 02 русс на 16.04.2009 г. 1 сессия_Приложение 1-18 рус пост посл 20.10._Приложение рус_ноябрь РБ_Приложение_2010-2012 каз 04.08.10_ДК-2020_Анализ 3.03.2011г." xfId="2936" xr:uid="{00000000-0005-0000-0000-0000C7080000}"/>
    <cellStyle name="_Приложение 02 русс на 16.04.2009 г. 1 сессия_Приложение 1-18 рус пост посл 20.10._Приложение рус_ноябрь РБ_Приложение_2010-2012 каз 04.08.10_ДК-2020_Анализ 6.03.2011г." xfId="2937" xr:uid="{00000000-0005-0000-0000-0000C8080000}"/>
    <cellStyle name="_Приложение 02 русс на 16.04.2009 г. 1 сессия_Приложение 1-18 рус пост посл 20.10._Приложение рус_ноябрь РБ_Приложение_2010-2012 каз 04.08.10_ДК-2020_Анализ 9.03.2011г." xfId="2938" xr:uid="{00000000-0005-0000-0000-0000C9080000}"/>
    <cellStyle name="_Приложение 02 русс на 16.04.2009 г. 1 сессия_Приложение 1-18 рус пост посл 20.10._Приложение рус_ноябрь РБ_Приложение_2010-2012 каз 04.08.10_ДК-2020_Анализ_Приложение_рус _2012-2014_29,30" xfId="1000" xr:uid="{00000000-0005-0000-0000-0000CA080000}"/>
    <cellStyle name="_Приложение 02 русс на 16.04.2009 г. 1 сессия_Приложение 1-18 рус пост посл 20.10._Приложение рус_ноябрь РБ_Приложение_2010-2012 каз 04.08.10_ДК-2020_Анализ_Приложение_рус _2012-2014_29,30 2" xfId="4428" xr:uid="{00000000-0005-0000-0000-0000CB080000}"/>
    <cellStyle name="_Приложение 02 русс на 16.04.2009 г. 1 сессия_Приложение 1-18 рус пост посл 20.10._Приложение рус_ноябрь РБ_Приложение_2010-2012 каз 04.08.10_ДК-2020_Пр 4     11.05.11. ИКС" xfId="1001" xr:uid="{00000000-0005-0000-0000-0000CC080000}"/>
    <cellStyle name="_Приложение 02 русс на 16.04.2009 г. 1 сессия_Приложение 1-18 рус пост посл 20.10._Приложение рус_ноябрь РБ_Приложение_2010-2012 каз 04.08.10_ДК-2020_Пр 4     11.05.11. ИКС 2" xfId="4429" xr:uid="{00000000-0005-0000-0000-0000CD080000}"/>
    <cellStyle name="_Приложение 02 русс на 16.04.2009 г. 1 сессия_Приложение 1-18 рус пост посл 20.10._Приложение рус_ноябрь РБ_Приложение_2010-2012 каз 04.08.10_ДК-2020_Пр 4     11.05.11. ИКС_Приложение_рус _2012-2014_29,30" xfId="1002" xr:uid="{00000000-0005-0000-0000-0000CE080000}"/>
    <cellStyle name="_Приложение 02 русс на 16.04.2009 г. 1 сессия_Приложение 1-18 рус пост посл 20.10._Приложение рус_ноябрь РБ_Приложение_2010-2012 каз 04.08.10_ДК-2020_Пр 4     11.05.11. ИКС_Приложение_рус _2012-2014_29,30 2" xfId="4430" xr:uid="{00000000-0005-0000-0000-0000CF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е 4 русс,каз 16.03.11. посл" xfId="1003" xr:uid="{00000000-0005-0000-0000-0000D0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е 4 русс,каз 16.03.11. посл 2" xfId="4431" xr:uid="{00000000-0005-0000-0000-0000D1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е 4 русс,каз 16.03.11. посл_Приложение_рус _2012-2014_29,30" xfId="1004" xr:uid="{00000000-0005-0000-0000-0000D2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е 4 русс,каз 16.03.11. посл_Приложение_рус _2012-2014_29,30 2" xfId="4432" xr:uid="{00000000-0005-0000-0000-0000D3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е_реал_рус 2011-2013 Уточнение" xfId="1005" xr:uid="{00000000-0005-0000-0000-0000D4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е_реал_рус 2011-2013 Уточнение 2" xfId="4433" xr:uid="{00000000-0005-0000-0000-0000D5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е_реал_рус 2011-2013 Уточнение_Приложение_рус _2012-2014_29,30" xfId="1006" xr:uid="{00000000-0005-0000-0000-0000D6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е_реал_рус 2011-2013 Уточнение_Приложение_рус _2012-2014_29,30 2" xfId="4434" xr:uid="{00000000-0005-0000-0000-0000D7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е_рус _2012-2014_29,30" xfId="1007" xr:uid="{00000000-0005-0000-0000-0000D8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е_рус _2012-2014_29,30 2" xfId="4435" xr:uid="{00000000-0005-0000-0000-0000D9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я 2012 рус" xfId="1008" xr:uid="{00000000-0005-0000-0000-0000DA080000}"/>
    <cellStyle name="_Приложение 02 русс на 16.04.2009 г. 1 сессия_Приложение 1-18 рус пост посл 20.10._Приложение рус_ноябрь РБ_Приложение_2010-2012 каз 04.08.10_ДК-2020_приложения 2012 рус 2" xfId="4436" xr:uid="{00000000-0005-0000-0000-0000DB080000}"/>
    <cellStyle name="_Приложение 02 русс на 16.04.2009 г. 1 сессия_Приложение 1-18 рус пост посл 20.10._Приложение рус_ноябрь РБ_Приложение_2010-2012 каз_март" xfId="1009" xr:uid="{00000000-0005-0000-0000-0000DC080000}"/>
    <cellStyle name="_Приложение 02 русс на 16.04.2009 г. 1 сессия_Приложение 1-18 рус пост посл 20.10._Приложение рус_ноябрь РБ_Приложение_2010-2012 каз_март 2" xfId="1010" xr:uid="{00000000-0005-0000-0000-0000DD080000}"/>
    <cellStyle name="_Приложение 02 русс на 16.04.2009 г. 1 сессия_Приложение 1-18 рус пост посл 20.10._Приложение рус_ноябрь РБ_Приложение_2010-2012 каз_март 2 2" xfId="4438" xr:uid="{00000000-0005-0000-0000-0000DE080000}"/>
    <cellStyle name="_Приложение 02 русс на 16.04.2009 г. 1 сессия_Приложение 1-18 рус пост посл 20.10._Приложение рус_ноябрь РБ_Приложение_2010-2012 каз_март 3" xfId="4437" xr:uid="{00000000-0005-0000-0000-0000DF080000}"/>
    <cellStyle name="_Приложение 02 русс на 16.04.2009 г. 1 сессия_Приложение 1-18 рус пост посл 20.10._Приложение рус_ноябрь РБ_Приложение_2010-2012 каз_март_Анализ" xfId="1011" xr:uid="{00000000-0005-0000-0000-0000E0080000}"/>
    <cellStyle name="_Приложение 02 русс на 16.04.2009 г. 1 сессия_Приложение 1-18 рус пост посл 20.10._Приложение рус_ноябрь РБ_Приложение_2010-2012 каз_март_Анализ 2" xfId="4439" xr:uid="{00000000-0005-0000-0000-0000E1080000}"/>
    <cellStyle name="_Приложение 02 русс на 16.04.2009 г. 1 сессия_Приложение 1-18 рус пост посл 20.10._Приложение рус_ноябрь РБ_Приложение_2010-2012 каз_март_Анализ 3.03.2011г." xfId="2939" xr:uid="{00000000-0005-0000-0000-0000E2080000}"/>
    <cellStyle name="_Приложение 02 русс на 16.04.2009 г. 1 сессия_Приложение 1-18 рус пост посл 20.10._Приложение рус_ноябрь РБ_Приложение_2010-2012 каз_март_Анализ 6.03.2011г." xfId="2940" xr:uid="{00000000-0005-0000-0000-0000E3080000}"/>
    <cellStyle name="_Приложение 02 русс на 16.04.2009 г. 1 сессия_Приложение 1-18 рус пост посл 20.10._Приложение рус_ноябрь РБ_Приложение_2010-2012 каз_март_Анализ 9.03.2011г." xfId="2941" xr:uid="{00000000-0005-0000-0000-0000E4080000}"/>
    <cellStyle name="_Приложение 02 русс на 16.04.2009 г. 1 сессия_Приложение 1-18 рус пост посл 20.10._Приложение рус_ноябрь РБ_Приложение_2010-2012 каз_март_Анализ_Приложение_рус _2012-2014_29,30" xfId="1012" xr:uid="{00000000-0005-0000-0000-0000E5080000}"/>
    <cellStyle name="_Приложение 02 русс на 16.04.2009 г. 1 сессия_Приложение 1-18 рус пост посл 20.10._Приложение рус_ноябрь РБ_Приложение_2010-2012 каз_март_Анализ_Приложение_рус _2012-2014_29,30 2" xfId="4440" xr:uid="{00000000-0005-0000-0000-0000E6080000}"/>
    <cellStyle name="_Приложение 02 русс на 16.04.2009 г. 1 сессия_Приложение 1-18 рус пост посл 20.10._Приложение рус_ноябрь РБ_Приложение_2010-2012 каз_март_Пр 4     11.05.11. ИКС" xfId="1013" xr:uid="{00000000-0005-0000-0000-0000E7080000}"/>
    <cellStyle name="_Приложение 02 русс на 16.04.2009 г. 1 сессия_Приложение 1-18 рус пост посл 20.10._Приложение рус_ноябрь РБ_Приложение_2010-2012 каз_март_Пр 4     11.05.11. ИКС 2" xfId="4441" xr:uid="{00000000-0005-0000-0000-0000E8080000}"/>
    <cellStyle name="_Приложение 02 русс на 16.04.2009 г. 1 сессия_Приложение 1-18 рус пост посл 20.10._Приложение рус_ноябрь РБ_Приложение_2010-2012 каз_март_Пр 4     11.05.11. ИКС_Приложение_рус _2012-2014_29,30" xfId="1014" xr:uid="{00000000-0005-0000-0000-0000E9080000}"/>
    <cellStyle name="_Приложение 02 русс на 16.04.2009 г. 1 сессия_Приложение 1-18 рус пост посл 20.10._Приложение рус_ноябрь РБ_Приложение_2010-2012 каз_март_Пр 4     11.05.11. ИКС_Приложение_рус _2012-2014_29,30 2" xfId="4442" xr:uid="{00000000-0005-0000-0000-0000EA080000}"/>
    <cellStyle name="_Приложение 02 русс на 16.04.2009 г. 1 сессия_Приложение 1-18 рус пост посл 20.10._Приложение рус_ноябрь РБ_Приложение_2010-2012 каз_март_Приложение 4 русс,каз 16.03.11. посл" xfId="1015" xr:uid="{00000000-0005-0000-0000-0000EB080000}"/>
    <cellStyle name="_Приложение 02 русс на 16.04.2009 г. 1 сессия_Приложение 1-18 рус пост посл 20.10._Приложение рус_ноябрь РБ_Приложение_2010-2012 каз_март_Приложение 4 русс,каз 16.03.11. посл 2" xfId="4443" xr:uid="{00000000-0005-0000-0000-0000EC080000}"/>
    <cellStyle name="_Приложение 02 русс на 16.04.2009 г. 1 сессия_Приложение 1-18 рус пост посл 20.10._Приложение рус_ноябрь РБ_Приложение_2010-2012 каз_март_Приложение 4 русс,каз 16.03.11. посл_Приложение_рус _2012-2014_29,30" xfId="1016" xr:uid="{00000000-0005-0000-0000-0000ED080000}"/>
    <cellStyle name="_Приложение 02 русс на 16.04.2009 г. 1 сессия_Приложение 1-18 рус пост посл 20.10._Приложение рус_ноябрь РБ_Приложение_2010-2012 каз_март_Приложение 4 русс,каз 16.03.11. посл_Приложение_рус _2012-2014_29,30 2" xfId="4444" xr:uid="{00000000-0005-0000-0000-0000EE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" xfId="1017" xr:uid="{00000000-0005-0000-0000-0000EF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 2" xfId="4445" xr:uid="{00000000-0005-0000-0000-0000F0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" xfId="1018" xr:uid="{00000000-0005-0000-0000-0000F1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 2" xfId="4446" xr:uid="{00000000-0005-0000-0000-0000F2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 3.03.2011г." xfId="2942" xr:uid="{00000000-0005-0000-0000-0000F3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 6.03.2011г." xfId="2943" xr:uid="{00000000-0005-0000-0000-0000F4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 9.03.2011г." xfId="2944" xr:uid="{00000000-0005-0000-0000-0000F5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_Приложение_рус _2012-2014_29,30" xfId="1019" xr:uid="{00000000-0005-0000-0000-0000F6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_Приложение_рус _2012-2014_29,30 2" xfId="4447" xr:uid="{00000000-0005-0000-0000-0000F7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 4     11.05.11. ИКС" xfId="1020" xr:uid="{00000000-0005-0000-0000-0000F8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 4     11.05.11. ИКС 2" xfId="4448" xr:uid="{00000000-0005-0000-0000-0000F9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 4     11.05.11. ИКС_Приложение_рус _2012-2014_29,30" xfId="1021" xr:uid="{00000000-0005-0000-0000-0000FA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 4     11.05.11. ИКС_Приложение_рус _2012-2014_29,30 2" xfId="4449" xr:uid="{00000000-0005-0000-0000-0000FB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 4 русс,каз 16.03.11. посл" xfId="1022" xr:uid="{00000000-0005-0000-0000-0000FC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 4 русс,каз 16.03.11. посл 2" xfId="4450" xr:uid="{00000000-0005-0000-0000-0000FD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 4 русс,каз 16.03.11. посл_Приложение_рус _2012-2014_29,30" xfId="1023" xr:uid="{00000000-0005-0000-0000-0000FE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 4 русс,каз 16.03.11. посл_Приложение_рус _2012-2014_29,30 2" xfId="4451" xr:uid="{00000000-0005-0000-0000-0000FF08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еал_рус 2011-2013 Уточнение" xfId="1024" xr:uid="{00000000-0005-0000-0000-000000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еал_рус 2011-2013 Уточнение 2" xfId="4452" xr:uid="{00000000-0005-0000-0000-000001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еал_рус 2011-2013 Уточнение_Приложение_рус _2012-2014_29,30" xfId="1025" xr:uid="{00000000-0005-0000-0000-000002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еал_рус 2011-2013 Уточнение_Приложение_рус _2012-2014_29,30 2" xfId="4453" xr:uid="{00000000-0005-0000-0000-000003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ус _2012-2014_29,30" xfId="1026" xr:uid="{00000000-0005-0000-0000-000004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ус _2012-2014_29,30 2" xfId="4454" xr:uid="{00000000-0005-0000-0000-000005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я 2012 рус" xfId="1027" xr:uid="{00000000-0005-0000-0000-000006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я 2012 рус 2" xfId="4455" xr:uid="{00000000-0005-0000-0000-000007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" xfId="1028" xr:uid="{00000000-0005-0000-0000-000008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 2" xfId="4456" xr:uid="{00000000-0005-0000-0000-000009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" xfId="1029" xr:uid="{00000000-0005-0000-0000-00000A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 2" xfId="4457" xr:uid="{00000000-0005-0000-0000-00000B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 3.03.2011г." xfId="2945" xr:uid="{00000000-0005-0000-0000-00000C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 6.03.2011г." xfId="2946" xr:uid="{00000000-0005-0000-0000-00000D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 9.03.2011г." xfId="2947" xr:uid="{00000000-0005-0000-0000-00000E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_Приложение_рус _2012-2014_29,30" xfId="1030" xr:uid="{00000000-0005-0000-0000-00000F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_Приложение_рус _2012-2014_29,30 2" xfId="4458" xr:uid="{00000000-0005-0000-0000-000010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 4     11.05.11. ИКС" xfId="1031" xr:uid="{00000000-0005-0000-0000-000011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 4     11.05.11. ИКС 2" xfId="4459" xr:uid="{00000000-0005-0000-0000-000012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 4     11.05.11. ИКС_Приложение_рус _2012-2014_29,30" xfId="1032" xr:uid="{00000000-0005-0000-0000-000013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 4     11.05.11. ИКС_Приложение_рус _2012-2014_29,30 2" xfId="4460" xr:uid="{00000000-0005-0000-0000-000014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 4 русс,каз 16.03.11. посл" xfId="1033" xr:uid="{00000000-0005-0000-0000-000015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 4 русс,каз 16.03.11. посл 2" xfId="4461" xr:uid="{00000000-0005-0000-0000-000016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 4 русс,каз 16.03.11. посл_Приложение_рус _2012-2014_29,30" xfId="1034" xr:uid="{00000000-0005-0000-0000-000017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 4 русс,каз 16.03.11. посл_Приложение_рус _2012-2014_29,30 2" xfId="4462" xr:uid="{00000000-0005-0000-0000-000018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еал_рус 2011-2013 Уточнение" xfId="1035" xr:uid="{00000000-0005-0000-0000-000019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еал_рус 2011-2013 Уточнение 2" xfId="4463" xr:uid="{00000000-0005-0000-0000-00001A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еал_рус 2011-2013 Уточнение_Приложение_рус _2012-2014_29,30" xfId="1036" xr:uid="{00000000-0005-0000-0000-00001B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еал_рус 2011-2013 Уточнение_Приложение_рус _2012-2014_29,30 2" xfId="4464" xr:uid="{00000000-0005-0000-0000-00001C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ус _2012-2014_29,30" xfId="1037" xr:uid="{00000000-0005-0000-0000-00001D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ус _2012-2014_29,30 2" xfId="4465" xr:uid="{00000000-0005-0000-0000-00001E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я 2012 рус" xfId="1038" xr:uid="{00000000-0005-0000-0000-00001F090000}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я 2012 рус 2" xfId="4466" xr:uid="{00000000-0005-0000-0000-000020090000}"/>
    <cellStyle name="_Приложение 02 русс на 16.04.2009 г. 1 сессия_Приложение 1-18 рус пост посл 20.10._Приложение рус_ноябрь РБ_Приложение_2010-2012 каз_март_Приложение_реал_рус 2011-2013 Уточнение" xfId="1039" xr:uid="{00000000-0005-0000-0000-000021090000}"/>
    <cellStyle name="_Приложение 02 русс на 16.04.2009 г. 1 сессия_Приложение 1-18 рус пост посл 20.10._Приложение рус_ноябрь РБ_Приложение_2010-2012 каз_март_Приложение_реал_рус 2011-2013 Уточнение 2" xfId="4467" xr:uid="{00000000-0005-0000-0000-000022090000}"/>
    <cellStyle name="_Приложение 02 русс на 16.04.2009 г. 1 сессия_Приложение 1-18 рус пост посл 20.10._Приложение рус_ноябрь РБ_Приложение_2010-2012 каз_март_Приложение_реал_рус 2011-2013 Уточнение_Приложение_рус _2012-2014_29,30" xfId="1040" xr:uid="{00000000-0005-0000-0000-000023090000}"/>
    <cellStyle name="_Приложение 02 русс на 16.04.2009 г. 1 сессия_Приложение 1-18 рус пост посл 20.10._Приложение рус_ноябрь РБ_Приложение_2010-2012 каз_март_Приложение_реал_рус 2011-2013 Уточнение_Приложение_рус _2012-2014_29,30 2" xfId="4468" xr:uid="{00000000-0005-0000-0000-000024090000}"/>
    <cellStyle name="_Приложение 02 русс на 16.04.2009 г. 1 сессия_Приложение 1-18 рус пост посл 20.10._Приложение рус_ноябрь РБ_Приложение_2010-2012 каз_март_Приложение_рус _2012-2014_29,30" xfId="1041" xr:uid="{00000000-0005-0000-0000-000025090000}"/>
    <cellStyle name="_Приложение 02 русс на 16.04.2009 г. 1 сессия_Приложение 1-18 рус пост посл 20.10._Приложение рус_ноябрь РБ_Приложение_2010-2012 каз_март_Приложение_рус _2012-2014_29,30 2" xfId="4469" xr:uid="{00000000-0005-0000-0000-000026090000}"/>
    <cellStyle name="_Приложение 02 русс на 16.04.2009 г. 1 сессия_Приложение 1-18 рус пост посл 20.10._Приложение рус_ноябрь РБ_Приложение_2010-2012 каз_март_приложения 2012 рус" xfId="1042" xr:uid="{00000000-0005-0000-0000-000027090000}"/>
    <cellStyle name="_Приложение 02 русс на 16.04.2009 г. 1 сессия_Приложение 1-18 рус пост посл 20.10._Приложение рус_ноябрь РБ_Приложение_2010-2012 каз_март_приложения 2012 рус 2" xfId="4470" xr:uid="{00000000-0005-0000-0000-000028090000}"/>
    <cellStyle name="_Приложение 02 русс на 16.04.2009 г. 1 сессия_Приложение 1-18 рус пост посл 20.10._Приложение рус_ноябрь РБ_Приложение_2010-2012 рус  КОРРЕКТИРОВКА" xfId="1043" xr:uid="{00000000-0005-0000-0000-000029090000}"/>
    <cellStyle name="_Приложение 02 русс на 16.04.2009 г. 1 сессия_Приложение 1-18 рус пост посл 20.10._Приложение рус_ноябрь РБ_Приложение_2010-2012 рус  КОРРЕКТИРОВКА 2" xfId="4471" xr:uid="{00000000-0005-0000-0000-00002A090000}"/>
    <cellStyle name="_Приложение 02 русс на 16.04.2009 г. 1 сессия_Приложение 1-18 рус пост посл 20.10._Приложение рус_ноябрь РБ_Приложение_2010-2012 рус  КОРРЕКТИРОВКА_Анализ" xfId="1044" xr:uid="{00000000-0005-0000-0000-00002B090000}"/>
    <cellStyle name="_Приложение 02 русс на 16.04.2009 г. 1 сессия_Приложение 1-18 рус пост посл 20.10._Приложение рус_ноябрь РБ_Приложение_2010-2012 рус  КОРРЕКТИРОВКА_Анализ 2" xfId="4472" xr:uid="{00000000-0005-0000-0000-00002C090000}"/>
    <cellStyle name="_Приложение 02 русс на 16.04.2009 г. 1 сессия_Приложение 1-18 рус пост посл 20.10._Приложение рус_ноябрь РБ_Приложение_2010-2012 рус  КОРРЕКТИРОВКА_Анализ 3.03.2011г." xfId="2948" xr:uid="{00000000-0005-0000-0000-00002D090000}"/>
    <cellStyle name="_Приложение 02 русс на 16.04.2009 г. 1 сессия_Приложение 1-18 рус пост посл 20.10._Приложение рус_ноябрь РБ_Приложение_2010-2012 рус  КОРРЕКТИРОВКА_Анализ 6.03.2011г." xfId="2949" xr:uid="{00000000-0005-0000-0000-00002E090000}"/>
    <cellStyle name="_Приложение 02 русс на 16.04.2009 г. 1 сессия_Приложение 1-18 рус пост посл 20.10._Приложение рус_ноябрь РБ_Приложение_2010-2012 рус  КОРРЕКТИРОВКА_Анализ 9.03.2011г." xfId="2950" xr:uid="{00000000-0005-0000-0000-00002F090000}"/>
    <cellStyle name="_Приложение 02 русс на 16.04.2009 г. 1 сессия_Приложение 1-18 рус пост посл 20.10._Приложение рус_ноябрь РБ_Приложение_2010-2012 рус  КОРРЕКТИРОВКА_Анализ_Приложение_рус _2012-2014_29,30" xfId="1045" xr:uid="{00000000-0005-0000-0000-000030090000}"/>
    <cellStyle name="_Приложение 02 русс на 16.04.2009 г. 1 сессия_Приложение 1-18 рус пост посл 20.10._Приложение рус_ноябрь РБ_Приложение_2010-2012 рус  КОРРЕКТИРОВКА_Анализ_Приложение_рус _2012-2014_29,30 2" xfId="4473" xr:uid="{00000000-0005-0000-0000-000031090000}"/>
    <cellStyle name="_Приложение 02 русс на 16.04.2009 г. 1 сессия_Приложение 1-18 рус пост посл 20.10._Приложение рус_ноябрь РБ_Приложение_2010-2012 рус  КОРРЕКТИРОВКА_Пр 4     11.05.11. ИКС" xfId="1046" xr:uid="{00000000-0005-0000-0000-000032090000}"/>
    <cellStyle name="_Приложение 02 русс на 16.04.2009 г. 1 сессия_Приложение 1-18 рус пост посл 20.10._Приложение рус_ноябрь РБ_Приложение_2010-2012 рус  КОРРЕКТИРОВКА_Пр 4     11.05.11. ИКС 2" xfId="4474" xr:uid="{00000000-0005-0000-0000-000033090000}"/>
    <cellStyle name="_Приложение 02 русс на 16.04.2009 г. 1 сессия_Приложение 1-18 рус пост посл 20.10._Приложение рус_ноябрь РБ_Приложение_2010-2012 рус  КОРРЕКТИРОВКА_Пр 4     11.05.11. ИКС_Приложение_рус _2012-2014_29,30" xfId="1047" xr:uid="{00000000-0005-0000-0000-000034090000}"/>
    <cellStyle name="_Приложение 02 русс на 16.04.2009 г. 1 сессия_Приложение 1-18 рус пост посл 20.10._Приложение рус_ноябрь РБ_Приложение_2010-2012 рус  КОРРЕКТИРОВКА_Пр 4     11.05.11. ИКС_Приложение_рус _2012-2014_29,30 2" xfId="4475" xr:uid="{00000000-0005-0000-0000-000035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 4 русс,каз 16.03.11. посл" xfId="1048" xr:uid="{00000000-0005-0000-0000-000036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 4 русс,каз 16.03.11. посл 2" xfId="4476" xr:uid="{00000000-0005-0000-0000-000037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 4 русс,каз 16.03.11. посл_Приложение_рус _2012-2014_29,30" xfId="1049" xr:uid="{00000000-0005-0000-0000-000038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 4 русс,каз 16.03.11. посл_Приложение_рус _2012-2014_29,30 2" xfId="4477" xr:uid="{00000000-0005-0000-0000-000039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" xfId="1050" xr:uid="{00000000-0005-0000-0000-00003A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 2" xfId="4478" xr:uid="{00000000-0005-0000-0000-00003B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" xfId="1051" xr:uid="{00000000-0005-0000-0000-00003C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 2" xfId="4479" xr:uid="{00000000-0005-0000-0000-00003D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 3.03.2011г." xfId="2951" xr:uid="{00000000-0005-0000-0000-00003E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 6.03.2011г." xfId="2952" xr:uid="{00000000-0005-0000-0000-00003F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 9.03.2011г." xfId="2953" xr:uid="{00000000-0005-0000-0000-000040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_Приложение_рус _2012-2014_29,30" xfId="1052" xr:uid="{00000000-0005-0000-0000-000041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_Приложение_рус _2012-2014_29,30 2" xfId="4480" xr:uid="{00000000-0005-0000-0000-000042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 4     11.05.11. ИКС" xfId="1053" xr:uid="{00000000-0005-0000-0000-000043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 4     11.05.11. ИКС 2" xfId="4481" xr:uid="{00000000-0005-0000-0000-000044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 4     11.05.11. ИКС_Приложение_рус _2012-2014_29,30" xfId="1054" xr:uid="{00000000-0005-0000-0000-000045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 4     11.05.11. ИКС_Приложение_рус _2012-2014_29,30 2" xfId="4482" xr:uid="{00000000-0005-0000-0000-000046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 4 русс,каз 16.03.11. посл" xfId="1055" xr:uid="{00000000-0005-0000-0000-000047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 4 русс,каз 16.03.11. посл 2" xfId="4483" xr:uid="{00000000-0005-0000-0000-000048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 4 русс,каз 16.03.11. посл_Приложение_рус _2012-2014_29,30" xfId="1056" xr:uid="{00000000-0005-0000-0000-000049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 4 русс,каз 16.03.11. посл_Приложение_рус _2012-2014_29,30 2" xfId="4484" xr:uid="{00000000-0005-0000-0000-00004A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еал_рус 2011-2013 Уточнение" xfId="1057" xr:uid="{00000000-0005-0000-0000-00004B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еал_рус 2011-2013 Уточнение 2" xfId="4485" xr:uid="{00000000-0005-0000-0000-00004C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еал_рус 2011-2013 Уточнение_Приложение_рус _2012-2014_29,30" xfId="1058" xr:uid="{00000000-0005-0000-0000-00004D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еал_рус 2011-2013 Уточнение_Приложение_рус _2012-2014_29,30 2" xfId="4486" xr:uid="{00000000-0005-0000-0000-00004E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ус _2012-2014_29,30" xfId="1059" xr:uid="{00000000-0005-0000-0000-00004F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ус _2012-2014_29,30 2" xfId="4487" xr:uid="{00000000-0005-0000-0000-000050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я 2012 рус" xfId="1060" xr:uid="{00000000-0005-0000-0000-000051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я 2012 рус 2" xfId="4488" xr:uid="{00000000-0005-0000-0000-000052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" xfId="1061" xr:uid="{00000000-0005-0000-0000-000053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 2" xfId="4489" xr:uid="{00000000-0005-0000-0000-000054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" xfId="1062" xr:uid="{00000000-0005-0000-0000-000055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 2" xfId="4490" xr:uid="{00000000-0005-0000-0000-000056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 3.03.2011г." xfId="2954" xr:uid="{00000000-0005-0000-0000-000057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 6.03.2011г." xfId="2955" xr:uid="{00000000-0005-0000-0000-000058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 9.03.2011г." xfId="2956" xr:uid="{00000000-0005-0000-0000-000059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_Приложение_рус _2012-2014_29,30" xfId="1063" xr:uid="{00000000-0005-0000-0000-00005A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_Приложение_рус _2012-2014_29,30 2" xfId="4491" xr:uid="{00000000-0005-0000-0000-00005B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 4     11.05.11. ИКС" xfId="1064" xr:uid="{00000000-0005-0000-0000-00005C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 4     11.05.11. ИКС 2" xfId="4492" xr:uid="{00000000-0005-0000-0000-00005D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 4     11.05.11. ИКС_Приложение_рус _2012-2014_29,30" xfId="1065" xr:uid="{00000000-0005-0000-0000-00005E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 4     11.05.11. ИКС_Приложение_рус _2012-2014_29,30 2" xfId="4493" xr:uid="{00000000-0005-0000-0000-00005F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 4 русс,каз 16.03.11. посл" xfId="1066" xr:uid="{00000000-0005-0000-0000-000060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 4 русс,каз 16.03.11. посл 2" xfId="4494" xr:uid="{00000000-0005-0000-0000-000061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 4 русс,каз 16.03.11. посл_Приложение_рус _2012-2014_29,30" xfId="1067" xr:uid="{00000000-0005-0000-0000-000062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 4 русс,каз 16.03.11. посл_Приложение_рус _2012-2014_29,30 2" xfId="4495" xr:uid="{00000000-0005-0000-0000-000063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еал_рус 2011-2013 Уточнение" xfId="1068" xr:uid="{00000000-0005-0000-0000-000064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еал_рус 2011-2013 Уточнение 2" xfId="4496" xr:uid="{00000000-0005-0000-0000-000065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еал_рус 2011-2013 Уточнение_Приложение_рус _2012-2014_29,30" xfId="1069" xr:uid="{00000000-0005-0000-0000-000066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еал_рус 2011-2013 Уточнение_Приложение_рус _2012-2014_29,30 2" xfId="4497" xr:uid="{00000000-0005-0000-0000-000067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ус _2012-2014_29,30" xfId="1070" xr:uid="{00000000-0005-0000-0000-000068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ус _2012-2014_29,30 2" xfId="4498" xr:uid="{00000000-0005-0000-0000-000069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я 2012 рус" xfId="1071" xr:uid="{00000000-0005-0000-0000-00006A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я 2012 рус 2" xfId="4499" xr:uid="{00000000-0005-0000-0000-00006B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еал_рус 2011-2013 Уточнение" xfId="1072" xr:uid="{00000000-0005-0000-0000-00006C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еал_рус 2011-2013 Уточнение 2" xfId="4500" xr:uid="{00000000-0005-0000-0000-00006D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еал_рус 2011-2013 Уточнение_Приложение_рус _2012-2014_29,30" xfId="1073" xr:uid="{00000000-0005-0000-0000-00006E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еал_рус 2011-2013 Уточнение_Приложение_рус _2012-2014_29,30 2" xfId="4501" xr:uid="{00000000-0005-0000-0000-00006F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ус _2012-2014_29,30" xfId="1074" xr:uid="{00000000-0005-0000-0000-000070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ус _2012-2014_29,30 2" xfId="4502" xr:uid="{00000000-0005-0000-0000-000071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я 2012 рус" xfId="1075" xr:uid="{00000000-0005-0000-0000-000072090000}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я 2012 рус 2" xfId="4503" xr:uid="{00000000-0005-0000-0000-000073090000}"/>
    <cellStyle name="_Приложение 02 русс на 16.04.2009 г. 1 сессия_Приложение 1-18 рус пост посл 20.10._Приложение рус_ноябрь РБ_Приложение_2010-2012 рус 04.08.10" xfId="1076" xr:uid="{00000000-0005-0000-0000-000074090000}"/>
    <cellStyle name="_Приложение 02 русс на 16.04.2009 г. 1 сессия_Приложение 1-18 рус пост посл 20.10._Приложение рус_ноябрь РБ_Приложение_2010-2012 рус 04.08.10 2" xfId="4504" xr:uid="{00000000-0005-0000-0000-000075090000}"/>
    <cellStyle name="_Приложение 02 русс на 16.04.2009 г. 1 сессия_Приложение 1-18 рус пост посл 20.10._Приложение рус_ноябрь РБ_Приложение_2010-2012 рус 04.08.10_Анализ" xfId="1077" xr:uid="{00000000-0005-0000-0000-000076090000}"/>
    <cellStyle name="_Приложение 02 русс на 16.04.2009 г. 1 сессия_Приложение 1-18 рус пост посл 20.10._Приложение рус_ноябрь РБ_Приложение_2010-2012 рус 04.08.10_Анализ 2" xfId="4505" xr:uid="{00000000-0005-0000-0000-000077090000}"/>
    <cellStyle name="_Приложение 02 русс на 16.04.2009 г. 1 сессия_Приложение 1-18 рус пост посл 20.10._Приложение рус_ноябрь РБ_Приложение_2010-2012 рус 04.08.10_Анализ 3.03.2011г." xfId="2957" xr:uid="{00000000-0005-0000-0000-000078090000}"/>
    <cellStyle name="_Приложение 02 русс на 16.04.2009 г. 1 сессия_Приложение 1-18 рус пост посл 20.10._Приложение рус_ноябрь РБ_Приложение_2010-2012 рус 04.08.10_Анализ 6.03.2011г." xfId="2958" xr:uid="{00000000-0005-0000-0000-000079090000}"/>
    <cellStyle name="_Приложение 02 русс на 16.04.2009 г. 1 сессия_Приложение 1-18 рус пост посл 20.10._Приложение рус_ноябрь РБ_Приложение_2010-2012 рус 04.08.10_Анализ 9.03.2011г." xfId="2959" xr:uid="{00000000-0005-0000-0000-00007A090000}"/>
    <cellStyle name="_Приложение 02 русс на 16.04.2009 г. 1 сессия_Приложение 1-18 рус пост посл 20.10._Приложение рус_ноябрь РБ_Приложение_2010-2012 рус 04.08.10_Анализ_Приложение_рус _2012-2014_29,30" xfId="1078" xr:uid="{00000000-0005-0000-0000-00007B090000}"/>
    <cellStyle name="_Приложение 02 русс на 16.04.2009 г. 1 сессия_Приложение 1-18 рус пост посл 20.10._Приложение рус_ноябрь РБ_Приложение_2010-2012 рус 04.08.10_Анализ_Приложение_рус _2012-2014_29,30 2" xfId="4506" xr:uid="{00000000-0005-0000-0000-00007C090000}"/>
    <cellStyle name="_Приложение 02 русс на 16.04.2009 г. 1 сессия_Приложение 1-18 рус пост посл 20.10._Приложение рус_ноябрь РБ_Приложение_2010-2012 рус 04.08.10_Пр 4     11.05.11. ИКС" xfId="1079" xr:uid="{00000000-0005-0000-0000-00007D090000}"/>
    <cellStyle name="_Приложение 02 русс на 16.04.2009 г. 1 сессия_Приложение 1-18 рус пост посл 20.10._Приложение рус_ноябрь РБ_Приложение_2010-2012 рус 04.08.10_Пр 4     11.05.11. ИКС 2" xfId="4507" xr:uid="{00000000-0005-0000-0000-00007E090000}"/>
    <cellStyle name="_Приложение 02 русс на 16.04.2009 г. 1 сессия_Приложение 1-18 рус пост посл 20.10._Приложение рус_ноябрь РБ_Приложение_2010-2012 рус 04.08.10_Пр 4     11.05.11. ИКС_Приложение_рус _2012-2014_29,30" xfId="1080" xr:uid="{00000000-0005-0000-0000-00007F090000}"/>
    <cellStyle name="_Приложение 02 русс на 16.04.2009 г. 1 сессия_Приложение 1-18 рус пост посл 20.10._Приложение рус_ноябрь РБ_Приложение_2010-2012 рус 04.08.10_Пр 4     11.05.11. ИКС_Приложение_рус _2012-2014_29,30 2" xfId="4508" xr:uid="{00000000-0005-0000-0000-000080090000}"/>
    <cellStyle name="_Приложение 02 русс на 16.04.2009 г. 1 сессия_Приложение 1-18 рус пост посл 20.10._Приложение рус_ноябрь РБ_Приложение_2010-2012 рус 04.08.10_Приложение 4 русс,каз 16.03.11. посл" xfId="1081" xr:uid="{00000000-0005-0000-0000-000081090000}"/>
    <cellStyle name="_Приложение 02 русс на 16.04.2009 г. 1 сессия_Приложение 1-18 рус пост посл 20.10._Приложение рус_ноябрь РБ_Приложение_2010-2012 рус 04.08.10_Приложение 4 русс,каз 16.03.11. посл 2" xfId="4509" xr:uid="{00000000-0005-0000-0000-000082090000}"/>
    <cellStyle name="_Приложение 02 русс на 16.04.2009 г. 1 сессия_Приложение 1-18 рус пост посл 20.10._Приложение рус_ноябрь РБ_Приложение_2010-2012 рус 04.08.10_Приложение 4 русс,каз 16.03.11. посл_Приложение_рус _2012-2014_29,30" xfId="1082" xr:uid="{00000000-0005-0000-0000-000083090000}"/>
    <cellStyle name="_Приложение 02 русс на 16.04.2009 г. 1 сессия_Приложение 1-18 рус пост посл 20.10._Приложение рус_ноябрь РБ_Приложение_2010-2012 рус 04.08.10_Приложение 4 русс,каз 16.03.11. посл_Приложение_рус _2012-2014_29,30 2" xfId="4510" xr:uid="{00000000-0005-0000-0000-000084090000}"/>
    <cellStyle name="_Приложение 02 русс на 16.04.2009 г. 1 сессия_Приложение 1-18 рус пост посл 20.10._Приложение рус_ноябрь РБ_Приложение_2010-2012 рус 04.08.10_Приложение_реал_рус 2011-2013 Уточнение" xfId="1083" xr:uid="{00000000-0005-0000-0000-000085090000}"/>
    <cellStyle name="_Приложение 02 русс на 16.04.2009 г. 1 сессия_Приложение 1-18 рус пост посл 20.10._Приложение рус_ноябрь РБ_Приложение_2010-2012 рус 04.08.10_Приложение_реал_рус 2011-2013 Уточнение 2" xfId="4511" xr:uid="{00000000-0005-0000-0000-000086090000}"/>
    <cellStyle name="_Приложение 02 русс на 16.04.2009 г. 1 сессия_Приложение 1-18 рус пост посл 20.10._Приложение рус_ноябрь РБ_Приложение_2010-2012 рус 04.08.10_Приложение_реал_рус 2011-2013 Уточнение_Приложение_рус _2012-2014_29,30" xfId="1084" xr:uid="{00000000-0005-0000-0000-000087090000}"/>
    <cellStyle name="_Приложение 02 русс на 16.04.2009 г. 1 сессия_Приложение 1-18 рус пост посл 20.10._Приложение рус_ноябрь РБ_Приложение_2010-2012 рус 04.08.10_Приложение_реал_рус 2011-2013 Уточнение_Приложение_рус _2012-2014_29,30 2" xfId="4512" xr:uid="{00000000-0005-0000-0000-000088090000}"/>
    <cellStyle name="_Приложение 02 русс на 16.04.2009 г. 1 сессия_Приложение 1-18 рус пост посл 20.10._Приложение рус_ноябрь РБ_Приложение_2010-2012 рус 04.08.10_Приложение_рус _2012-2014_29,30" xfId="1085" xr:uid="{00000000-0005-0000-0000-000089090000}"/>
    <cellStyle name="_Приложение 02 русс на 16.04.2009 г. 1 сессия_Приложение 1-18 рус пост посл 20.10._Приложение рус_ноябрь РБ_Приложение_2010-2012 рус 04.08.10_Приложение_рус _2012-2014_29,30 2" xfId="4513" xr:uid="{00000000-0005-0000-0000-00008A090000}"/>
    <cellStyle name="_Приложение 02 русс на 16.04.2009 г. 1 сессия_Приложение 1-18 рус пост посл 20.10._Приложение рус_ноябрь РБ_Приложение_2010-2012 рус 04.08.10_приложения 2012 рус" xfId="1086" xr:uid="{00000000-0005-0000-0000-00008B090000}"/>
    <cellStyle name="_Приложение 02 русс на 16.04.2009 г. 1 сессия_Приложение 1-18 рус пост посл 20.10._Приложение рус_ноябрь РБ_Приложение_2010-2012 рус 04.08.10_приложения 2012 рус 2" xfId="4514" xr:uid="{00000000-0005-0000-0000-00008C090000}"/>
    <cellStyle name="_Приложение 02 русс на 16.04.2009 г. 1 сессия_Приложение 1-18 рус пост посл 20.10._Приложение рус_ноябрь РБ_Приложение_2010-2012 рус март" xfId="1087" xr:uid="{00000000-0005-0000-0000-00008D090000}"/>
    <cellStyle name="_Приложение 02 русс на 16.04.2009 г. 1 сессия_Приложение 1-18 рус пост посл 20.10._Приложение рус_ноябрь РБ_Приложение_2010-2012 рус март 2" xfId="4515" xr:uid="{00000000-0005-0000-0000-00008E090000}"/>
    <cellStyle name="_Приложение 02 русс на 16.04.2009 г. 1 сессия_Приложение 1-18 рус пост посл 20.10._Приложение рус_ноябрь РБ_Приложение_2010-2012 рус март_Анализ" xfId="1088" xr:uid="{00000000-0005-0000-0000-00008F090000}"/>
    <cellStyle name="_Приложение 02 русс на 16.04.2009 г. 1 сессия_Приложение 1-18 рус пост посл 20.10._Приложение рус_ноябрь РБ_Приложение_2010-2012 рус март_Анализ 2" xfId="4516" xr:uid="{00000000-0005-0000-0000-000090090000}"/>
    <cellStyle name="_Приложение 02 русс на 16.04.2009 г. 1 сессия_Приложение 1-18 рус пост посл 20.10._Приложение рус_ноябрь РБ_Приложение_2010-2012 рус март_Анализ 3.03.2011г." xfId="2960" xr:uid="{00000000-0005-0000-0000-000091090000}"/>
    <cellStyle name="_Приложение 02 русс на 16.04.2009 г. 1 сессия_Приложение 1-18 рус пост посл 20.10._Приложение рус_ноябрь РБ_Приложение_2010-2012 рус март_Анализ 6.03.2011г." xfId="2961" xr:uid="{00000000-0005-0000-0000-000092090000}"/>
    <cellStyle name="_Приложение 02 русс на 16.04.2009 г. 1 сессия_Приложение 1-18 рус пост посл 20.10._Приложение рус_ноябрь РБ_Приложение_2010-2012 рус март_Анализ 9.03.2011г." xfId="2962" xr:uid="{00000000-0005-0000-0000-000093090000}"/>
    <cellStyle name="_Приложение 02 русс на 16.04.2009 г. 1 сессия_Приложение 1-18 рус пост посл 20.10._Приложение рус_ноябрь РБ_Приложение_2010-2012 рус март_Анализ_Приложение_рус _2012-2014_29,30" xfId="1089" xr:uid="{00000000-0005-0000-0000-000094090000}"/>
    <cellStyle name="_Приложение 02 русс на 16.04.2009 г. 1 сессия_Приложение 1-18 рус пост посл 20.10._Приложение рус_ноябрь РБ_Приложение_2010-2012 рус март_Анализ_Приложение_рус _2012-2014_29,30 2" xfId="4517" xr:uid="{00000000-0005-0000-0000-000095090000}"/>
    <cellStyle name="_Приложение 02 русс на 16.04.2009 г. 1 сессия_Приложение 1-18 рус пост посл 20.10._Приложение рус_ноябрь РБ_Приложение_2010-2012 рус март_Пр 4     11.05.11. ИКС" xfId="1090" xr:uid="{00000000-0005-0000-0000-000096090000}"/>
    <cellStyle name="_Приложение 02 русс на 16.04.2009 г. 1 сессия_Приложение 1-18 рус пост посл 20.10._Приложение рус_ноябрь РБ_Приложение_2010-2012 рус март_Пр 4     11.05.11. ИКС 2" xfId="4518" xr:uid="{00000000-0005-0000-0000-000097090000}"/>
    <cellStyle name="_Приложение 02 русс на 16.04.2009 г. 1 сессия_Приложение 1-18 рус пост посл 20.10._Приложение рус_ноябрь РБ_Приложение_2010-2012 рус март_Пр 4     11.05.11. ИКС_Приложение_рус _2012-2014_29,30" xfId="1091" xr:uid="{00000000-0005-0000-0000-000098090000}"/>
    <cellStyle name="_Приложение 02 русс на 16.04.2009 г. 1 сессия_Приложение 1-18 рус пост посл 20.10._Приложение рус_ноябрь РБ_Приложение_2010-2012 рус март_Пр 4     11.05.11. ИКС_Приложение_рус _2012-2014_29,30 2" xfId="4519" xr:uid="{00000000-0005-0000-0000-000099090000}"/>
    <cellStyle name="_Приложение 02 русс на 16.04.2009 г. 1 сессия_Приложение 1-18 рус пост посл 20.10._Приложение рус_ноябрь РБ_Приложение_2010-2012 рус март_Приложение 4 русс,каз 16.03.11. посл" xfId="1092" xr:uid="{00000000-0005-0000-0000-00009A090000}"/>
    <cellStyle name="_Приложение 02 русс на 16.04.2009 г. 1 сессия_Приложение 1-18 рус пост посл 20.10._Приложение рус_ноябрь РБ_Приложение_2010-2012 рус март_Приложение 4 русс,каз 16.03.11. посл 2" xfId="4520" xr:uid="{00000000-0005-0000-0000-00009B090000}"/>
    <cellStyle name="_Приложение 02 русс на 16.04.2009 г. 1 сессия_Приложение 1-18 рус пост посл 20.10._Приложение рус_ноябрь РБ_Приложение_2010-2012 рус март_Приложение 4 русс,каз 16.03.11. посл_Приложение_рус _2012-2014_29,30" xfId="1093" xr:uid="{00000000-0005-0000-0000-00009C090000}"/>
    <cellStyle name="_Приложение 02 русс на 16.04.2009 г. 1 сессия_Приложение 1-18 рус пост посл 20.10._Приложение рус_ноябрь РБ_Приложение_2010-2012 рус март_Приложение 4 русс,каз 16.03.11. посл_Приложение_рус _2012-2014_29,30 2" xfId="4521" xr:uid="{00000000-0005-0000-0000-00009D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" xfId="1094" xr:uid="{00000000-0005-0000-0000-00009E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 2" xfId="4522" xr:uid="{00000000-0005-0000-0000-00009F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" xfId="1095" xr:uid="{00000000-0005-0000-0000-0000A0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 2" xfId="4523" xr:uid="{00000000-0005-0000-0000-0000A1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 3.03.2011г." xfId="2963" xr:uid="{00000000-0005-0000-0000-0000A2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 6.03.2011г." xfId="2964" xr:uid="{00000000-0005-0000-0000-0000A3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 9.03.2011г." xfId="2965" xr:uid="{00000000-0005-0000-0000-0000A4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_Приложение_рус _2012-2014_29,30" xfId="1096" xr:uid="{00000000-0005-0000-0000-0000A5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_Приложение_рус _2012-2014_29,30 2" xfId="4524" xr:uid="{00000000-0005-0000-0000-0000A6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 4     11.05.11. ИКС" xfId="1097" xr:uid="{00000000-0005-0000-0000-0000A7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 4     11.05.11. ИКС 2" xfId="4525" xr:uid="{00000000-0005-0000-0000-0000A8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 4     11.05.11. ИКС_Приложение_рус _2012-2014_29,30" xfId="1098" xr:uid="{00000000-0005-0000-0000-0000A9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 4     11.05.11. ИКС_Приложение_рус _2012-2014_29,30 2" xfId="4526" xr:uid="{00000000-0005-0000-0000-0000AA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 4 русс,каз 16.03.11. посл" xfId="1099" xr:uid="{00000000-0005-0000-0000-0000AB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 4 русс,каз 16.03.11. посл 2" xfId="4527" xr:uid="{00000000-0005-0000-0000-0000AC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 4 русс,каз 16.03.11. посл_Приложение_рус _2012-2014_29,30" xfId="1100" xr:uid="{00000000-0005-0000-0000-0000AD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 4 русс,каз 16.03.11. посл_Приложение_рус _2012-2014_29,30 2" xfId="4528" xr:uid="{00000000-0005-0000-0000-0000AE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еал_рус 2011-2013 Уточнение" xfId="1101" xr:uid="{00000000-0005-0000-0000-0000AF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еал_рус 2011-2013 Уточнение 2" xfId="4529" xr:uid="{00000000-0005-0000-0000-0000B0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еал_рус 2011-2013 Уточнение_Приложение_рус _2012-2014_29,30" xfId="1102" xr:uid="{00000000-0005-0000-0000-0000B1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еал_рус 2011-2013 Уточнение_Приложение_рус _2012-2014_29,30 2" xfId="4530" xr:uid="{00000000-0005-0000-0000-0000B2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ус _2012-2014_29,30" xfId="1103" xr:uid="{00000000-0005-0000-0000-0000B3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ус _2012-2014_29,30 2" xfId="4531" xr:uid="{00000000-0005-0000-0000-0000B4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я 2012 рус" xfId="1104" xr:uid="{00000000-0005-0000-0000-0000B5090000}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я 2012 рус 2" xfId="4532" xr:uid="{00000000-0005-0000-0000-0000B6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" xfId="1105" xr:uid="{00000000-0005-0000-0000-0000B7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 2" xfId="4533" xr:uid="{00000000-0005-0000-0000-0000B8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" xfId="1106" xr:uid="{00000000-0005-0000-0000-0000B9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 2" xfId="4534" xr:uid="{00000000-0005-0000-0000-0000BA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 3.03.2011г." xfId="2966" xr:uid="{00000000-0005-0000-0000-0000BB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 6.03.2011г." xfId="2967" xr:uid="{00000000-0005-0000-0000-0000BC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 9.03.2011г." xfId="2968" xr:uid="{00000000-0005-0000-0000-0000BD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_Приложение_рус _2012-2014_29,30" xfId="1107" xr:uid="{00000000-0005-0000-0000-0000BE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_Приложение_рус _2012-2014_29,30 2" xfId="4535" xr:uid="{00000000-0005-0000-0000-0000BF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 4     11.05.11. ИКС" xfId="1108" xr:uid="{00000000-0005-0000-0000-0000C0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 4     11.05.11. ИКС 2" xfId="4536" xr:uid="{00000000-0005-0000-0000-0000C1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 4     11.05.11. ИКС_Приложение_рус _2012-2014_29,30" xfId="1109" xr:uid="{00000000-0005-0000-0000-0000C2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 4     11.05.11. ИКС_Приложение_рус _2012-2014_29,30 2" xfId="4537" xr:uid="{00000000-0005-0000-0000-0000C3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 4 русс,каз 16.03.11. посл" xfId="1110" xr:uid="{00000000-0005-0000-0000-0000C4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 4 русс,каз 16.03.11. посл 2" xfId="4538" xr:uid="{00000000-0005-0000-0000-0000C5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 4 русс,каз 16.03.11. посл_Приложение_рус _2012-2014_29,30" xfId="1111" xr:uid="{00000000-0005-0000-0000-0000C6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 4 русс,каз 16.03.11. посл_Приложение_рус _2012-2014_29,30 2" xfId="4539" xr:uid="{00000000-0005-0000-0000-0000C7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еал_рус 2011-2013 Уточнение" xfId="1112" xr:uid="{00000000-0005-0000-0000-0000C8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еал_рус 2011-2013 Уточнение 2" xfId="4540" xr:uid="{00000000-0005-0000-0000-0000C9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еал_рус 2011-2013 Уточнение_Приложение_рус _2012-2014_29,30" xfId="1113" xr:uid="{00000000-0005-0000-0000-0000CA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еал_рус 2011-2013 Уточнение_Приложение_рус _2012-2014_29,30 2" xfId="4541" xr:uid="{00000000-0005-0000-0000-0000CB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ус _2012-2014_29,30" xfId="1114" xr:uid="{00000000-0005-0000-0000-0000CC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ус _2012-2014_29,30 2" xfId="4542" xr:uid="{00000000-0005-0000-0000-0000CD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я 2012 рус" xfId="1115" xr:uid="{00000000-0005-0000-0000-0000CE090000}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я 2012 рус 2" xfId="4543" xr:uid="{00000000-0005-0000-0000-0000CF090000}"/>
    <cellStyle name="_Приложение 02 русс на 16.04.2009 г. 1 сессия_Приложение 1-18 рус пост посл 20.10._Приложение рус_ноябрь РБ_Приложение_2010-2012 рус март_Приложение_реал_рус 2011-2013 Уточнение" xfId="1116" xr:uid="{00000000-0005-0000-0000-0000D0090000}"/>
    <cellStyle name="_Приложение 02 русс на 16.04.2009 г. 1 сессия_Приложение 1-18 рус пост посл 20.10._Приложение рус_ноябрь РБ_Приложение_2010-2012 рус март_Приложение_реал_рус 2011-2013 Уточнение 2" xfId="4544" xr:uid="{00000000-0005-0000-0000-0000D1090000}"/>
    <cellStyle name="_Приложение 02 русс на 16.04.2009 г. 1 сессия_Приложение 1-18 рус пост посл 20.10._Приложение рус_ноябрь РБ_Приложение_2010-2012 рус март_Приложение_реал_рус 2011-2013 Уточнение_Приложение_рус _2012-2014_29,30" xfId="1117" xr:uid="{00000000-0005-0000-0000-0000D2090000}"/>
    <cellStyle name="_Приложение 02 русс на 16.04.2009 г. 1 сессия_Приложение 1-18 рус пост посл 20.10._Приложение рус_ноябрь РБ_Приложение_2010-2012 рус март_Приложение_реал_рус 2011-2013 Уточнение_Приложение_рус _2012-2014_29,30 2" xfId="4545" xr:uid="{00000000-0005-0000-0000-0000D3090000}"/>
    <cellStyle name="_Приложение 02 русс на 16.04.2009 г. 1 сессия_Приложение 1-18 рус пост посл 20.10._Приложение рус_ноябрь РБ_Приложение_2010-2012 рус март_Приложение_рус _2012-2014_29,30" xfId="1118" xr:uid="{00000000-0005-0000-0000-0000D4090000}"/>
    <cellStyle name="_Приложение 02 русс на 16.04.2009 г. 1 сессия_Приложение 1-18 рус пост посл 20.10._Приложение рус_ноябрь РБ_Приложение_2010-2012 рус март_Приложение_рус _2012-2014_29,30 2" xfId="4546" xr:uid="{00000000-0005-0000-0000-0000D5090000}"/>
    <cellStyle name="_Приложение 02 русс на 16.04.2009 г. 1 сессия_Приложение 1-18 рус пост посл 20.10._Приложение рус_ноябрь РБ_Приложение_2010-2012 рус март_приложения 2012 рус" xfId="1119" xr:uid="{00000000-0005-0000-0000-0000D6090000}"/>
    <cellStyle name="_Приложение 02 русс на 16.04.2009 г. 1 сессия_Приложение 1-18 рус пост посл 20.10._Приложение рус_ноябрь РБ_Приложение_2010-2012 рус март_приложения 2012 рус 2" xfId="4547" xr:uid="{00000000-0005-0000-0000-0000D7090000}"/>
    <cellStyle name="_Приложение 02 русс на 16.04.2009 г. 1 сессия_Приложение 1-18 рус пост посл 20.10._Приложение рус_ноябрь РБ_Приложение_пост_каз_авг" xfId="1120" xr:uid="{00000000-0005-0000-0000-0000D8090000}"/>
    <cellStyle name="_Приложение 02 русс на 16.04.2009 г. 1 сессия_Приложение 1-18 рус пост посл 20.10._Приложение рус_ноябрь РБ_Приложение_пост_каз_авг 2" xfId="4548" xr:uid="{00000000-0005-0000-0000-0000D9090000}"/>
    <cellStyle name="_Приложение 02 русс на 16.04.2009 г. 1 сессия_Приложение 1-18 рус пост посл 20.10._Приложение рус_ноябрь РБ_Приложение_пост_каз_авг_Анализ" xfId="1121" xr:uid="{00000000-0005-0000-0000-0000DA090000}"/>
    <cellStyle name="_Приложение 02 русс на 16.04.2009 г. 1 сессия_Приложение 1-18 рус пост посл 20.10._Приложение рус_ноябрь РБ_Приложение_пост_каз_авг_Анализ 2" xfId="4549" xr:uid="{00000000-0005-0000-0000-0000DB090000}"/>
    <cellStyle name="_Приложение 02 русс на 16.04.2009 г. 1 сессия_Приложение 1-18 рус пост посл 20.10._Приложение рус_ноябрь РБ_Приложение_пост_каз_авг_Анализ 3.03.2011г." xfId="2969" xr:uid="{00000000-0005-0000-0000-0000DC090000}"/>
    <cellStyle name="_Приложение 02 русс на 16.04.2009 г. 1 сессия_Приложение 1-18 рус пост посл 20.10._Приложение рус_ноябрь РБ_Приложение_пост_каз_авг_Анализ 6.03.2011г." xfId="2970" xr:uid="{00000000-0005-0000-0000-0000DD090000}"/>
    <cellStyle name="_Приложение 02 русс на 16.04.2009 г. 1 сессия_Приложение 1-18 рус пост посл 20.10._Приложение рус_ноябрь РБ_Приложение_пост_каз_авг_Анализ 9.03.2011г." xfId="2971" xr:uid="{00000000-0005-0000-0000-0000DE090000}"/>
    <cellStyle name="_Приложение 02 русс на 16.04.2009 г. 1 сессия_Приложение 1-18 рус пост посл 20.10._Приложение рус_ноябрь РБ_Приложение_пост_каз_авг_Анализ_Приложение_рус _2012-2014_29,30" xfId="1122" xr:uid="{00000000-0005-0000-0000-0000DF090000}"/>
    <cellStyle name="_Приложение 02 русс на 16.04.2009 г. 1 сессия_Приложение 1-18 рус пост посл 20.10._Приложение рус_ноябрь РБ_Приложение_пост_каз_авг_Анализ_Приложение_рус _2012-2014_29,30 2" xfId="4550" xr:uid="{00000000-0005-0000-0000-0000E0090000}"/>
    <cellStyle name="_Приложение 02 русс на 16.04.2009 г. 1 сессия_Приложение 1-18 рус пост посл 20.10._Приложение рус_ноябрь РБ_Приложение_пост_каз_авг_Пр 4     11.05.11. ИКС" xfId="1123" xr:uid="{00000000-0005-0000-0000-0000E1090000}"/>
    <cellStyle name="_Приложение 02 русс на 16.04.2009 г. 1 сессия_Приложение 1-18 рус пост посл 20.10._Приложение рус_ноябрь РБ_Приложение_пост_каз_авг_Пр 4     11.05.11. ИКС 2" xfId="4551" xr:uid="{00000000-0005-0000-0000-0000E2090000}"/>
    <cellStyle name="_Приложение 02 русс на 16.04.2009 г. 1 сессия_Приложение 1-18 рус пост посл 20.10._Приложение рус_ноябрь РБ_Приложение_пост_каз_авг_Пр 4     11.05.11. ИКС_Приложение_рус _2012-2014_29,30" xfId="1124" xr:uid="{00000000-0005-0000-0000-0000E3090000}"/>
    <cellStyle name="_Приложение 02 русс на 16.04.2009 г. 1 сессия_Приложение 1-18 рус пост посл 20.10._Приложение рус_ноябрь РБ_Приложение_пост_каз_авг_Пр 4     11.05.11. ИКС_Приложение_рус _2012-2014_29,30 2" xfId="4552" xr:uid="{00000000-0005-0000-0000-0000E4090000}"/>
    <cellStyle name="_Приложение 02 русс на 16.04.2009 г. 1 сессия_Приложение 1-18 рус пост посл 20.10._Приложение рус_ноябрь РБ_Приложение_пост_каз_авг_Приложение 4 русс,каз 16.03.11. посл" xfId="1125" xr:uid="{00000000-0005-0000-0000-0000E5090000}"/>
    <cellStyle name="_Приложение 02 русс на 16.04.2009 г. 1 сессия_Приложение 1-18 рус пост посл 20.10._Приложение рус_ноябрь РБ_Приложение_пост_каз_авг_Приложение 4 русс,каз 16.03.11. посл 2" xfId="4553" xr:uid="{00000000-0005-0000-0000-0000E6090000}"/>
    <cellStyle name="_Приложение 02 русс на 16.04.2009 г. 1 сессия_Приложение 1-18 рус пост посл 20.10._Приложение рус_ноябрь РБ_Приложение_пост_каз_авг_Приложение 4 русс,каз 16.03.11. посл_Приложение_рус _2012-2014_29,30" xfId="1126" xr:uid="{00000000-0005-0000-0000-0000E7090000}"/>
    <cellStyle name="_Приложение 02 русс на 16.04.2009 г. 1 сессия_Приложение 1-18 рус пост посл 20.10._Приложение рус_ноябрь РБ_Приложение_пост_каз_авг_Приложение 4 русс,каз 16.03.11. посл_Приложение_рус _2012-2014_29,30 2" xfId="4554" xr:uid="{00000000-0005-0000-0000-0000E8090000}"/>
    <cellStyle name="_Приложение 02 русс на 16.04.2009 г. 1 сессия_Приложение 1-18 рус пост посл 20.10._Приложение рус_ноябрь РБ_Приложение_пост_каз_авг_Приложение_реал_рус 2011-2013 Уточнение" xfId="1127" xr:uid="{00000000-0005-0000-0000-0000E9090000}"/>
    <cellStyle name="_Приложение 02 русс на 16.04.2009 г. 1 сессия_Приложение 1-18 рус пост посл 20.10._Приложение рус_ноябрь РБ_Приложение_пост_каз_авг_Приложение_реал_рус 2011-2013 Уточнение 2" xfId="4555" xr:uid="{00000000-0005-0000-0000-0000EA090000}"/>
    <cellStyle name="_Приложение 02 русс на 16.04.2009 г. 1 сессия_Приложение 1-18 рус пост посл 20.10._Приложение рус_ноябрь РБ_Приложение_пост_каз_авг_Приложение_реал_рус 2011-2013 Уточнение_Приложение_рус _2012-2014_29,30" xfId="1128" xr:uid="{00000000-0005-0000-0000-0000EB090000}"/>
    <cellStyle name="_Приложение 02 русс на 16.04.2009 г. 1 сессия_Приложение 1-18 рус пост посл 20.10._Приложение рус_ноябрь РБ_Приложение_пост_каз_авг_Приложение_реал_рус 2011-2013 Уточнение_Приложение_рус _2012-2014_29,30 2" xfId="4556" xr:uid="{00000000-0005-0000-0000-0000EC090000}"/>
    <cellStyle name="_Приложение 02 русс на 16.04.2009 г. 1 сессия_Приложение 1-18 рус пост посл 20.10._Приложение рус_ноябрь РБ_Приложение_пост_каз_авг_Приложение_рус _2012-2014_29,30" xfId="1129" xr:uid="{00000000-0005-0000-0000-0000ED090000}"/>
    <cellStyle name="_Приложение 02 русс на 16.04.2009 г. 1 сессия_Приложение 1-18 рус пост посл 20.10._Приложение рус_ноябрь РБ_Приложение_пост_каз_авг_Приложение_рус _2012-2014_29,30 2" xfId="4557" xr:uid="{00000000-0005-0000-0000-0000EE090000}"/>
    <cellStyle name="_Приложение 02 русс на 16.04.2009 г. 1 сессия_Приложение 1-18 рус пост посл 20.10._Приложение рус_ноябрь РБ_Приложение_пост_каз_авг_приложения 2012 рус" xfId="1130" xr:uid="{00000000-0005-0000-0000-0000EF090000}"/>
    <cellStyle name="_Приложение 02 русс на 16.04.2009 г. 1 сессия_Приложение 1-18 рус пост посл 20.10._Приложение рус_ноябрь РБ_Приложение_пост_каз_авг_приложения 2012 рус 2" xfId="4558" xr:uid="{00000000-0005-0000-0000-0000F0090000}"/>
    <cellStyle name="_Приложение 02 русс на 16.04.2009 г. 1 сессия_Приложение 1-18 рус пост посл 20.10._Приложение рус_ноябрь РБ_Приложение_пост_рус_авг" xfId="1131" xr:uid="{00000000-0005-0000-0000-0000F1090000}"/>
    <cellStyle name="_Приложение 02 русс на 16.04.2009 г. 1 сессия_Приложение 1-18 рус пост посл 20.10._Приложение рус_ноябрь РБ_Приложение_пост_рус_авг 2" xfId="4559" xr:uid="{00000000-0005-0000-0000-0000F2090000}"/>
    <cellStyle name="_Приложение 02 русс на 16.04.2009 г. 1 сессия_Приложение 1-18 рус пост посл 20.10._Приложение рус_ноябрь РБ_Приложение_пост_рус_авг_Анализ" xfId="1132" xr:uid="{00000000-0005-0000-0000-0000F3090000}"/>
    <cellStyle name="_Приложение 02 русс на 16.04.2009 г. 1 сессия_Приложение 1-18 рус пост посл 20.10._Приложение рус_ноябрь РБ_Приложение_пост_рус_авг_Анализ 2" xfId="4560" xr:uid="{00000000-0005-0000-0000-0000F4090000}"/>
    <cellStyle name="_Приложение 02 русс на 16.04.2009 г. 1 сессия_Приложение 1-18 рус пост посл 20.10._Приложение рус_ноябрь РБ_Приложение_пост_рус_авг_Анализ 3.03.2011г." xfId="2972" xr:uid="{00000000-0005-0000-0000-0000F5090000}"/>
    <cellStyle name="_Приложение 02 русс на 16.04.2009 г. 1 сессия_Приложение 1-18 рус пост посл 20.10._Приложение рус_ноябрь РБ_Приложение_пост_рус_авг_Анализ 6.03.2011г." xfId="2973" xr:uid="{00000000-0005-0000-0000-0000F6090000}"/>
    <cellStyle name="_Приложение 02 русс на 16.04.2009 г. 1 сессия_Приложение 1-18 рус пост посл 20.10._Приложение рус_ноябрь РБ_Приложение_пост_рус_авг_Анализ 9.03.2011г." xfId="2974" xr:uid="{00000000-0005-0000-0000-0000F7090000}"/>
    <cellStyle name="_Приложение 02 русс на 16.04.2009 г. 1 сессия_Приложение 1-18 рус пост посл 20.10._Приложение рус_ноябрь РБ_Приложение_пост_рус_авг_Анализ_Приложение_рус _2012-2014_29,30" xfId="1133" xr:uid="{00000000-0005-0000-0000-0000F8090000}"/>
    <cellStyle name="_Приложение 02 русс на 16.04.2009 г. 1 сессия_Приложение 1-18 рус пост посл 20.10._Приложение рус_ноябрь РБ_Приложение_пост_рус_авг_Анализ_Приложение_рус _2012-2014_29,30 2" xfId="4561" xr:uid="{00000000-0005-0000-0000-0000F9090000}"/>
    <cellStyle name="_Приложение 02 русс на 16.04.2009 г. 1 сессия_Приложение 1-18 рус пост посл 20.10._Приложение рус_ноябрь РБ_Приложение_пост_рус_авг_Пр 4     11.05.11. ИКС" xfId="1134" xr:uid="{00000000-0005-0000-0000-0000FA090000}"/>
    <cellStyle name="_Приложение 02 русс на 16.04.2009 г. 1 сессия_Приложение 1-18 рус пост посл 20.10._Приложение рус_ноябрь РБ_Приложение_пост_рус_авг_Пр 4     11.05.11. ИКС 2" xfId="4562" xr:uid="{00000000-0005-0000-0000-0000FB090000}"/>
    <cellStyle name="_Приложение 02 русс на 16.04.2009 г. 1 сессия_Приложение 1-18 рус пост посл 20.10._Приложение рус_ноябрь РБ_Приложение_пост_рус_авг_Пр 4     11.05.11. ИКС_Приложение_рус _2012-2014_29,30" xfId="1135" xr:uid="{00000000-0005-0000-0000-0000FC090000}"/>
    <cellStyle name="_Приложение 02 русс на 16.04.2009 г. 1 сессия_Приложение 1-18 рус пост посл 20.10._Приложение рус_ноябрь РБ_Приложение_пост_рус_авг_Пр 4     11.05.11. ИКС_Приложение_рус _2012-2014_29,30 2" xfId="4563" xr:uid="{00000000-0005-0000-0000-0000FD090000}"/>
    <cellStyle name="_Приложение 02 русс на 16.04.2009 г. 1 сессия_Приложение 1-18 рус пост посл 20.10._Приложение рус_ноябрь РБ_Приложение_пост_рус_авг_Приложение 4 русс,каз 16.03.11. посл" xfId="1136" xr:uid="{00000000-0005-0000-0000-0000FE090000}"/>
    <cellStyle name="_Приложение 02 русс на 16.04.2009 г. 1 сессия_Приложение 1-18 рус пост посл 20.10._Приложение рус_ноябрь РБ_Приложение_пост_рус_авг_Приложение 4 русс,каз 16.03.11. посл 2" xfId="4564" xr:uid="{00000000-0005-0000-0000-0000FF090000}"/>
    <cellStyle name="_Приложение 02 русс на 16.04.2009 г. 1 сессия_Приложение 1-18 рус пост посл 20.10._Приложение рус_ноябрь РБ_Приложение_пост_рус_авг_Приложение 4 русс,каз 16.03.11. посл_Приложение_рус _2012-2014_29,30" xfId="1137" xr:uid="{00000000-0005-0000-0000-0000000A0000}"/>
    <cellStyle name="_Приложение 02 русс на 16.04.2009 г. 1 сессия_Приложение 1-18 рус пост посл 20.10._Приложение рус_ноябрь РБ_Приложение_пост_рус_авг_Приложение 4 русс,каз 16.03.11. посл_Приложение_рус _2012-2014_29,30 2" xfId="4565" xr:uid="{00000000-0005-0000-0000-0000010A0000}"/>
    <cellStyle name="_Приложение 02 русс на 16.04.2009 г. 1 сессия_Приложение 1-18 рус пост посл 20.10._Приложение рус_ноябрь РБ_Приложение_пост_рус_авг_Приложение_реал_рус 2011-2013 Уточнение" xfId="1138" xr:uid="{00000000-0005-0000-0000-0000020A0000}"/>
    <cellStyle name="_Приложение 02 русс на 16.04.2009 г. 1 сессия_Приложение 1-18 рус пост посл 20.10._Приложение рус_ноябрь РБ_Приложение_пост_рус_авг_Приложение_реал_рус 2011-2013 Уточнение 2" xfId="4566" xr:uid="{00000000-0005-0000-0000-0000030A0000}"/>
    <cellStyle name="_Приложение 02 русс на 16.04.2009 г. 1 сессия_Приложение 1-18 рус пост посл 20.10._Приложение рус_ноябрь РБ_Приложение_пост_рус_авг_Приложение_реал_рус 2011-2013 Уточнение_Приложение_рус _2012-2014_29,30" xfId="1139" xr:uid="{00000000-0005-0000-0000-0000040A0000}"/>
    <cellStyle name="_Приложение 02 русс на 16.04.2009 г. 1 сессия_Приложение 1-18 рус пост посл 20.10._Приложение рус_ноябрь РБ_Приложение_пост_рус_авг_Приложение_реал_рус 2011-2013 Уточнение_Приложение_рус _2012-2014_29,30 2" xfId="4567" xr:uid="{00000000-0005-0000-0000-0000050A0000}"/>
    <cellStyle name="_Приложение 02 русс на 16.04.2009 г. 1 сессия_Приложение 1-18 рус пост посл 20.10._Приложение рус_ноябрь РБ_Приложение_пост_рус_авг_Приложение_рус _2012-2014_29,30" xfId="1140" xr:uid="{00000000-0005-0000-0000-0000060A0000}"/>
    <cellStyle name="_Приложение 02 русс на 16.04.2009 г. 1 сессия_Приложение 1-18 рус пост посл 20.10._Приложение рус_ноябрь РБ_Приложение_пост_рус_авг_Приложение_рус _2012-2014_29,30 2" xfId="4568" xr:uid="{00000000-0005-0000-0000-0000070A0000}"/>
    <cellStyle name="_Приложение 02 русс на 16.04.2009 г. 1 сессия_Приложение 1-18 рус пост посл 20.10._Приложение рус_ноябрь РБ_Приложение_пост_рус_авг_приложения 2012 рус" xfId="1141" xr:uid="{00000000-0005-0000-0000-0000080A0000}"/>
    <cellStyle name="_Приложение 02 русс на 16.04.2009 г. 1 сессия_Приложение 1-18 рус пост посл 20.10._Приложение рус_ноябрь РБ_Приложение_пост_рус_авг_приложения 2012 рус 2" xfId="4569" xr:uid="{00000000-0005-0000-0000-0000090A0000}"/>
    <cellStyle name="_Приложение 02 русс на 16.04.2009 г. 1 сессия_Приложение 1-18 рус пост посл 20.10._Приложение рус_ноябрь РБ_Приложение_реал_рус 2011-2013 Уточнение" xfId="1142" xr:uid="{00000000-0005-0000-0000-00000A0A0000}"/>
    <cellStyle name="_Приложение 02 русс на 16.04.2009 г. 1 сессия_Приложение 1-18 рус пост посл 20.10._Приложение рус_ноябрь РБ_Приложение_реал_рус 2011-2013 Уточнение 2" xfId="4570" xr:uid="{00000000-0005-0000-0000-00000B0A0000}"/>
    <cellStyle name="_Приложение 02 русс на 16.04.2009 г. 1 сессия_Приложение 1-18 рус пост посл 20.10._Приложение рус_ноябрь РБ_Приложение_реал_рус 2011-2013 Уточнение_Приложение_рус _2012-2014_29,30" xfId="1143" xr:uid="{00000000-0005-0000-0000-00000C0A0000}"/>
    <cellStyle name="_Приложение 02 русс на 16.04.2009 г. 1 сессия_Приложение 1-18 рус пост посл 20.10._Приложение рус_ноябрь РБ_Приложение_реал_рус 2011-2013 Уточнение_Приложение_рус _2012-2014_29,30 2" xfId="4571" xr:uid="{00000000-0005-0000-0000-00000D0A0000}"/>
    <cellStyle name="_Приложение 02 русс на 16.04.2009 г. 1 сессия_Приложение 1-18 рус пост посл 20.10._Приложение рус_ноябрь РБ_Приложение_рус _2012-2014_29,30" xfId="1144" xr:uid="{00000000-0005-0000-0000-00000E0A0000}"/>
    <cellStyle name="_Приложение 02 русс на 16.04.2009 г. 1 сессия_Приложение 1-18 рус пост посл 20.10._Приложение рус_ноябрь РБ_Приложение_рус _2012-2014_29,30 2" xfId="4572" xr:uid="{00000000-0005-0000-0000-00000F0A0000}"/>
    <cellStyle name="_Приложение 02 русс на 16.04.2009 г. 1 сессия_Приложение 1-18 рус пост посл 20.10._Приложение рус_ноябрь РБ_приложения 2012 рус" xfId="1145" xr:uid="{00000000-0005-0000-0000-0000100A0000}"/>
    <cellStyle name="_Приложение 02 русс на 16.04.2009 г. 1 сессия_Приложение 1-18 рус пост посл 20.10._Приложение рус_ноябрь РБ_приложения 2012 рус 2" xfId="4573" xr:uid="{00000000-0005-0000-0000-0000110A0000}"/>
    <cellStyle name="_Приложение 02 русс на 16.04.2009 г. 1 сессия_Приложение 1-18 рус пост посл 20.10._Приложение_2010-2012 каз 04.08.10_ДК-2020" xfId="1146" xr:uid="{00000000-0005-0000-0000-0000120A0000}"/>
    <cellStyle name="_Приложение 02 русс на 16.04.2009 г. 1 сессия_Приложение 1-18 рус пост посл 20.10._Приложение_2010-2012 каз 04.08.10_ДК-2020 2" xfId="4574" xr:uid="{00000000-0005-0000-0000-0000130A0000}"/>
    <cellStyle name="_Приложение 02 русс на 16.04.2009 г. 1 сессия_Приложение 1-18 рус пост посл 20.10._Приложение_2010-2012 каз 04.08.10_ДК-2020_Анализ" xfId="1147" xr:uid="{00000000-0005-0000-0000-0000140A0000}"/>
    <cellStyle name="_Приложение 02 русс на 16.04.2009 г. 1 сессия_Приложение 1-18 рус пост посл 20.10._Приложение_2010-2012 каз 04.08.10_ДК-2020_Анализ 2" xfId="4575" xr:uid="{00000000-0005-0000-0000-0000150A0000}"/>
    <cellStyle name="_Приложение 02 русс на 16.04.2009 г. 1 сессия_Приложение 1-18 рус пост посл 20.10._Приложение_2010-2012 каз 04.08.10_ДК-2020_Анализ 3.03.2011г." xfId="2975" xr:uid="{00000000-0005-0000-0000-0000160A0000}"/>
    <cellStyle name="_Приложение 02 русс на 16.04.2009 г. 1 сессия_Приложение 1-18 рус пост посл 20.10._Приложение_2010-2012 каз 04.08.10_ДК-2020_Анализ 6.03.2011г." xfId="2976" xr:uid="{00000000-0005-0000-0000-0000170A0000}"/>
    <cellStyle name="_Приложение 02 русс на 16.04.2009 г. 1 сессия_Приложение 1-18 рус пост посл 20.10._Приложение_2010-2012 каз 04.08.10_ДК-2020_Анализ 9.03.2011г." xfId="2977" xr:uid="{00000000-0005-0000-0000-0000180A0000}"/>
    <cellStyle name="_Приложение 02 русс на 16.04.2009 г. 1 сессия_Приложение 1-18 рус пост посл 20.10._Приложение_2010-2012 каз 04.08.10_ДК-2020_Анализ_Приложение_рус _2012-2014_29,30" xfId="1148" xr:uid="{00000000-0005-0000-0000-0000190A0000}"/>
    <cellStyle name="_Приложение 02 русс на 16.04.2009 г. 1 сессия_Приложение 1-18 рус пост посл 20.10._Приложение_2010-2012 каз 04.08.10_ДК-2020_Анализ_Приложение_рус _2012-2014_29,30 2" xfId="4576" xr:uid="{00000000-0005-0000-0000-00001A0A0000}"/>
    <cellStyle name="_Приложение 02 русс на 16.04.2009 г. 1 сессия_Приложение 1-18 рус пост посл 20.10._Приложение_2010-2012 каз 04.08.10_ДК-2020_Пр 4     11.05.11. ИКС" xfId="1149" xr:uid="{00000000-0005-0000-0000-00001B0A0000}"/>
    <cellStyle name="_Приложение 02 русс на 16.04.2009 г. 1 сессия_Приложение 1-18 рус пост посл 20.10._Приложение_2010-2012 каз 04.08.10_ДК-2020_Пр 4     11.05.11. ИКС 2" xfId="4577" xr:uid="{00000000-0005-0000-0000-00001C0A0000}"/>
    <cellStyle name="_Приложение 02 русс на 16.04.2009 г. 1 сессия_Приложение 1-18 рус пост посл 20.10._Приложение_2010-2012 каз 04.08.10_ДК-2020_Пр 4     11.05.11. ИКС_Приложение_рус _2012-2014_29,30" xfId="1150" xr:uid="{00000000-0005-0000-0000-00001D0A0000}"/>
    <cellStyle name="_Приложение 02 русс на 16.04.2009 г. 1 сессия_Приложение 1-18 рус пост посл 20.10._Приложение_2010-2012 каз 04.08.10_ДК-2020_Пр 4     11.05.11. ИКС_Приложение_рус _2012-2014_29,30 2" xfId="4578" xr:uid="{00000000-0005-0000-0000-00001E0A0000}"/>
    <cellStyle name="_Приложение 02 русс на 16.04.2009 г. 1 сессия_Приложение 1-18 рус пост посл 20.10._Приложение_2010-2012 каз 04.08.10_ДК-2020_Приложение 4 русс,каз 16.03.11. посл" xfId="1151" xr:uid="{00000000-0005-0000-0000-00001F0A0000}"/>
    <cellStyle name="_Приложение 02 русс на 16.04.2009 г. 1 сессия_Приложение 1-18 рус пост посл 20.10._Приложение_2010-2012 каз 04.08.10_ДК-2020_Приложение 4 русс,каз 16.03.11. посл 2" xfId="4579" xr:uid="{00000000-0005-0000-0000-0000200A0000}"/>
    <cellStyle name="_Приложение 02 русс на 16.04.2009 г. 1 сессия_Приложение 1-18 рус пост посл 20.10._Приложение_2010-2012 каз 04.08.10_ДК-2020_Приложение 4 русс,каз 16.03.11. посл_Приложение_рус _2012-2014_29,30" xfId="1152" xr:uid="{00000000-0005-0000-0000-0000210A0000}"/>
    <cellStyle name="_Приложение 02 русс на 16.04.2009 г. 1 сессия_Приложение 1-18 рус пост посл 20.10._Приложение_2010-2012 каз 04.08.10_ДК-2020_Приложение 4 русс,каз 16.03.11. посл_Приложение_рус _2012-2014_29,30 2" xfId="4580" xr:uid="{00000000-0005-0000-0000-0000220A0000}"/>
    <cellStyle name="_Приложение 02 русс на 16.04.2009 г. 1 сессия_Приложение 1-18 рус пост посл 20.10._Приложение_2010-2012 каз 04.08.10_ДК-2020_Приложение_реал_рус 2011-2013 Уточнение" xfId="1153" xr:uid="{00000000-0005-0000-0000-0000230A0000}"/>
    <cellStyle name="_Приложение 02 русс на 16.04.2009 г. 1 сессия_Приложение 1-18 рус пост посл 20.10._Приложение_2010-2012 каз 04.08.10_ДК-2020_Приложение_реал_рус 2011-2013 Уточнение 2" xfId="4581" xr:uid="{00000000-0005-0000-0000-0000240A0000}"/>
    <cellStyle name="_Приложение 02 русс на 16.04.2009 г. 1 сессия_Приложение 1-18 рус пост посл 20.10._Приложение_2010-2012 каз 04.08.10_ДК-2020_Приложение_реал_рус 2011-2013 Уточнение_Приложение_рус _2012-2014_29,30" xfId="1154" xr:uid="{00000000-0005-0000-0000-0000250A0000}"/>
    <cellStyle name="_Приложение 02 русс на 16.04.2009 г. 1 сессия_Приложение 1-18 рус пост посл 20.10._Приложение_2010-2012 каз 04.08.10_ДК-2020_Приложение_реал_рус 2011-2013 Уточнение_Приложение_рус _2012-2014_29,30 2" xfId="4582" xr:uid="{00000000-0005-0000-0000-0000260A0000}"/>
    <cellStyle name="_Приложение 02 русс на 16.04.2009 г. 1 сессия_Приложение 1-18 рус пост посл 20.10._Приложение_2010-2012 каз 04.08.10_ДК-2020_Приложение_рус _2012-2014_29,30" xfId="1155" xr:uid="{00000000-0005-0000-0000-0000270A0000}"/>
    <cellStyle name="_Приложение 02 русс на 16.04.2009 г. 1 сессия_Приложение 1-18 рус пост посл 20.10._Приложение_2010-2012 каз 04.08.10_ДК-2020_Приложение_рус _2012-2014_29,30 2" xfId="4583" xr:uid="{00000000-0005-0000-0000-0000280A0000}"/>
    <cellStyle name="_Приложение 02 русс на 16.04.2009 г. 1 сессия_Приложение 1-18 рус пост посл 20.10._Приложение_2010-2012 каз 04.08.10_ДК-2020_приложения 2012 рус" xfId="1156" xr:uid="{00000000-0005-0000-0000-0000290A0000}"/>
    <cellStyle name="_Приложение 02 русс на 16.04.2009 г. 1 сессия_Приложение 1-18 рус пост посл 20.10._Приложение_2010-2012 каз 04.08.10_ДК-2020_приложения 2012 рус 2" xfId="4584" xr:uid="{00000000-0005-0000-0000-00002A0A0000}"/>
    <cellStyle name="_Приложение 02 русс на 16.04.2009 г. 1 сессия_Приложение 1-18 рус пост посл 20.10._Приложение_2010-2012 каз_март" xfId="1157" xr:uid="{00000000-0005-0000-0000-00002B0A0000}"/>
    <cellStyle name="_Приложение 02 русс на 16.04.2009 г. 1 сессия_Приложение 1-18 рус пост посл 20.10._Приложение_2010-2012 каз_март 2" xfId="1158" xr:uid="{00000000-0005-0000-0000-00002C0A0000}"/>
    <cellStyle name="_Приложение 02 русс на 16.04.2009 г. 1 сессия_Приложение 1-18 рус пост посл 20.10._Приложение_2010-2012 каз_март 2 2" xfId="4586" xr:uid="{00000000-0005-0000-0000-00002D0A0000}"/>
    <cellStyle name="_Приложение 02 русс на 16.04.2009 г. 1 сессия_Приложение 1-18 рус пост посл 20.10._Приложение_2010-2012 каз_март 3" xfId="4585" xr:uid="{00000000-0005-0000-0000-00002E0A0000}"/>
    <cellStyle name="_Приложение 02 русс на 16.04.2009 г. 1 сессия_Приложение 1-18 рус пост посл 20.10._Приложение_2010-2012 каз_март_Анализ" xfId="1159" xr:uid="{00000000-0005-0000-0000-00002F0A0000}"/>
    <cellStyle name="_Приложение 02 русс на 16.04.2009 г. 1 сессия_Приложение 1-18 рус пост посл 20.10._Приложение_2010-2012 каз_март_Анализ 2" xfId="4587" xr:uid="{00000000-0005-0000-0000-0000300A0000}"/>
    <cellStyle name="_Приложение 02 русс на 16.04.2009 г. 1 сессия_Приложение 1-18 рус пост посл 20.10._Приложение_2010-2012 каз_март_Анализ 3.03.2011г." xfId="2978" xr:uid="{00000000-0005-0000-0000-0000310A0000}"/>
    <cellStyle name="_Приложение 02 русс на 16.04.2009 г. 1 сессия_Приложение 1-18 рус пост посл 20.10._Приложение_2010-2012 каз_март_Анализ 6.03.2011г." xfId="2979" xr:uid="{00000000-0005-0000-0000-0000320A0000}"/>
    <cellStyle name="_Приложение 02 русс на 16.04.2009 г. 1 сессия_Приложение 1-18 рус пост посл 20.10._Приложение_2010-2012 каз_март_Анализ 9.03.2011г." xfId="2980" xr:uid="{00000000-0005-0000-0000-0000330A0000}"/>
    <cellStyle name="_Приложение 02 русс на 16.04.2009 г. 1 сессия_Приложение 1-18 рус пост посл 20.10._Приложение_2010-2012 каз_март_Анализ_Приложение_рус _2012-2014_29,30" xfId="1160" xr:uid="{00000000-0005-0000-0000-0000340A0000}"/>
    <cellStyle name="_Приложение 02 русс на 16.04.2009 г. 1 сессия_Приложение 1-18 рус пост посл 20.10._Приложение_2010-2012 каз_март_Анализ_Приложение_рус _2012-2014_29,30 2" xfId="4588" xr:uid="{00000000-0005-0000-0000-0000350A0000}"/>
    <cellStyle name="_Приложение 02 русс на 16.04.2009 г. 1 сессия_Приложение 1-18 рус пост посл 20.10._Приложение_2010-2012 каз_март_Пр 4     11.05.11. ИКС" xfId="1161" xr:uid="{00000000-0005-0000-0000-0000360A0000}"/>
    <cellStyle name="_Приложение 02 русс на 16.04.2009 г. 1 сессия_Приложение 1-18 рус пост посл 20.10._Приложение_2010-2012 каз_март_Пр 4     11.05.11. ИКС 2" xfId="4589" xr:uid="{00000000-0005-0000-0000-0000370A0000}"/>
    <cellStyle name="_Приложение 02 русс на 16.04.2009 г. 1 сессия_Приложение 1-18 рус пост посл 20.10._Приложение_2010-2012 каз_март_Пр 4     11.05.11. ИКС_Приложение_рус _2012-2014_29,30" xfId="1162" xr:uid="{00000000-0005-0000-0000-0000380A0000}"/>
    <cellStyle name="_Приложение 02 русс на 16.04.2009 г. 1 сессия_Приложение 1-18 рус пост посл 20.10._Приложение_2010-2012 каз_март_Пр 4     11.05.11. ИКС_Приложение_рус _2012-2014_29,30 2" xfId="4590" xr:uid="{00000000-0005-0000-0000-0000390A0000}"/>
    <cellStyle name="_Приложение 02 русс на 16.04.2009 г. 1 сессия_Приложение 1-18 рус пост посл 20.10._Приложение_2010-2012 каз_март_Приложение 4 русс,каз 16.03.11. посл" xfId="1163" xr:uid="{00000000-0005-0000-0000-00003A0A0000}"/>
    <cellStyle name="_Приложение 02 русс на 16.04.2009 г. 1 сессия_Приложение 1-18 рус пост посл 20.10._Приложение_2010-2012 каз_март_Приложение 4 русс,каз 16.03.11. посл 2" xfId="4591" xr:uid="{00000000-0005-0000-0000-00003B0A0000}"/>
    <cellStyle name="_Приложение 02 русс на 16.04.2009 г. 1 сессия_Приложение 1-18 рус пост посл 20.10._Приложение_2010-2012 каз_март_Приложение 4 русс,каз 16.03.11. посл_Приложение_рус _2012-2014_29,30" xfId="1164" xr:uid="{00000000-0005-0000-0000-00003C0A0000}"/>
    <cellStyle name="_Приложение 02 русс на 16.04.2009 г. 1 сессия_Приложение 1-18 рус пост посл 20.10._Приложение_2010-2012 каз_март_Приложение 4 русс,каз 16.03.11. посл_Приложение_рус _2012-2014_29,30 2" xfId="4592" xr:uid="{00000000-0005-0000-0000-00003D0A0000}"/>
    <cellStyle name="_Приложение 02 русс на 16.04.2009 г. 1 сессия_Приложение 1-18 рус пост посл 20.10._Приложение_2010-2012 каз_март_Приложение_пост_каз_авг" xfId="1165" xr:uid="{00000000-0005-0000-0000-00003E0A0000}"/>
    <cellStyle name="_Приложение 02 русс на 16.04.2009 г. 1 сессия_Приложение 1-18 рус пост посл 20.10._Приложение_2010-2012 каз_март_Приложение_пост_каз_авг 2" xfId="4593" xr:uid="{00000000-0005-0000-0000-00003F0A0000}"/>
    <cellStyle name="_Приложение 02 русс на 16.04.2009 г. 1 сессия_Приложение 1-18 рус пост посл 20.10._Приложение_2010-2012 каз_март_Приложение_пост_каз_авг_Анализ" xfId="1166" xr:uid="{00000000-0005-0000-0000-0000400A0000}"/>
    <cellStyle name="_Приложение 02 русс на 16.04.2009 г. 1 сессия_Приложение 1-18 рус пост посл 20.10._Приложение_2010-2012 каз_март_Приложение_пост_каз_авг_Анализ 2" xfId="4594" xr:uid="{00000000-0005-0000-0000-0000410A0000}"/>
    <cellStyle name="_Приложение 02 русс на 16.04.2009 г. 1 сессия_Приложение 1-18 рус пост посл 20.10._Приложение_2010-2012 каз_март_Приложение_пост_каз_авг_Анализ 3.03.2011г." xfId="2981" xr:uid="{00000000-0005-0000-0000-0000420A0000}"/>
    <cellStyle name="_Приложение 02 русс на 16.04.2009 г. 1 сессия_Приложение 1-18 рус пост посл 20.10._Приложение_2010-2012 каз_март_Приложение_пост_каз_авг_Анализ 6.03.2011г." xfId="2982" xr:uid="{00000000-0005-0000-0000-0000430A0000}"/>
    <cellStyle name="_Приложение 02 русс на 16.04.2009 г. 1 сессия_Приложение 1-18 рус пост посл 20.10._Приложение_2010-2012 каз_март_Приложение_пост_каз_авг_Анализ 9.03.2011г." xfId="2983" xr:uid="{00000000-0005-0000-0000-0000440A0000}"/>
    <cellStyle name="_Приложение 02 русс на 16.04.2009 г. 1 сессия_Приложение 1-18 рус пост посл 20.10._Приложение_2010-2012 каз_март_Приложение_пост_каз_авг_Анализ_Приложение_рус _2012-2014_29,30" xfId="1167" xr:uid="{00000000-0005-0000-0000-0000450A0000}"/>
    <cellStyle name="_Приложение 02 русс на 16.04.2009 г. 1 сессия_Приложение 1-18 рус пост посл 20.10._Приложение_2010-2012 каз_март_Приложение_пост_каз_авг_Анализ_Приложение_рус _2012-2014_29,30 2" xfId="4595" xr:uid="{00000000-0005-0000-0000-0000460A0000}"/>
    <cellStyle name="_Приложение 02 русс на 16.04.2009 г. 1 сессия_Приложение 1-18 рус пост посл 20.10._Приложение_2010-2012 каз_март_Приложение_пост_каз_авг_Пр 4     11.05.11. ИКС" xfId="1168" xr:uid="{00000000-0005-0000-0000-0000470A0000}"/>
    <cellStyle name="_Приложение 02 русс на 16.04.2009 г. 1 сессия_Приложение 1-18 рус пост посл 20.10._Приложение_2010-2012 каз_март_Приложение_пост_каз_авг_Пр 4     11.05.11. ИКС 2" xfId="4596" xr:uid="{00000000-0005-0000-0000-0000480A0000}"/>
    <cellStyle name="_Приложение 02 русс на 16.04.2009 г. 1 сессия_Приложение 1-18 рус пост посл 20.10._Приложение_2010-2012 каз_март_Приложение_пост_каз_авг_Пр 4     11.05.11. ИКС_Приложение_рус _2012-2014_29,30" xfId="1169" xr:uid="{00000000-0005-0000-0000-0000490A0000}"/>
    <cellStyle name="_Приложение 02 русс на 16.04.2009 г. 1 сессия_Приложение 1-18 рус пост посл 20.10._Приложение_2010-2012 каз_март_Приложение_пост_каз_авг_Пр 4     11.05.11. ИКС_Приложение_рус _2012-2014_29,30 2" xfId="4597" xr:uid="{00000000-0005-0000-0000-00004A0A0000}"/>
    <cellStyle name="_Приложение 02 русс на 16.04.2009 г. 1 сессия_Приложение 1-18 рус пост посл 20.10._Приложение_2010-2012 каз_март_Приложение_пост_каз_авг_Приложение 4 русс,каз 16.03.11. посл" xfId="1170" xr:uid="{00000000-0005-0000-0000-00004B0A0000}"/>
    <cellStyle name="_Приложение 02 русс на 16.04.2009 г. 1 сессия_Приложение 1-18 рус пост посл 20.10._Приложение_2010-2012 каз_март_Приложение_пост_каз_авг_Приложение 4 русс,каз 16.03.11. посл 2" xfId="4598" xr:uid="{00000000-0005-0000-0000-00004C0A0000}"/>
    <cellStyle name="_Приложение 02 русс на 16.04.2009 г. 1 сессия_Приложение 1-18 рус пост посл 20.10._Приложение_2010-2012 каз_март_Приложение_пост_каз_авг_Приложение 4 русс,каз 16.03.11. посл_Приложение_рус _2012-2014_29,30" xfId="1171" xr:uid="{00000000-0005-0000-0000-00004D0A0000}"/>
    <cellStyle name="_Приложение 02 русс на 16.04.2009 г. 1 сессия_Приложение 1-18 рус пост посл 20.10._Приложение_2010-2012 каз_март_Приложение_пост_каз_авг_Приложение 4 русс,каз 16.03.11. посл_Приложение_рус _2012-2014_29,30 2" xfId="4599" xr:uid="{00000000-0005-0000-0000-00004E0A0000}"/>
    <cellStyle name="_Приложение 02 русс на 16.04.2009 г. 1 сессия_Приложение 1-18 рус пост посл 20.10._Приложение_2010-2012 каз_март_Приложение_пост_каз_авг_Приложение_реал_рус 2011-2013 Уточнение" xfId="1172" xr:uid="{00000000-0005-0000-0000-00004F0A0000}"/>
    <cellStyle name="_Приложение 02 русс на 16.04.2009 г. 1 сессия_Приложение 1-18 рус пост посл 20.10._Приложение_2010-2012 каз_март_Приложение_пост_каз_авг_Приложение_реал_рус 2011-2013 Уточнение 2" xfId="4600" xr:uid="{00000000-0005-0000-0000-0000500A0000}"/>
    <cellStyle name="_Приложение 02 русс на 16.04.2009 г. 1 сессия_Приложение 1-18 рус пост посл 20.10._Приложение_2010-2012 каз_март_Приложение_пост_каз_авг_Приложение_реал_рус 2011-2013 Уточнение_Приложение_рус _2012-2014_29,30" xfId="1173" xr:uid="{00000000-0005-0000-0000-0000510A0000}"/>
    <cellStyle name="_Приложение 02 русс на 16.04.2009 г. 1 сессия_Приложение 1-18 рус пост посл 20.10._Приложение_2010-2012 каз_март_Приложение_пост_каз_авг_Приложение_реал_рус 2011-2013 Уточнение_Приложение_рус _2012-2014_29,30 2" xfId="4601" xr:uid="{00000000-0005-0000-0000-0000520A0000}"/>
    <cellStyle name="_Приложение 02 русс на 16.04.2009 г. 1 сессия_Приложение 1-18 рус пост посл 20.10._Приложение_2010-2012 каз_март_Приложение_пост_каз_авг_Приложение_рус _2012-2014_29,30" xfId="1174" xr:uid="{00000000-0005-0000-0000-0000530A0000}"/>
    <cellStyle name="_Приложение 02 русс на 16.04.2009 г. 1 сессия_Приложение 1-18 рус пост посл 20.10._Приложение_2010-2012 каз_март_Приложение_пост_каз_авг_Приложение_рус _2012-2014_29,30 2" xfId="4602" xr:uid="{00000000-0005-0000-0000-0000540A0000}"/>
    <cellStyle name="_Приложение 02 русс на 16.04.2009 г. 1 сессия_Приложение 1-18 рус пост посл 20.10._Приложение_2010-2012 каз_март_Приложение_пост_каз_авг_приложения 2012 рус" xfId="1175" xr:uid="{00000000-0005-0000-0000-0000550A0000}"/>
    <cellStyle name="_Приложение 02 русс на 16.04.2009 г. 1 сессия_Приложение 1-18 рус пост посл 20.10._Приложение_2010-2012 каз_март_Приложение_пост_каз_авг_приложения 2012 рус 2" xfId="4603" xr:uid="{00000000-0005-0000-0000-0000560A0000}"/>
    <cellStyle name="_Приложение 02 русс на 16.04.2009 г. 1 сессия_Приложение 1-18 рус пост посл 20.10._Приложение_2010-2012 каз_март_Приложение_пост_рус_авг" xfId="1176" xr:uid="{00000000-0005-0000-0000-0000570A0000}"/>
    <cellStyle name="_Приложение 02 русс на 16.04.2009 г. 1 сессия_Приложение 1-18 рус пост посл 20.10._Приложение_2010-2012 каз_март_Приложение_пост_рус_авг 2" xfId="4604" xr:uid="{00000000-0005-0000-0000-0000580A0000}"/>
    <cellStyle name="_Приложение 02 русс на 16.04.2009 г. 1 сессия_Приложение 1-18 рус пост посл 20.10._Приложение_2010-2012 каз_март_Приложение_пост_рус_авг_Анализ" xfId="1177" xr:uid="{00000000-0005-0000-0000-0000590A0000}"/>
    <cellStyle name="_Приложение 02 русс на 16.04.2009 г. 1 сессия_Приложение 1-18 рус пост посл 20.10._Приложение_2010-2012 каз_март_Приложение_пост_рус_авг_Анализ 2" xfId="4605" xr:uid="{00000000-0005-0000-0000-00005A0A0000}"/>
    <cellStyle name="_Приложение 02 русс на 16.04.2009 г. 1 сессия_Приложение 1-18 рус пост посл 20.10._Приложение_2010-2012 каз_март_Приложение_пост_рус_авг_Анализ 3.03.2011г." xfId="2984" xr:uid="{00000000-0005-0000-0000-00005B0A0000}"/>
    <cellStyle name="_Приложение 02 русс на 16.04.2009 г. 1 сессия_Приложение 1-18 рус пост посл 20.10._Приложение_2010-2012 каз_март_Приложение_пост_рус_авг_Анализ 6.03.2011г." xfId="2985" xr:uid="{00000000-0005-0000-0000-00005C0A0000}"/>
    <cellStyle name="_Приложение 02 русс на 16.04.2009 г. 1 сессия_Приложение 1-18 рус пост посл 20.10._Приложение_2010-2012 каз_март_Приложение_пост_рус_авг_Анализ 9.03.2011г." xfId="2986" xr:uid="{00000000-0005-0000-0000-00005D0A0000}"/>
    <cellStyle name="_Приложение 02 русс на 16.04.2009 г. 1 сессия_Приложение 1-18 рус пост посл 20.10._Приложение_2010-2012 каз_март_Приложение_пост_рус_авг_Анализ_Приложение_рус _2012-2014_29,30" xfId="1178" xr:uid="{00000000-0005-0000-0000-00005E0A0000}"/>
    <cellStyle name="_Приложение 02 русс на 16.04.2009 г. 1 сессия_Приложение 1-18 рус пост посл 20.10._Приложение_2010-2012 каз_март_Приложение_пост_рус_авг_Анализ_Приложение_рус _2012-2014_29,30 2" xfId="4606" xr:uid="{00000000-0005-0000-0000-00005F0A0000}"/>
    <cellStyle name="_Приложение 02 русс на 16.04.2009 г. 1 сессия_Приложение 1-18 рус пост посл 20.10._Приложение_2010-2012 каз_март_Приложение_пост_рус_авг_Пр 4     11.05.11. ИКС" xfId="1179" xr:uid="{00000000-0005-0000-0000-0000600A0000}"/>
    <cellStyle name="_Приложение 02 русс на 16.04.2009 г. 1 сессия_Приложение 1-18 рус пост посл 20.10._Приложение_2010-2012 каз_март_Приложение_пост_рус_авг_Пр 4     11.05.11. ИКС 2" xfId="4607" xr:uid="{00000000-0005-0000-0000-0000610A0000}"/>
    <cellStyle name="_Приложение 02 русс на 16.04.2009 г. 1 сессия_Приложение 1-18 рус пост посл 20.10._Приложение_2010-2012 каз_март_Приложение_пост_рус_авг_Пр 4     11.05.11. ИКС_Приложение_рус _2012-2014_29,30" xfId="1180" xr:uid="{00000000-0005-0000-0000-0000620A0000}"/>
    <cellStyle name="_Приложение 02 русс на 16.04.2009 г. 1 сессия_Приложение 1-18 рус пост посл 20.10._Приложение_2010-2012 каз_март_Приложение_пост_рус_авг_Пр 4     11.05.11. ИКС_Приложение_рус _2012-2014_29,30 2" xfId="4608" xr:uid="{00000000-0005-0000-0000-0000630A0000}"/>
    <cellStyle name="_Приложение 02 русс на 16.04.2009 г. 1 сессия_Приложение 1-18 рус пост посл 20.10._Приложение_2010-2012 каз_март_Приложение_пост_рус_авг_Приложение 4 русс,каз 16.03.11. посл" xfId="1181" xr:uid="{00000000-0005-0000-0000-0000640A0000}"/>
    <cellStyle name="_Приложение 02 русс на 16.04.2009 г. 1 сессия_Приложение 1-18 рус пост посл 20.10._Приложение_2010-2012 каз_март_Приложение_пост_рус_авг_Приложение 4 русс,каз 16.03.11. посл 2" xfId="4609" xr:uid="{00000000-0005-0000-0000-0000650A0000}"/>
    <cellStyle name="_Приложение 02 русс на 16.04.2009 г. 1 сессия_Приложение 1-18 рус пост посл 20.10._Приложение_2010-2012 каз_март_Приложение_пост_рус_авг_Приложение 4 русс,каз 16.03.11. посл_Приложение_рус _2012-2014_29,30" xfId="1182" xr:uid="{00000000-0005-0000-0000-0000660A0000}"/>
    <cellStyle name="_Приложение 02 русс на 16.04.2009 г. 1 сессия_Приложение 1-18 рус пост посл 20.10._Приложение_2010-2012 каз_март_Приложение_пост_рус_авг_Приложение 4 русс,каз 16.03.11. посл_Приложение_рус _2012-2014_29,30 2" xfId="4610" xr:uid="{00000000-0005-0000-0000-0000670A0000}"/>
    <cellStyle name="_Приложение 02 русс на 16.04.2009 г. 1 сессия_Приложение 1-18 рус пост посл 20.10._Приложение_2010-2012 каз_март_Приложение_пост_рус_авг_Приложение_реал_рус 2011-2013 Уточнение" xfId="1183" xr:uid="{00000000-0005-0000-0000-0000680A0000}"/>
    <cellStyle name="_Приложение 02 русс на 16.04.2009 г. 1 сессия_Приложение 1-18 рус пост посл 20.10._Приложение_2010-2012 каз_март_Приложение_пост_рус_авг_Приложение_реал_рус 2011-2013 Уточнение 2" xfId="4611" xr:uid="{00000000-0005-0000-0000-0000690A0000}"/>
    <cellStyle name="_Приложение 02 русс на 16.04.2009 г. 1 сессия_Приложение 1-18 рус пост посл 20.10._Приложение_2010-2012 каз_март_Приложение_пост_рус_авг_Приложение_реал_рус 2011-2013 Уточнение_Приложение_рус _2012-2014_29,30" xfId="1184" xr:uid="{00000000-0005-0000-0000-00006A0A0000}"/>
    <cellStyle name="_Приложение 02 русс на 16.04.2009 г. 1 сессия_Приложение 1-18 рус пост посл 20.10._Приложение_2010-2012 каз_март_Приложение_пост_рус_авг_Приложение_реал_рус 2011-2013 Уточнение_Приложение_рус _2012-2014_29,30 2" xfId="4612" xr:uid="{00000000-0005-0000-0000-00006B0A0000}"/>
    <cellStyle name="_Приложение 02 русс на 16.04.2009 г. 1 сессия_Приложение 1-18 рус пост посл 20.10._Приложение_2010-2012 каз_март_Приложение_пост_рус_авг_Приложение_рус _2012-2014_29,30" xfId="1185" xr:uid="{00000000-0005-0000-0000-00006C0A0000}"/>
    <cellStyle name="_Приложение 02 русс на 16.04.2009 г. 1 сессия_Приложение 1-18 рус пост посл 20.10._Приложение_2010-2012 каз_март_Приложение_пост_рус_авг_Приложение_рус _2012-2014_29,30 2" xfId="4613" xr:uid="{00000000-0005-0000-0000-00006D0A0000}"/>
    <cellStyle name="_Приложение 02 русс на 16.04.2009 г. 1 сессия_Приложение 1-18 рус пост посл 20.10._Приложение_2010-2012 каз_март_Приложение_пост_рус_авг_приложения 2012 рус" xfId="1186" xr:uid="{00000000-0005-0000-0000-00006E0A0000}"/>
    <cellStyle name="_Приложение 02 русс на 16.04.2009 г. 1 сессия_Приложение 1-18 рус пост посл 20.10._Приложение_2010-2012 каз_март_Приложение_пост_рус_авг_приложения 2012 рус 2" xfId="4614" xr:uid="{00000000-0005-0000-0000-00006F0A0000}"/>
    <cellStyle name="_Приложение 02 русс на 16.04.2009 г. 1 сессия_Приложение 1-18 рус пост посл 20.10._Приложение_2010-2012 каз_март_Приложение_реал_рус 2011-2013 Уточнение" xfId="1187" xr:uid="{00000000-0005-0000-0000-0000700A0000}"/>
    <cellStyle name="_Приложение 02 русс на 16.04.2009 г. 1 сессия_Приложение 1-18 рус пост посл 20.10._Приложение_2010-2012 каз_март_Приложение_реал_рус 2011-2013 Уточнение 2" xfId="4615" xr:uid="{00000000-0005-0000-0000-0000710A0000}"/>
    <cellStyle name="_Приложение 02 русс на 16.04.2009 г. 1 сессия_Приложение 1-18 рус пост посл 20.10._Приложение_2010-2012 каз_март_Приложение_реал_рус 2011-2013 Уточнение_Приложение_рус _2012-2014_29,30" xfId="1188" xr:uid="{00000000-0005-0000-0000-0000720A0000}"/>
    <cellStyle name="_Приложение 02 русс на 16.04.2009 г. 1 сессия_Приложение 1-18 рус пост посл 20.10._Приложение_2010-2012 каз_март_Приложение_реал_рус 2011-2013 Уточнение_Приложение_рус _2012-2014_29,30 2" xfId="4616" xr:uid="{00000000-0005-0000-0000-0000730A0000}"/>
    <cellStyle name="_Приложение 02 русс на 16.04.2009 г. 1 сессия_Приложение 1-18 рус пост посл 20.10._Приложение_2010-2012 каз_март_Приложение_рус _2012-2014_29,30" xfId="1189" xr:uid="{00000000-0005-0000-0000-0000740A0000}"/>
    <cellStyle name="_Приложение 02 русс на 16.04.2009 г. 1 сессия_Приложение 1-18 рус пост посл 20.10._Приложение_2010-2012 каз_март_Приложение_рус _2012-2014_29,30 2" xfId="4617" xr:uid="{00000000-0005-0000-0000-0000750A0000}"/>
    <cellStyle name="_Приложение 02 русс на 16.04.2009 г. 1 сессия_Приложение 1-18 рус пост посл 20.10._Приложение_2010-2012 каз_март_приложения 2012 рус" xfId="1190" xr:uid="{00000000-0005-0000-0000-0000760A0000}"/>
    <cellStyle name="_Приложение 02 русс на 16.04.2009 г. 1 сессия_Приложение 1-18 рус пост посл 20.10._Приложение_2010-2012 каз_март_приложения 2012 рус 2" xfId="4618" xr:uid="{00000000-0005-0000-0000-0000770A0000}"/>
    <cellStyle name="_Приложение 02 русс на 16.04.2009 г. 1 сессия_Приложение 1-18 рус пост посл 20.10._Приложение_2010-2012 рус  КОРРЕКТИРОВКА" xfId="1191" xr:uid="{00000000-0005-0000-0000-0000780A0000}"/>
    <cellStyle name="_Приложение 02 русс на 16.04.2009 г. 1 сессия_Приложение 1-18 рус пост посл 20.10._Приложение_2010-2012 рус  КОРРЕКТИРОВКА 2" xfId="4619" xr:uid="{00000000-0005-0000-0000-0000790A0000}"/>
    <cellStyle name="_Приложение 02 русс на 16.04.2009 г. 1 сессия_Приложение 1-18 рус пост посл 20.10._Приложение_2010-2012 рус  КОРРЕКТИРОВКА_Анализ" xfId="1192" xr:uid="{00000000-0005-0000-0000-00007A0A0000}"/>
    <cellStyle name="_Приложение 02 русс на 16.04.2009 г. 1 сессия_Приложение 1-18 рус пост посл 20.10._Приложение_2010-2012 рус  КОРРЕКТИРОВКА_Анализ 2" xfId="4620" xr:uid="{00000000-0005-0000-0000-00007B0A0000}"/>
    <cellStyle name="_Приложение 02 русс на 16.04.2009 г. 1 сессия_Приложение 1-18 рус пост посл 20.10._Приложение_2010-2012 рус  КОРРЕКТИРОВКА_Анализ 3.03.2011г." xfId="2987" xr:uid="{00000000-0005-0000-0000-00007C0A0000}"/>
    <cellStyle name="_Приложение 02 русс на 16.04.2009 г. 1 сессия_Приложение 1-18 рус пост посл 20.10._Приложение_2010-2012 рус  КОРРЕКТИРОВКА_Анализ 6.03.2011г." xfId="2988" xr:uid="{00000000-0005-0000-0000-00007D0A0000}"/>
    <cellStyle name="_Приложение 02 русс на 16.04.2009 г. 1 сессия_Приложение 1-18 рус пост посл 20.10._Приложение_2010-2012 рус  КОРРЕКТИРОВКА_Анализ 9.03.2011г." xfId="2989" xr:uid="{00000000-0005-0000-0000-00007E0A0000}"/>
    <cellStyle name="_Приложение 02 русс на 16.04.2009 г. 1 сессия_Приложение 1-18 рус пост посл 20.10._Приложение_2010-2012 рус  КОРРЕКТИРОВКА_Анализ_Приложение_рус _2012-2014_29,30" xfId="1193" xr:uid="{00000000-0005-0000-0000-00007F0A0000}"/>
    <cellStyle name="_Приложение 02 русс на 16.04.2009 г. 1 сессия_Приложение 1-18 рус пост посл 20.10._Приложение_2010-2012 рус  КОРРЕКТИРОВКА_Анализ_Приложение_рус _2012-2014_29,30 2" xfId="4621" xr:uid="{00000000-0005-0000-0000-0000800A0000}"/>
    <cellStyle name="_Приложение 02 русс на 16.04.2009 г. 1 сессия_Приложение 1-18 рус пост посл 20.10._Приложение_2010-2012 рус  КОРРЕКТИРОВКА_Пр 4     11.05.11. ИКС" xfId="1194" xr:uid="{00000000-0005-0000-0000-0000810A0000}"/>
    <cellStyle name="_Приложение 02 русс на 16.04.2009 г. 1 сессия_Приложение 1-18 рус пост посл 20.10._Приложение_2010-2012 рус  КОРРЕКТИРОВКА_Пр 4     11.05.11. ИКС 2" xfId="4622" xr:uid="{00000000-0005-0000-0000-0000820A0000}"/>
    <cellStyle name="_Приложение 02 русс на 16.04.2009 г. 1 сессия_Приложение 1-18 рус пост посл 20.10._Приложение_2010-2012 рус  КОРРЕКТИРОВКА_Пр 4     11.05.11. ИКС_Приложение_рус _2012-2014_29,30" xfId="1195" xr:uid="{00000000-0005-0000-0000-0000830A0000}"/>
    <cellStyle name="_Приложение 02 русс на 16.04.2009 г. 1 сессия_Приложение 1-18 рус пост посл 20.10._Приложение_2010-2012 рус  КОРРЕКТИРОВКА_Пр 4     11.05.11. ИКС_Приложение_рус _2012-2014_29,30 2" xfId="4623" xr:uid="{00000000-0005-0000-0000-0000840A0000}"/>
    <cellStyle name="_Приложение 02 русс на 16.04.2009 г. 1 сессия_Приложение 1-18 рус пост посл 20.10._Приложение_2010-2012 рус  КОРРЕКТИРОВКА_Приложение 4 русс,каз 16.03.11. посл" xfId="1196" xr:uid="{00000000-0005-0000-0000-0000850A0000}"/>
    <cellStyle name="_Приложение 02 русс на 16.04.2009 г. 1 сессия_Приложение 1-18 рус пост посл 20.10._Приложение_2010-2012 рус  КОРРЕКТИРОВКА_Приложение 4 русс,каз 16.03.11. посл 2" xfId="4624" xr:uid="{00000000-0005-0000-0000-0000860A0000}"/>
    <cellStyle name="_Приложение 02 русс на 16.04.2009 г. 1 сессия_Приложение 1-18 рус пост посл 20.10._Приложение_2010-2012 рус  КОРРЕКТИРОВКА_Приложение 4 русс,каз 16.03.11. посл_Приложение_рус _2012-2014_29,30" xfId="1197" xr:uid="{00000000-0005-0000-0000-0000870A0000}"/>
    <cellStyle name="_Приложение 02 русс на 16.04.2009 г. 1 сессия_Приложение 1-18 рус пост посл 20.10._Приложение_2010-2012 рус  КОРРЕКТИРОВКА_Приложение 4 русс,каз 16.03.11. посл_Приложение_рус _2012-2014_29,30 2" xfId="4625" xr:uid="{00000000-0005-0000-0000-0000880A0000}"/>
    <cellStyle name="_Приложение 02 русс на 16.04.2009 г. 1 сессия_Приложение 1-18 рус пост посл 20.10._Приложение_2010-2012 рус  КОРРЕКТИРОВКА_Приложение_2010-2012 рус 04.08.10" xfId="1198" xr:uid="{00000000-0005-0000-0000-0000890A0000}"/>
    <cellStyle name="_Приложение 02 русс на 16.04.2009 г. 1 сессия_Приложение 1-18 рус пост посл 20.10._Приложение_2010-2012 рус  КОРРЕКТИРОВКА_Приложение_2010-2012 рус 04.08.10 2" xfId="4626" xr:uid="{00000000-0005-0000-0000-00008A0A0000}"/>
    <cellStyle name="_Приложение 02 русс на 16.04.2009 г. 1 сессия_Приложение 1-18 рус пост посл 20.10._Приложение_2010-2012 рус  КОРРЕКТИРОВКА_Приложение_2010-2012 рус 04.08.10_Анализ" xfId="1199" xr:uid="{00000000-0005-0000-0000-00008B0A0000}"/>
    <cellStyle name="_Приложение 02 русс на 16.04.2009 г. 1 сессия_Приложение 1-18 рус пост посл 20.10._Приложение_2010-2012 рус  КОРРЕКТИРОВКА_Приложение_2010-2012 рус 04.08.10_Анализ 2" xfId="4627" xr:uid="{00000000-0005-0000-0000-00008C0A0000}"/>
    <cellStyle name="_Приложение 02 русс на 16.04.2009 г. 1 сессия_Приложение 1-18 рус пост посл 20.10._Приложение_2010-2012 рус  КОРРЕКТИРОВКА_Приложение_2010-2012 рус 04.08.10_Анализ 3.03.2011г." xfId="2990" xr:uid="{00000000-0005-0000-0000-00008D0A0000}"/>
    <cellStyle name="_Приложение 02 русс на 16.04.2009 г. 1 сессия_Приложение 1-18 рус пост посл 20.10._Приложение_2010-2012 рус  КОРРЕКТИРОВКА_Приложение_2010-2012 рус 04.08.10_Анализ 6.03.2011г." xfId="2991" xr:uid="{00000000-0005-0000-0000-00008E0A0000}"/>
    <cellStyle name="_Приложение 02 русс на 16.04.2009 г. 1 сессия_Приложение 1-18 рус пост посл 20.10._Приложение_2010-2012 рус  КОРРЕКТИРОВКА_Приложение_2010-2012 рус 04.08.10_Анализ 9.03.2011г." xfId="2992" xr:uid="{00000000-0005-0000-0000-00008F0A0000}"/>
    <cellStyle name="_Приложение 02 русс на 16.04.2009 г. 1 сессия_Приложение 1-18 рус пост посл 20.10._Приложение_2010-2012 рус  КОРРЕКТИРОВКА_Приложение_2010-2012 рус 04.08.10_Анализ_Приложение_рус _2012-2014_29,30" xfId="1200" xr:uid="{00000000-0005-0000-0000-0000900A0000}"/>
    <cellStyle name="_Приложение 02 русс на 16.04.2009 г. 1 сессия_Приложение 1-18 рус пост посл 20.10._Приложение_2010-2012 рус  КОРРЕКТИРОВКА_Приложение_2010-2012 рус 04.08.10_Анализ_Приложение_рус _2012-2014_29,30 2" xfId="4628" xr:uid="{00000000-0005-0000-0000-0000910A0000}"/>
    <cellStyle name="_Приложение 02 русс на 16.04.2009 г. 1 сессия_Приложение 1-18 рус пост посл 20.10._Приложение_2010-2012 рус  КОРРЕКТИРОВКА_Приложение_2010-2012 рус 04.08.10_Пр 4     11.05.11. ИКС" xfId="1201" xr:uid="{00000000-0005-0000-0000-0000920A0000}"/>
    <cellStyle name="_Приложение 02 русс на 16.04.2009 г. 1 сессия_Приложение 1-18 рус пост посл 20.10._Приложение_2010-2012 рус  КОРРЕКТИРОВКА_Приложение_2010-2012 рус 04.08.10_Пр 4     11.05.11. ИКС 2" xfId="4629" xr:uid="{00000000-0005-0000-0000-0000930A0000}"/>
    <cellStyle name="_Приложение 02 русс на 16.04.2009 г. 1 сессия_Приложение 1-18 рус пост посл 20.10._Приложение_2010-2012 рус  КОРРЕКТИРОВКА_Приложение_2010-2012 рус 04.08.10_Пр 4     11.05.11. ИКС_Приложение_рус _2012-2014_29,30" xfId="1202" xr:uid="{00000000-0005-0000-0000-0000940A0000}"/>
    <cellStyle name="_Приложение 02 русс на 16.04.2009 г. 1 сессия_Приложение 1-18 рус пост посл 20.10._Приложение_2010-2012 рус  КОРРЕКТИРОВКА_Приложение_2010-2012 рус 04.08.10_Пр 4     11.05.11. ИКС_Приложение_рус _2012-2014_29,30 2" xfId="4630" xr:uid="{00000000-0005-0000-0000-000095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 4 русс,каз 16.03.11. посл" xfId="1203" xr:uid="{00000000-0005-0000-0000-000096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 4 русс,каз 16.03.11. посл 2" xfId="4631" xr:uid="{00000000-0005-0000-0000-000097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 4 русс,каз 16.03.11. посл_Приложение_рус _2012-2014_29,30" xfId="1204" xr:uid="{00000000-0005-0000-0000-000098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 4 русс,каз 16.03.11. посл_Приложение_рус _2012-2014_29,30 2" xfId="4632" xr:uid="{00000000-0005-0000-0000-000099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еал_рус 2011-2013 Уточнение" xfId="1205" xr:uid="{00000000-0005-0000-0000-00009A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еал_рус 2011-2013 Уточнение 2" xfId="4633" xr:uid="{00000000-0005-0000-0000-00009B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еал_рус 2011-2013 Уточнение_Приложение_рус _2012-2014_29,30" xfId="1206" xr:uid="{00000000-0005-0000-0000-00009C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еал_рус 2011-2013 Уточнение_Приложение_рус _2012-2014_29,30 2" xfId="4634" xr:uid="{00000000-0005-0000-0000-00009D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ус _2012-2014_29,30" xfId="1207" xr:uid="{00000000-0005-0000-0000-00009E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ус _2012-2014_29,30 2" xfId="4635" xr:uid="{00000000-0005-0000-0000-00009F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я 2012 рус" xfId="1208" xr:uid="{00000000-0005-0000-0000-0000A00A0000}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я 2012 рус 2" xfId="4636" xr:uid="{00000000-0005-0000-0000-0000A10A0000}"/>
    <cellStyle name="_Приложение 02 русс на 16.04.2009 г. 1 сессия_Приложение 1-18 рус пост посл 20.10._Приложение_2010-2012 рус  КОРРЕКТИРОВКА_Приложение_пост_рус_авг" xfId="1209" xr:uid="{00000000-0005-0000-0000-0000A20A0000}"/>
    <cellStyle name="_Приложение 02 русс на 16.04.2009 г. 1 сессия_Приложение 1-18 рус пост посл 20.10._Приложение_2010-2012 рус  КОРРЕКТИРОВКА_Приложение_пост_рус_авг 2" xfId="4637" xr:uid="{00000000-0005-0000-0000-0000A30A0000}"/>
    <cellStyle name="_Приложение 02 русс на 16.04.2009 г. 1 сессия_Приложение 1-18 рус пост посл 20.10._Приложение_2010-2012 рус  КОРРЕКТИРОВКА_Приложение_пост_рус_авг_Анализ" xfId="1210" xr:uid="{00000000-0005-0000-0000-0000A40A0000}"/>
    <cellStyle name="_Приложение 02 русс на 16.04.2009 г. 1 сессия_Приложение 1-18 рус пост посл 20.10._Приложение_2010-2012 рус  КОРРЕКТИРОВКА_Приложение_пост_рус_авг_Анализ 2" xfId="4638" xr:uid="{00000000-0005-0000-0000-0000A50A0000}"/>
    <cellStyle name="_Приложение 02 русс на 16.04.2009 г. 1 сессия_Приложение 1-18 рус пост посл 20.10._Приложение_2010-2012 рус  КОРРЕКТИРОВКА_Приложение_пост_рус_авг_Анализ 3.03.2011г." xfId="2993" xr:uid="{00000000-0005-0000-0000-0000A60A0000}"/>
    <cellStyle name="_Приложение 02 русс на 16.04.2009 г. 1 сессия_Приложение 1-18 рус пост посл 20.10._Приложение_2010-2012 рус  КОРРЕКТИРОВКА_Приложение_пост_рус_авг_Анализ 6.03.2011г." xfId="2994" xr:uid="{00000000-0005-0000-0000-0000A70A0000}"/>
    <cellStyle name="_Приложение 02 русс на 16.04.2009 г. 1 сессия_Приложение 1-18 рус пост посл 20.10._Приложение_2010-2012 рус  КОРРЕКТИРОВКА_Приложение_пост_рус_авг_Анализ 9.03.2011г." xfId="2995" xr:uid="{00000000-0005-0000-0000-0000A80A0000}"/>
    <cellStyle name="_Приложение 02 русс на 16.04.2009 г. 1 сессия_Приложение 1-18 рус пост посл 20.10._Приложение_2010-2012 рус  КОРРЕКТИРОВКА_Приложение_пост_рус_авг_Анализ_Приложение_рус _2012-2014_29,30" xfId="1211" xr:uid="{00000000-0005-0000-0000-0000A90A0000}"/>
    <cellStyle name="_Приложение 02 русс на 16.04.2009 г. 1 сессия_Приложение 1-18 рус пост посл 20.10._Приложение_2010-2012 рус  КОРРЕКТИРОВКА_Приложение_пост_рус_авг_Анализ_Приложение_рус _2012-2014_29,30 2" xfId="4639" xr:uid="{00000000-0005-0000-0000-0000AA0A0000}"/>
    <cellStyle name="_Приложение 02 русс на 16.04.2009 г. 1 сессия_Приложение 1-18 рус пост посл 20.10._Приложение_2010-2012 рус  КОРРЕКТИРОВКА_Приложение_пост_рус_авг_Пр 4     11.05.11. ИКС" xfId="1212" xr:uid="{00000000-0005-0000-0000-0000AB0A0000}"/>
    <cellStyle name="_Приложение 02 русс на 16.04.2009 г. 1 сессия_Приложение 1-18 рус пост посл 20.10._Приложение_2010-2012 рус  КОРРЕКТИРОВКА_Приложение_пост_рус_авг_Пр 4     11.05.11. ИКС 2" xfId="4640" xr:uid="{00000000-0005-0000-0000-0000AC0A0000}"/>
    <cellStyle name="_Приложение 02 русс на 16.04.2009 г. 1 сессия_Приложение 1-18 рус пост посл 20.10._Приложение_2010-2012 рус  КОРРЕКТИРОВКА_Приложение_пост_рус_авг_Пр 4     11.05.11. ИКС_Приложение_рус _2012-2014_29,30" xfId="1213" xr:uid="{00000000-0005-0000-0000-0000AD0A0000}"/>
    <cellStyle name="_Приложение 02 русс на 16.04.2009 г. 1 сессия_Приложение 1-18 рус пост посл 20.10._Приложение_2010-2012 рус  КОРРЕКТИРОВКА_Приложение_пост_рус_авг_Пр 4     11.05.11. ИКС_Приложение_рус _2012-2014_29,30 2" xfId="4641" xr:uid="{00000000-0005-0000-0000-0000AE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 4 русс,каз 16.03.11. посл" xfId="1214" xr:uid="{00000000-0005-0000-0000-0000AF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 4 русс,каз 16.03.11. посл 2" xfId="4642" xr:uid="{00000000-0005-0000-0000-0000B0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 4 русс,каз 16.03.11. посл_Приложение_рус _2012-2014_29,30" xfId="1215" xr:uid="{00000000-0005-0000-0000-0000B1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 4 русс,каз 16.03.11. посл_Приложение_рус _2012-2014_29,30 2" xfId="4643" xr:uid="{00000000-0005-0000-0000-0000B2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еал_рус 2011-2013 Уточнение" xfId="1216" xr:uid="{00000000-0005-0000-0000-0000B3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еал_рус 2011-2013 Уточнение 2" xfId="4644" xr:uid="{00000000-0005-0000-0000-0000B4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еал_рус 2011-2013 Уточнение_Приложение_рус _2012-2014_29,30" xfId="1217" xr:uid="{00000000-0005-0000-0000-0000B5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еал_рус 2011-2013 Уточнение_Приложение_рус _2012-2014_29,30 2" xfId="4645" xr:uid="{00000000-0005-0000-0000-0000B6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ус _2012-2014_29,30" xfId="1218" xr:uid="{00000000-0005-0000-0000-0000B7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ус _2012-2014_29,30 2" xfId="4646" xr:uid="{00000000-0005-0000-0000-0000B8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я 2012 рус" xfId="1219" xr:uid="{00000000-0005-0000-0000-0000B90A0000}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я 2012 рус 2" xfId="4647" xr:uid="{00000000-0005-0000-0000-0000BA0A0000}"/>
    <cellStyle name="_Приложение 02 русс на 16.04.2009 г. 1 сессия_Приложение 1-18 рус пост посл 20.10._Приложение_2010-2012 рус  КОРРЕКТИРОВКА_Приложение_реал_рус 2011-2013 Уточнение" xfId="1220" xr:uid="{00000000-0005-0000-0000-0000BB0A0000}"/>
    <cellStyle name="_Приложение 02 русс на 16.04.2009 г. 1 сессия_Приложение 1-18 рус пост посл 20.10._Приложение_2010-2012 рус  КОРРЕКТИРОВКА_Приложение_реал_рус 2011-2013 Уточнение 2" xfId="4648" xr:uid="{00000000-0005-0000-0000-0000BC0A0000}"/>
    <cellStyle name="_Приложение 02 русс на 16.04.2009 г. 1 сессия_Приложение 1-18 рус пост посл 20.10._Приложение_2010-2012 рус  КОРРЕКТИРОВКА_Приложение_реал_рус 2011-2013 Уточнение_Приложение_рус _2012-2014_29,30" xfId="1221" xr:uid="{00000000-0005-0000-0000-0000BD0A0000}"/>
    <cellStyle name="_Приложение 02 русс на 16.04.2009 г. 1 сессия_Приложение 1-18 рус пост посл 20.10._Приложение_2010-2012 рус  КОРРЕКТИРОВКА_Приложение_реал_рус 2011-2013 Уточнение_Приложение_рус _2012-2014_29,30 2" xfId="4649" xr:uid="{00000000-0005-0000-0000-0000BE0A0000}"/>
    <cellStyle name="_Приложение 02 русс на 16.04.2009 г. 1 сессия_Приложение 1-18 рус пост посл 20.10._Приложение_2010-2012 рус  КОРРЕКТИРОВКА_Приложение_рус _2012-2014_29,30" xfId="1222" xr:uid="{00000000-0005-0000-0000-0000BF0A0000}"/>
    <cellStyle name="_Приложение 02 русс на 16.04.2009 г. 1 сессия_Приложение 1-18 рус пост посл 20.10._Приложение_2010-2012 рус  КОРРЕКТИРОВКА_Приложение_рус _2012-2014_29,30 2" xfId="4650" xr:uid="{00000000-0005-0000-0000-0000C00A0000}"/>
    <cellStyle name="_Приложение 02 русс на 16.04.2009 г. 1 сессия_Приложение 1-18 рус пост посл 20.10._Приложение_2010-2012 рус  КОРРЕКТИРОВКА_приложения 2012 рус" xfId="1223" xr:uid="{00000000-0005-0000-0000-0000C10A0000}"/>
    <cellStyle name="_Приложение 02 русс на 16.04.2009 г. 1 сессия_Приложение 1-18 рус пост посл 20.10._Приложение_2010-2012 рус  КОРРЕКТИРОВКА_приложения 2012 рус 2" xfId="4651" xr:uid="{00000000-0005-0000-0000-0000C20A0000}"/>
    <cellStyle name="_Приложение 02 русс на 16.04.2009 г. 1 сессия_Приложение 1-18 рус пост посл 20.10._Приложение_2010-2012 рус 04.08.10" xfId="1224" xr:uid="{00000000-0005-0000-0000-0000C30A0000}"/>
    <cellStyle name="_Приложение 02 русс на 16.04.2009 г. 1 сессия_Приложение 1-18 рус пост посл 20.10._Приложение_2010-2012 рус 04.08.10 2" xfId="4652" xr:uid="{00000000-0005-0000-0000-0000C40A0000}"/>
    <cellStyle name="_Приложение 02 русс на 16.04.2009 г. 1 сессия_Приложение 1-18 рус пост посл 20.10._Приложение_2010-2012 рус 04.08.10_Анализ" xfId="1225" xr:uid="{00000000-0005-0000-0000-0000C50A0000}"/>
    <cellStyle name="_Приложение 02 русс на 16.04.2009 г. 1 сессия_Приложение 1-18 рус пост посл 20.10._Приложение_2010-2012 рус 04.08.10_Анализ 2" xfId="4653" xr:uid="{00000000-0005-0000-0000-0000C60A0000}"/>
    <cellStyle name="_Приложение 02 русс на 16.04.2009 г. 1 сессия_Приложение 1-18 рус пост посл 20.10._Приложение_2010-2012 рус 04.08.10_Анализ 3.03.2011г." xfId="2996" xr:uid="{00000000-0005-0000-0000-0000C70A0000}"/>
    <cellStyle name="_Приложение 02 русс на 16.04.2009 г. 1 сессия_Приложение 1-18 рус пост посл 20.10._Приложение_2010-2012 рус 04.08.10_Анализ 6.03.2011г." xfId="2997" xr:uid="{00000000-0005-0000-0000-0000C80A0000}"/>
    <cellStyle name="_Приложение 02 русс на 16.04.2009 г. 1 сессия_Приложение 1-18 рус пост посл 20.10._Приложение_2010-2012 рус 04.08.10_Анализ 9.03.2011г." xfId="2998" xr:uid="{00000000-0005-0000-0000-0000C90A0000}"/>
    <cellStyle name="_Приложение 02 русс на 16.04.2009 г. 1 сессия_Приложение 1-18 рус пост посл 20.10._Приложение_2010-2012 рус 04.08.10_Анализ_Приложение_рус _2012-2014_29,30" xfId="1226" xr:uid="{00000000-0005-0000-0000-0000CA0A0000}"/>
    <cellStyle name="_Приложение 02 русс на 16.04.2009 г. 1 сессия_Приложение 1-18 рус пост посл 20.10._Приложение_2010-2012 рус 04.08.10_Анализ_Приложение_рус _2012-2014_29,30 2" xfId="4654" xr:uid="{00000000-0005-0000-0000-0000CB0A0000}"/>
    <cellStyle name="_Приложение 02 русс на 16.04.2009 г. 1 сессия_Приложение 1-18 рус пост посл 20.10._Приложение_2010-2012 рус 04.08.10_Пр 4     11.05.11. ИКС" xfId="1227" xr:uid="{00000000-0005-0000-0000-0000CC0A0000}"/>
    <cellStyle name="_Приложение 02 русс на 16.04.2009 г. 1 сессия_Приложение 1-18 рус пост посл 20.10._Приложение_2010-2012 рус 04.08.10_Пр 4     11.05.11. ИКС 2" xfId="4655" xr:uid="{00000000-0005-0000-0000-0000CD0A0000}"/>
    <cellStyle name="_Приложение 02 русс на 16.04.2009 г. 1 сессия_Приложение 1-18 рус пост посл 20.10._Приложение_2010-2012 рус 04.08.10_Пр 4     11.05.11. ИКС_Приложение_рус _2012-2014_29,30" xfId="1228" xr:uid="{00000000-0005-0000-0000-0000CE0A0000}"/>
    <cellStyle name="_Приложение 02 русс на 16.04.2009 г. 1 сессия_Приложение 1-18 рус пост посл 20.10._Приложение_2010-2012 рус 04.08.10_Пр 4     11.05.11. ИКС_Приложение_рус _2012-2014_29,30 2" xfId="4656" xr:uid="{00000000-0005-0000-0000-0000CF0A0000}"/>
    <cellStyle name="_Приложение 02 русс на 16.04.2009 г. 1 сессия_Приложение 1-18 рус пост посл 20.10._Приложение_2010-2012 рус 04.08.10_Приложение 4 русс,каз 16.03.11. посл" xfId="1229" xr:uid="{00000000-0005-0000-0000-0000D00A0000}"/>
    <cellStyle name="_Приложение 02 русс на 16.04.2009 г. 1 сессия_Приложение 1-18 рус пост посл 20.10._Приложение_2010-2012 рус 04.08.10_Приложение 4 русс,каз 16.03.11. посл 2" xfId="4657" xr:uid="{00000000-0005-0000-0000-0000D10A0000}"/>
    <cellStyle name="_Приложение 02 русс на 16.04.2009 г. 1 сессия_Приложение 1-18 рус пост посл 20.10._Приложение_2010-2012 рус 04.08.10_Приложение 4 русс,каз 16.03.11. посл_Приложение_рус _2012-2014_29,30" xfId="1230" xr:uid="{00000000-0005-0000-0000-0000D20A0000}"/>
    <cellStyle name="_Приложение 02 русс на 16.04.2009 г. 1 сессия_Приложение 1-18 рус пост посл 20.10._Приложение_2010-2012 рус 04.08.10_Приложение 4 русс,каз 16.03.11. посл_Приложение_рус _2012-2014_29,30 2" xfId="4658" xr:uid="{00000000-0005-0000-0000-0000D30A0000}"/>
    <cellStyle name="_Приложение 02 русс на 16.04.2009 г. 1 сессия_Приложение 1-18 рус пост посл 20.10._Приложение_2010-2012 рус 04.08.10_Приложение_реал_рус 2011-2013 Уточнение" xfId="1231" xr:uid="{00000000-0005-0000-0000-0000D40A0000}"/>
    <cellStyle name="_Приложение 02 русс на 16.04.2009 г. 1 сессия_Приложение 1-18 рус пост посл 20.10._Приложение_2010-2012 рус 04.08.10_Приложение_реал_рус 2011-2013 Уточнение 2" xfId="4659" xr:uid="{00000000-0005-0000-0000-0000D50A0000}"/>
    <cellStyle name="_Приложение 02 русс на 16.04.2009 г. 1 сессия_Приложение 1-18 рус пост посл 20.10._Приложение_2010-2012 рус 04.08.10_Приложение_реал_рус 2011-2013 Уточнение_Приложение_рус _2012-2014_29,30" xfId="1232" xr:uid="{00000000-0005-0000-0000-0000D60A0000}"/>
    <cellStyle name="_Приложение 02 русс на 16.04.2009 г. 1 сессия_Приложение 1-18 рус пост посл 20.10._Приложение_2010-2012 рус 04.08.10_Приложение_реал_рус 2011-2013 Уточнение_Приложение_рус _2012-2014_29,30 2" xfId="4660" xr:uid="{00000000-0005-0000-0000-0000D70A0000}"/>
    <cellStyle name="_Приложение 02 русс на 16.04.2009 г. 1 сессия_Приложение 1-18 рус пост посл 20.10._Приложение_2010-2012 рус 04.08.10_Приложение_рус _2012-2014_29,30" xfId="1233" xr:uid="{00000000-0005-0000-0000-0000D80A0000}"/>
    <cellStyle name="_Приложение 02 русс на 16.04.2009 г. 1 сессия_Приложение 1-18 рус пост посл 20.10._Приложение_2010-2012 рус 04.08.10_Приложение_рус _2012-2014_29,30 2" xfId="4661" xr:uid="{00000000-0005-0000-0000-0000D90A0000}"/>
    <cellStyle name="_Приложение 02 русс на 16.04.2009 г. 1 сессия_Приложение 1-18 рус пост посл 20.10._Приложение_2010-2012 рус 04.08.10_приложения 2012 рус" xfId="1234" xr:uid="{00000000-0005-0000-0000-0000DA0A0000}"/>
    <cellStyle name="_Приложение 02 русс на 16.04.2009 г. 1 сессия_Приложение 1-18 рус пост посл 20.10._Приложение_2010-2012 рус 04.08.10_приложения 2012 рус 2" xfId="4662" xr:uid="{00000000-0005-0000-0000-0000DB0A0000}"/>
    <cellStyle name="_Приложение 02 русс на 16.04.2009 г. 1 сессия_Приложение 1-18 рус пост посл 20.10._Приложение_2010-2012 рус март" xfId="1235" xr:uid="{00000000-0005-0000-0000-0000DC0A0000}"/>
    <cellStyle name="_Приложение 02 русс на 16.04.2009 г. 1 сессия_Приложение 1-18 рус пост посл 20.10._Приложение_2010-2012 рус март 2" xfId="4663" xr:uid="{00000000-0005-0000-0000-0000DD0A0000}"/>
    <cellStyle name="_Приложение 02 русс на 16.04.2009 г. 1 сессия_Приложение 1-18 рус пост посл 20.10._Приложение_2010-2012 рус март_Анализ" xfId="1236" xr:uid="{00000000-0005-0000-0000-0000DE0A0000}"/>
    <cellStyle name="_Приложение 02 русс на 16.04.2009 г. 1 сессия_Приложение 1-18 рус пост посл 20.10._Приложение_2010-2012 рус март_Анализ 2" xfId="4664" xr:uid="{00000000-0005-0000-0000-0000DF0A0000}"/>
    <cellStyle name="_Приложение 02 русс на 16.04.2009 г. 1 сессия_Приложение 1-18 рус пост посл 20.10._Приложение_2010-2012 рус март_Анализ 3.03.2011г." xfId="2999" xr:uid="{00000000-0005-0000-0000-0000E00A0000}"/>
    <cellStyle name="_Приложение 02 русс на 16.04.2009 г. 1 сессия_Приложение 1-18 рус пост посл 20.10._Приложение_2010-2012 рус март_Анализ 6.03.2011г." xfId="3000" xr:uid="{00000000-0005-0000-0000-0000E10A0000}"/>
    <cellStyle name="_Приложение 02 русс на 16.04.2009 г. 1 сессия_Приложение 1-18 рус пост посл 20.10._Приложение_2010-2012 рус март_Анализ 9.03.2011г." xfId="3001" xr:uid="{00000000-0005-0000-0000-0000E20A0000}"/>
    <cellStyle name="_Приложение 02 русс на 16.04.2009 г. 1 сессия_Приложение 1-18 рус пост посл 20.10._Приложение_2010-2012 рус март_Анализ_Приложение_рус _2012-2014_29,30" xfId="1237" xr:uid="{00000000-0005-0000-0000-0000E30A0000}"/>
    <cellStyle name="_Приложение 02 русс на 16.04.2009 г. 1 сессия_Приложение 1-18 рус пост посл 20.10._Приложение_2010-2012 рус март_Анализ_Приложение_рус _2012-2014_29,30 2" xfId="4665" xr:uid="{00000000-0005-0000-0000-0000E40A0000}"/>
    <cellStyle name="_Приложение 02 русс на 16.04.2009 г. 1 сессия_Приложение 1-18 рус пост посл 20.10._Приложение_2010-2012 рус март_Пр 4     11.05.11. ИКС" xfId="1238" xr:uid="{00000000-0005-0000-0000-0000E50A0000}"/>
    <cellStyle name="_Приложение 02 русс на 16.04.2009 г. 1 сессия_Приложение 1-18 рус пост посл 20.10._Приложение_2010-2012 рус март_Пр 4     11.05.11. ИКС 2" xfId="4666" xr:uid="{00000000-0005-0000-0000-0000E60A0000}"/>
    <cellStyle name="_Приложение 02 русс на 16.04.2009 г. 1 сессия_Приложение 1-18 рус пост посл 20.10._Приложение_2010-2012 рус март_Пр 4     11.05.11. ИКС_Приложение_рус _2012-2014_29,30" xfId="1239" xr:uid="{00000000-0005-0000-0000-0000E70A0000}"/>
    <cellStyle name="_Приложение 02 русс на 16.04.2009 г. 1 сессия_Приложение 1-18 рус пост посл 20.10._Приложение_2010-2012 рус март_Пр 4     11.05.11. ИКС_Приложение_рус _2012-2014_29,30 2" xfId="4667" xr:uid="{00000000-0005-0000-0000-0000E80A0000}"/>
    <cellStyle name="_Приложение 02 русс на 16.04.2009 г. 1 сессия_Приложение 1-18 рус пост посл 20.10._Приложение_2010-2012 рус март_Приложение 4 русс,каз 16.03.11. посл" xfId="1240" xr:uid="{00000000-0005-0000-0000-0000E90A0000}"/>
    <cellStyle name="_Приложение 02 русс на 16.04.2009 г. 1 сессия_Приложение 1-18 рус пост посл 20.10._Приложение_2010-2012 рус март_Приложение 4 русс,каз 16.03.11. посл 2" xfId="4668" xr:uid="{00000000-0005-0000-0000-0000EA0A0000}"/>
    <cellStyle name="_Приложение 02 русс на 16.04.2009 г. 1 сессия_Приложение 1-18 рус пост посл 20.10._Приложение_2010-2012 рус март_Приложение 4 русс,каз 16.03.11. посл_Приложение_рус _2012-2014_29,30" xfId="1241" xr:uid="{00000000-0005-0000-0000-0000EB0A0000}"/>
    <cellStyle name="_Приложение 02 русс на 16.04.2009 г. 1 сессия_Приложение 1-18 рус пост посл 20.10._Приложение_2010-2012 рус март_Приложение 4 русс,каз 16.03.11. посл_Приложение_рус _2012-2014_29,30 2" xfId="4669" xr:uid="{00000000-0005-0000-0000-0000EC0A0000}"/>
    <cellStyle name="_Приложение 02 русс на 16.04.2009 г. 1 сессия_Приложение 1-18 рус пост посл 20.10._Приложение_2010-2012 рус март_Приложение_2010-2012 рус 04.08.10" xfId="1242" xr:uid="{00000000-0005-0000-0000-0000ED0A0000}"/>
    <cellStyle name="_Приложение 02 русс на 16.04.2009 г. 1 сессия_Приложение 1-18 рус пост посл 20.10._Приложение_2010-2012 рус март_Приложение_2010-2012 рус 04.08.10 2" xfId="4670" xr:uid="{00000000-0005-0000-0000-0000EE0A0000}"/>
    <cellStyle name="_Приложение 02 русс на 16.04.2009 г. 1 сессия_Приложение 1-18 рус пост посл 20.10._Приложение_2010-2012 рус март_Приложение_2010-2012 рус 04.08.10_Анализ" xfId="1243" xr:uid="{00000000-0005-0000-0000-0000EF0A0000}"/>
    <cellStyle name="_Приложение 02 русс на 16.04.2009 г. 1 сессия_Приложение 1-18 рус пост посл 20.10._Приложение_2010-2012 рус март_Приложение_2010-2012 рус 04.08.10_Анализ 2" xfId="4671" xr:uid="{00000000-0005-0000-0000-0000F00A0000}"/>
    <cellStyle name="_Приложение 02 русс на 16.04.2009 г. 1 сессия_Приложение 1-18 рус пост посл 20.10._Приложение_2010-2012 рус март_Приложение_2010-2012 рус 04.08.10_Анализ 3.03.2011г." xfId="3002" xr:uid="{00000000-0005-0000-0000-0000F10A0000}"/>
    <cellStyle name="_Приложение 02 русс на 16.04.2009 г. 1 сессия_Приложение 1-18 рус пост посл 20.10._Приложение_2010-2012 рус март_Приложение_2010-2012 рус 04.08.10_Анализ 6.03.2011г." xfId="3003" xr:uid="{00000000-0005-0000-0000-0000F20A0000}"/>
    <cellStyle name="_Приложение 02 русс на 16.04.2009 г. 1 сессия_Приложение 1-18 рус пост посл 20.10._Приложение_2010-2012 рус март_Приложение_2010-2012 рус 04.08.10_Анализ 9.03.2011г." xfId="3004" xr:uid="{00000000-0005-0000-0000-0000F30A0000}"/>
    <cellStyle name="_Приложение 02 русс на 16.04.2009 г. 1 сессия_Приложение 1-18 рус пост посл 20.10._Приложение_2010-2012 рус март_Приложение_2010-2012 рус 04.08.10_Анализ_Приложение_рус _2012-2014_29,30" xfId="1244" xr:uid="{00000000-0005-0000-0000-0000F40A0000}"/>
    <cellStyle name="_Приложение 02 русс на 16.04.2009 г. 1 сессия_Приложение 1-18 рус пост посл 20.10._Приложение_2010-2012 рус март_Приложение_2010-2012 рус 04.08.10_Анализ_Приложение_рус _2012-2014_29,30 2" xfId="4672" xr:uid="{00000000-0005-0000-0000-0000F50A0000}"/>
    <cellStyle name="_Приложение 02 русс на 16.04.2009 г. 1 сессия_Приложение 1-18 рус пост посл 20.10._Приложение_2010-2012 рус март_Приложение_2010-2012 рус 04.08.10_Пр 4     11.05.11. ИКС" xfId="1245" xr:uid="{00000000-0005-0000-0000-0000F60A0000}"/>
    <cellStyle name="_Приложение 02 русс на 16.04.2009 г. 1 сессия_Приложение 1-18 рус пост посл 20.10._Приложение_2010-2012 рус март_Приложение_2010-2012 рус 04.08.10_Пр 4     11.05.11. ИКС 2" xfId="4673" xr:uid="{00000000-0005-0000-0000-0000F70A0000}"/>
    <cellStyle name="_Приложение 02 русс на 16.04.2009 г. 1 сессия_Приложение 1-18 рус пост посл 20.10._Приложение_2010-2012 рус март_Приложение_2010-2012 рус 04.08.10_Пр 4     11.05.11. ИКС_Приложение_рус _2012-2014_29,30" xfId="1246" xr:uid="{00000000-0005-0000-0000-0000F80A0000}"/>
    <cellStyle name="_Приложение 02 русс на 16.04.2009 г. 1 сессия_Приложение 1-18 рус пост посл 20.10._Приложение_2010-2012 рус март_Приложение_2010-2012 рус 04.08.10_Пр 4     11.05.11. ИКС_Приложение_рус _2012-2014_29,30 2" xfId="4674" xr:uid="{00000000-0005-0000-0000-0000F90A0000}"/>
    <cellStyle name="_Приложение 02 русс на 16.04.2009 г. 1 сессия_Приложение 1-18 рус пост посл 20.10._Приложение_2010-2012 рус март_Приложение_2010-2012 рус 04.08.10_Приложение 4 русс,каз 16.03.11. посл" xfId="1247" xr:uid="{00000000-0005-0000-0000-0000FA0A0000}"/>
    <cellStyle name="_Приложение 02 русс на 16.04.2009 г. 1 сессия_Приложение 1-18 рус пост посл 20.10._Приложение_2010-2012 рус март_Приложение_2010-2012 рус 04.08.10_Приложение 4 русс,каз 16.03.11. посл 2" xfId="4675" xr:uid="{00000000-0005-0000-0000-0000FB0A0000}"/>
    <cellStyle name="_Приложение 02 русс на 16.04.2009 г. 1 сессия_Приложение 1-18 рус пост посл 20.10._Приложение_2010-2012 рус март_Приложение_2010-2012 рус 04.08.10_Приложение 4 русс,каз 16.03.11. посл_Приложение_рус _2012-2014_29,30" xfId="1248" xr:uid="{00000000-0005-0000-0000-0000FC0A0000}"/>
    <cellStyle name="_Приложение 02 русс на 16.04.2009 г. 1 сессия_Приложение 1-18 рус пост посл 20.10._Приложение_2010-2012 рус март_Приложение_2010-2012 рус 04.08.10_Приложение 4 русс,каз 16.03.11. посл_Приложение_рус _2012-2014_29,30 2" xfId="4676" xr:uid="{00000000-0005-0000-0000-0000FD0A0000}"/>
    <cellStyle name="_Приложение 02 русс на 16.04.2009 г. 1 сессия_Приложение 1-18 рус пост посл 20.10._Приложение_2010-2012 рус март_Приложение_2010-2012 рус 04.08.10_Приложение_реал_рус 2011-2013 Уточнение" xfId="1249" xr:uid="{00000000-0005-0000-0000-0000FE0A0000}"/>
    <cellStyle name="_Приложение 02 русс на 16.04.2009 г. 1 сессия_Приложение 1-18 рус пост посл 20.10._Приложение_2010-2012 рус март_Приложение_2010-2012 рус 04.08.10_Приложение_реал_рус 2011-2013 Уточнение 2" xfId="4677" xr:uid="{00000000-0005-0000-0000-0000FF0A0000}"/>
    <cellStyle name="_Приложение 02 русс на 16.04.2009 г. 1 сессия_Приложение 1-18 рус пост посл 20.10._Приложение_2010-2012 рус март_Приложение_2010-2012 рус 04.08.10_Приложение_реал_рус 2011-2013 Уточнение_Приложение_рус _2012-2014_29,30" xfId="1250" xr:uid="{00000000-0005-0000-0000-0000000B0000}"/>
    <cellStyle name="_Приложение 02 русс на 16.04.2009 г. 1 сессия_Приложение 1-18 рус пост посл 20.10._Приложение_2010-2012 рус март_Приложение_2010-2012 рус 04.08.10_Приложение_реал_рус 2011-2013 Уточнение_Приложение_рус _2012-2014_29,30 2" xfId="4678" xr:uid="{00000000-0005-0000-0000-0000010B0000}"/>
    <cellStyle name="_Приложение 02 русс на 16.04.2009 г. 1 сессия_Приложение 1-18 рус пост посл 20.10._Приложение_2010-2012 рус март_Приложение_2010-2012 рус 04.08.10_Приложение_рус _2012-2014_29,30" xfId="1251" xr:uid="{00000000-0005-0000-0000-0000020B0000}"/>
    <cellStyle name="_Приложение 02 русс на 16.04.2009 г. 1 сессия_Приложение 1-18 рус пост посл 20.10._Приложение_2010-2012 рус март_Приложение_2010-2012 рус 04.08.10_Приложение_рус _2012-2014_29,30 2" xfId="4679" xr:uid="{00000000-0005-0000-0000-0000030B0000}"/>
    <cellStyle name="_Приложение 02 русс на 16.04.2009 г. 1 сессия_Приложение 1-18 рус пост посл 20.10._Приложение_2010-2012 рус март_Приложение_2010-2012 рус 04.08.10_приложения 2012 рус" xfId="1252" xr:uid="{00000000-0005-0000-0000-0000040B0000}"/>
    <cellStyle name="_Приложение 02 русс на 16.04.2009 г. 1 сессия_Приложение 1-18 рус пост посл 20.10._Приложение_2010-2012 рус март_Приложение_2010-2012 рус 04.08.10_приложения 2012 рус 2" xfId="4680" xr:uid="{00000000-0005-0000-0000-0000050B0000}"/>
    <cellStyle name="_Приложение 02 русс на 16.04.2009 г. 1 сессия_Приложение 1-18 рус пост посл 20.10._Приложение_2010-2012 рус март_Приложение_пост_рус_авг" xfId="1253" xr:uid="{00000000-0005-0000-0000-0000060B0000}"/>
    <cellStyle name="_Приложение 02 русс на 16.04.2009 г. 1 сессия_Приложение 1-18 рус пост посл 20.10._Приложение_2010-2012 рус март_Приложение_пост_рус_авг 2" xfId="4681" xr:uid="{00000000-0005-0000-0000-0000070B0000}"/>
    <cellStyle name="_Приложение 02 русс на 16.04.2009 г. 1 сессия_Приложение 1-18 рус пост посл 20.10._Приложение_2010-2012 рус март_Приложение_пост_рус_авг_Анализ" xfId="1254" xr:uid="{00000000-0005-0000-0000-0000080B0000}"/>
    <cellStyle name="_Приложение 02 русс на 16.04.2009 г. 1 сессия_Приложение 1-18 рус пост посл 20.10._Приложение_2010-2012 рус март_Приложение_пост_рус_авг_Анализ 2" xfId="4682" xr:uid="{00000000-0005-0000-0000-0000090B0000}"/>
    <cellStyle name="_Приложение 02 русс на 16.04.2009 г. 1 сессия_Приложение 1-18 рус пост посл 20.10._Приложение_2010-2012 рус март_Приложение_пост_рус_авг_Анализ 3.03.2011г." xfId="3005" xr:uid="{00000000-0005-0000-0000-00000A0B0000}"/>
    <cellStyle name="_Приложение 02 русс на 16.04.2009 г. 1 сессия_Приложение 1-18 рус пост посл 20.10._Приложение_2010-2012 рус март_Приложение_пост_рус_авг_Анализ 6.03.2011г." xfId="3006" xr:uid="{00000000-0005-0000-0000-00000B0B0000}"/>
    <cellStyle name="_Приложение 02 русс на 16.04.2009 г. 1 сессия_Приложение 1-18 рус пост посл 20.10._Приложение_2010-2012 рус март_Приложение_пост_рус_авг_Анализ 9.03.2011г." xfId="3007" xr:uid="{00000000-0005-0000-0000-00000C0B0000}"/>
    <cellStyle name="_Приложение 02 русс на 16.04.2009 г. 1 сессия_Приложение 1-18 рус пост посл 20.10._Приложение_2010-2012 рус март_Приложение_пост_рус_авг_Анализ_Приложение_рус _2012-2014_29,30" xfId="1255" xr:uid="{00000000-0005-0000-0000-00000D0B0000}"/>
    <cellStyle name="_Приложение 02 русс на 16.04.2009 г. 1 сессия_Приложение 1-18 рус пост посл 20.10._Приложение_2010-2012 рус март_Приложение_пост_рус_авг_Анализ_Приложение_рус _2012-2014_29,30 2" xfId="4683" xr:uid="{00000000-0005-0000-0000-00000E0B0000}"/>
    <cellStyle name="_Приложение 02 русс на 16.04.2009 г. 1 сессия_Приложение 1-18 рус пост посл 20.10._Приложение_2010-2012 рус март_Приложение_пост_рус_авг_Пр 4     11.05.11. ИКС" xfId="1256" xr:uid="{00000000-0005-0000-0000-00000F0B0000}"/>
    <cellStyle name="_Приложение 02 русс на 16.04.2009 г. 1 сессия_Приложение 1-18 рус пост посл 20.10._Приложение_2010-2012 рус март_Приложение_пост_рус_авг_Пр 4     11.05.11. ИКС 2" xfId="4684" xr:uid="{00000000-0005-0000-0000-0000100B0000}"/>
    <cellStyle name="_Приложение 02 русс на 16.04.2009 г. 1 сессия_Приложение 1-18 рус пост посл 20.10._Приложение_2010-2012 рус март_Приложение_пост_рус_авг_Пр 4     11.05.11. ИКС_Приложение_рус _2012-2014_29,30" xfId="1257" xr:uid="{00000000-0005-0000-0000-0000110B0000}"/>
    <cellStyle name="_Приложение 02 русс на 16.04.2009 г. 1 сессия_Приложение 1-18 рус пост посл 20.10._Приложение_2010-2012 рус март_Приложение_пост_рус_авг_Пр 4     11.05.11. ИКС_Приложение_рус _2012-2014_29,30 2" xfId="4685" xr:uid="{00000000-0005-0000-0000-0000120B0000}"/>
    <cellStyle name="_Приложение 02 русс на 16.04.2009 г. 1 сессия_Приложение 1-18 рус пост посл 20.10._Приложение_2010-2012 рус март_Приложение_пост_рус_авг_Приложение 4 русс,каз 16.03.11. посл" xfId="1258" xr:uid="{00000000-0005-0000-0000-0000130B0000}"/>
    <cellStyle name="_Приложение 02 русс на 16.04.2009 г. 1 сессия_Приложение 1-18 рус пост посл 20.10._Приложение_2010-2012 рус март_Приложение_пост_рус_авг_Приложение 4 русс,каз 16.03.11. посл 2" xfId="4686" xr:uid="{00000000-0005-0000-0000-0000140B0000}"/>
    <cellStyle name="_Приложение 02 русс на 16.04.2009 г. 1 сессия_Приложение 1-18 рус пост посл 20.10._Приложение_2010-2012 рус март_Приложение_пост_рус_авг_Приложение 4 русс,каз 16.03.11. посл_Приложение_рус _2012-2014_29,30" xfId="1259" xr:uid="{00000000-0005-0000-0000-0000150B0000}"/>
    <cellStyle name="_Приложение 02 русс на 16.04.2009 г. 1 сессия_Приложение 1-18 рус пост посл 20.10._Приложение_2010-2012 рус март_Приложение_пост_рус_авг_Приложение 4 русс,каз 16.03.11. посл_Приложение_рус _2012-2014_29,30 2" xfId="4687" xr:uid="{00000000-0005-0000-0000-0000160B0000}"/>
    <cellStyle name="_Приложение 02 русс на 16.04.2009 г. 1 сессия_Приложение 1-18 рус пост посл 20.10._Приложение_2010-2012 рус март_Приложение_пост_рус_авг_Приложение_реал_рус 2011-2013 Уточнение" xfId="1260" xr:uid="{00000000-0005-0000-0000-0000170B0000}"/>
    <cellStyle name="_Приложение 02 русс на 16.04.2009 г. 1 сессия_Приложение 1-18 рус пост посл 20.10._Приложение_2010-2012 рус март_Приложение_пост_рус_авг_Приложение_реал_рус 2011-2013 Уточнение 2" xfId="4688" xr:uid="{00000000-0005-0000-0000-0000180B0000}"/>
    <cellStyle name="_Приложение 02 русс на 16.04.2009 г. 1 сессия_Приложение 1-18 рус пост посл 20.10._Приложение_2010-2012 рус март_Приложение_пост_рус_авг_Приложение_реал_рус 2011-2013 Уточнение_Приложение_рус _2012-2014_29,30" xfId="1261" xr:uid="{00000000-0005-0000-0000-0000190B0000}"/>
    <cellStyle name="_Приложение 02 русс на 16.04.2009 г. 1 сессия_Приложение 1-18 рус пост посл 20.10._Приложение_2010-2012 рус март_Приложение_пост_рус_авг_Приложение_реал_рус 2011-2013 Уточнение_Приложение_рус _2012-2014_29,30 2" xfId="4689" xr:uid="{00000000-0005-0000-0000-00001A0B0000}"/>
    <cellStyle name="_Приложение 02 русс на 16.04.2009 г. 1 сессия_Приложение 1-18 рус пост посл 20.10._Приложение_2010-2012 рус март_Приложение_пост_рус_авг_Приложение_рус _2012-2014_29,30" xfId="1262" xr:uid="{00000000-0005-0000-0000-00001B0B0000}"/>
    <cellStyle name="_Приложение 02 русс на 16.04.2009 г. 1 сессия_Приложение 1-18 рус пост посл 20.10._Приложение_2010-2012 рус март_Приложение_пост_рус_авг_Приложение_рус _2012-2014_29,30 2" xfId="4690" xr:uid="{00000000-0005-0000-0000-00001C0B0000}"/>
    <cellStyle name="_Приложение 02 русс на 16.04.2009 г. 1 сессия_Приложение 1-18 рус пост посл 20.10._Приложение_2010-2012 рус март_Приложение_пост_рус_авг_приложения 2012 рус" xfId="1263" xr:uid="{00000000-0005-0000-0000-00001D0B0000}"/>
    <cellStyle name="_Приложение 02 русс на 16.04.2009 г. 1 сессия_Приложение 1-18 рус пост посл 20.10._Приложение_2010-2012 рус март_Приложение_пост_рус_авг_приложения 2012 рус 2" xfId="4691" xr:uid="{00000000-0005-0000-0000-00001E0B0000}"/>
    <cellStyle name="_Приложение 02 русс на 16.04.2009 г. 1 сессия_Приложение 1-18 рус пост посл 20.10._Приложение_2010-2012 рус март_Приложение_реал_рус 2011-2013 Уточнение" xfId="1264" xr:uid="{00000000-0005-0000-0000-00001F0B0000}"/>
    <cellStyle name="_Приложение 02 русс на 16.04.2009 г. 1 сессия_Приложение 1-18 рус пост посл 20.10._Приложение_2010-2012 рус март_Приложение_реал_рус 2011-2013 Уточнение 2" xfId="4692" xr:uid="{00000000-0005-0000-0000-0000200B0000}"/>
    <cellStyle name="_Приложение 02 русс на 16.04.2009 г. 1 сессия_Приложение 1-18 рус пост посл 20.10._Приложение_2010-2012 рус март_Приложение_реал_рус 2011-2013 Уточнение_Приложение_рус _2012-2014_29,30" xfId="1265" xr:uid="{00000000-0005-0000-0000-0000210B0000}"/>
    <cellStyle name="_Приложение 02 русс на 16.04.2009 г. 1 сессия_Приложение 1-18 рус пост посл 20.10._Приложение_2010-2012 рус март_Приложение_реал_рус 2011-2013 Уточнение_Приложение_рус _2012-2014_29,30 2" xfId="4693" xr:uid="{00000000-0005-0000-0000-0000220B0000}"/>
    <cellStyle name="_Приложение 02 русс на 16.04.2009 г. 1 сессия_Приложение 1-18 рус пост посл 20.10._Приложение_2010-2012 рус март_Приложение_рус _2012-2014_29,30" xfId="1266" xr:uid="{00000000-0005-0000-0000-0000230B0000}"/>
    <cellStyle name="_Приложение 02 русс на 16.04.2009 г. 1 сессия_Приложение 1-18 рус пост посл 20.10._Приложение_2010-2012 рус март_Приложение_рус _2012-2014_29,30 2" xfId="4694" xr:uid="{00000000-0005-0000-0000-0000240B0000}"/>
    <cellStyle name="_Приложение 02 русс на 16.04.2009 г. 1 сессия_Приложение 1-18 рус пост посл 20.10._Приложение_2010-2012 рус март_приложения 2012 рус" xfId="1267" xr:uid="{00000000-0005-0000-0000-0000250B0000}"/>
    <cellStyle name="_Приложение 02 русс на 16.04.2009 г. 1 сессия_Приложение 1-18 рус пост посл 20.10._Приложение_2010-2012 рус март_приложения 2012 рус 2" xfId="4695" xr:uid="{00000000-0005-0000-0000-0000260B0000}"/>
    <cellStyle name="_Приложение 02 русс на 16.04.2009 г. 1 сессия_Приложение 1-18 рус пост посл 20.10._Приложение_пост_каз_авг" xfId="1268" xr:uid="{00000000-0005-0000-0000-0000270B0000}"/>
    <cellStyle name="_Приложение 02 русс на 16.04.2009 г. 1 сессия_Приложение 1-18 рус пост посл 20.10._Приложение_пост_каз_авг 2" xfId="4696" xr:uid="{00000000-0005-0000-0000-0000280B0000}"/>
    <cellStyle name="_Приложение 02 русс на 16.04.2009 г. 1 сессия_Приложение 1-18 рус пост посл 20.10._Приложение_пост_каз_авг_Анализ" xfId="1269" xr:uid="{00000000-0005-0000-0000-0000290B0000}"/>
    <cellStyle name="_Приложение 02 русс на 16.04.2009 г. 1 сессия_Приложение 1-18 рус пост посл 20.10._Приложение_пост_каз_авг_Анализ 2" xfId="4697" xr:uid="{00000000-0005-0000-0000-00002A0B0000}"/>
    <cellStyle name="_Приложение 02 русс на 16.04.2009 г. 1 сессия_Приложение 1-18 рус пост посл 20.10._Приложение_пост_каз_авг_Анализ 3.03.2011г." xfId="3008" xr:uid="{00000000-0005-0000-0000-00002B0B0000}"/>
    <cellStyle name="_Приложение 02 русс на 16.04.2009 г. 1 сессия_Приложение 1-18 рус пост посл 20.10._Приложение_пост_каз_авг_Анализ 6.03.2011г." xfId="3009" xr:uid="{00000000-0005-0000-0000-00002C0B0000}"/>
    <cellStyle name="_Приложение 02 русс на 16.04.2009 г. 1 сессия_Приложение 1-18 рус пост посл 20.10._Приложение_пост_каз_авг_Анализ 9.03.2011г." xfId="3010" xr:uid="{00000000-0005-0000-0000-00002D0B0000}"/>
    <cellStyle name="_Приложение 02 русс на 16.04.2009 г. 1 сессия_Приложение 1-18 рус пост посл 20.10._Приложение_пост_каз_авг_Анализ_Приложение_рус _2012-2014_29,30" xfId="1270" xr:uid="{00000000-0005-0000-0000-00002E0B0000}"/>
    <cellStyle name="_Приложение 02 русс на 16.04.2009 г. 1 сессия_Приложение 1-18 рус пост посл 20.10._Приложение_пост_каз_авг_Анализ_Приложение_рус _2012-2014_29,30 2" xfId="4698" xr:uid="{00000000-0005-0000-0000-00002F0B0000}"/>
    <cellStyle name="_Приложение 02 русс на 16.04.2009 г. 1 сессия_Приложение 1-18 рус пост посл 20.10._Приложение_пост_каз_авг_Пр 4     11.05.11. ИКС" xfId="1271" xr:uid="{00000000-0005-0000-0000-0000300B0000}"/>
    <cellStyle name="_Приложение 02 русс на 16.04.2009 г. 1 сессия_Приложение 1-18 рус пост посл 20.10._Приложение_пост_каз_авг_Пр 4     11.05.11. ИКС 2" xfId="4699" xr:uid="{00000000-0005-0000-0000-0000310B0000}"/>
    <cellStyle name="_Приложение 02 русс на 16.04.2009 г. 1 сессия_Приложение 1-18 рус пост посл 20.10._Приложение_пост_каз_авг_Пр 4     11.05.11. ИКС_Приложение_рус _2012-2014_29,30" xfId="1272" xr:uid="{00000000-0005-0000-0000-0000320B0000}"/>
    <cellStyle name="_Приложение 02 русс на 16.04.2009 г. 1 сессия_Приложение 1-18 рус пост посл 20.10._Приложение_пост_каз_авг_Пр 4     11.05.11. ИКС_Приложение_рус _2012-2014_29,30 2" xfId="4700" xr:uid="{00000000-0005-0000-0000-0000330B0000}"/>
    <cellStyle name="_Приложение 02 русс на 16.04.2009 г. 1 сессия_Приложение 1-18 рус пост посл 20.10._Приложение_пост_каз_авг_Приложение 4 русс,каз 16.03.11. посл" xfId="1273" xr:uid="{00000000-0005-0000-0000-0000340B0000}"/>
    <cellStyle name="_Приложение 02 русс на 16.04.2009 г. 1 сессия_Приложение 1-18 рус пост посл 20.10._Приложение_пост_каз_авг_Приложение 4 русс,каз 16.03.11. посл 2" xfId="4701" xr:uid="{00000000-0005-0000-0000-0000350B0000}"/>
    <cellStyle name="_Приложение 02 русс на 16.04.2009 г. 1 сессия_Приложение 1-18 рус пост посл 20.10._Приложение_пост_каз_авг_Приложение 4 русс,каз 16.03.11. посл_Приложение_рус _2012-2014_29,30" xfId="1274" xr:uid="{00000000-0005-0000-0000-0000360B0000}"/>
    <cellStyle name="_Приложение 02 русс на 16.04.2009 г. 1 сессия_Приложение 1-18 рус пост посл 20.10._Приложение_пост_каз_авг_Приложение 4 русс,каз 16.03.11. посл_Приложение_рус _2012-2014_29,30 2" xfId="4702" xr:uid="{00000000-0005-0000-0000-0000370B0000}"/>
    <cellStyle name="_Приложение 02 русс на 16.04.2009 г. 1 сессия_Приложение 1-18 рус пост посл 20.10._Приложение_пост_каз_авг_Приложение_реал_рус 2011-2013 Уточнение" xfId="1275" xr:uid="{00000000-0005-0000-0000-0000380B0000}"/>
    <cellStyle name="_Приложение 02 русс на 16.04.2009 г. 1 сессия_Приложение 1-18 рус пост посл 20.10._Приложение_пост_каз_авг_Приложение_реал_рус 2011-2013 Уточнение 2" xfId="4703" xr:uid="{00000000-0005-0000-0000-0000390B0000}"/>
    <cellStyle name="_Приложение 02 русс на 16.04.2009 г. 1 сессия_Приложение 1-18 рус пост посл 20.10._Приложение_пост_каз_авг_Приложение_реал_рус 2011-2013 Уточнение_Приложение_рус _2012-2014_29,30" xfId="1276" xr:uid="{00000000-0005-0000-0000-00003A0B0000}"/>
    <cellStyle name="_Приложение 02 русс на 16.04.2009 г. 1 сессия_Приложение 1-18 рус пост посл 20.10._Приложение_пост_каз_авг_Приложение_реал_рус 2011-2013 Уточнение_Приложение_рус _2012-2014_29,30 2" xfId="4704" xr:uid="{00000000-0005-0000-0000-00003B0B0000}"/>
    <cellStyle name="_Приложение 02 русс на 16.04.2009 г. 1 сессия_Приложение 1-18 рус пост посл 20.10._Приложение_пост_каз_авг_Приложение_рус _2012-2014_29,30" xfId="1277" xr:uid="{00000000-0005-0000-0000-00003C0B0000}"/>
    <cellStyle name="_Приложение 02 русс на 16.04.2009 г. 1 сессия_Приложение 1-18 рус пост посл 20.10._Приложение_пост_каз_авг_Приложение_рус _2012-2014_29,30 2" xfId="4705" xr:uid="{00000000-0005-0000-0000-00003D0B0000}"/>
    <cellStyle name="_Приложение 02 русс на 16.04.2009 г. 1 сессия_Приложение 1-18 рус пост посл 20.10._Приложение_пост_каз_авг_приложения 2012 рус" xfId="1278" xr:uid="{00000000-0005-0000-0000-00003E0B0000}"/>
    <cellStyle name="_Приложение 02 русс на 16.04.2009 г. 1 сессия_Приложение 1-18 рус пост посл 20.10._Приложение_пост_каз_авг_приложения 2012 рус 2" xfId="4706" xr:uid="{00000000-0005-0000-0000-00003F0B0000}"/>
    <cellStyle name="_Приложение 02 русс на 16.04.2009 г. 1 сессия_Приложение 1-18 рус пост посл 20.10._Приложение_пост_рус_авг" xfId="1279" xr:uid="{00000000-0005-0000-0000-0000400B0000}"/>
    <cellStyle name="_Приложение 02 русс на 16.04.2009 г. 1 сессия_Приложение 1-18 рус пост посл 20.10._Приложение_пост_рус_авг 2" xfId="4707" xr:uid="{00000000-0005-0000-0000-0000410B0000}"/>
    <cellStyle name="_Приложение 02 русс на 16.04.2009 г. 1 сессия_Приложение 1-18 рус пост посл 20.10._Приложение_пост_рус_авг_Анализ" xfId="1280" xr:uid="{00000000-0005-0000-0000-0000420B0000}"/>
    <cellStyle name="_Приложение 02 русс на 16.04.2009 г. 1 сессия_Приложение 1-18 рус пост посл 20.10._Приложение_пост_рус_авг_Анализ 2" xfId="4708" xr:uid="{00000000-0005-0000-0000-0000430B0000}"/>
    <cellStyle name="_Приложение 02 русс на 16.04.2009 г. 1 сессия_Приложение 1-18 рус пост посл 20.10._Приложение_пост_рус_авг_Анализ 3.03.2011г." xfId="3011" xr:uid="{00000000-0005-0000-0000-0000440B0000}"/>
    <cellStyle name="_Приложение 02 русс на 16.04.2009 г. 1 сессия_Приложение 1-18 рус пост посл 20.10._Приложение_пост_рус_авг_Анализ 6.03.2011г." xfId="3012" xr:uid="{00000000-0005-0000-0000-0000450B0000}"/>
    <cellStyle name="_Приложение 02 русс на 16.04.2009 г. 1 сессия_Приложение 1-18 рус пост посл 20.10._Приложение_пост_рус_авг_Анализ 9.03.2011г." xfId="3013" xr:uid="{00000000-0005-0000-0000-0000460B0000}"/>
    <cellStyle name="_Приложение 02 русс на 16.04.2009 г. 1 сессия_Приложение 1-18 рус пост посл 20.10._Приложение_пост_рус_авг_Анализ_Приложение_рус _2012-2014_29,30" xfId="1281" xr:uid="{00000000-0005-0000-0000-0000470B0000}"/>
    <cellStyle name="_Приложение 02 русс на 16.04.2009 г. 1 сессия_Приложение 1-18 рус пост посл 20.10._Приложение_пост_рус_авг_Анализ_Приложение_рус _2012-2014_29,30 2" xfId="4709" xr:uid="{00000000-0005-0000-0000-0000480B0000}"/>
    <cellStyle name="_Приложение 02 русс на 16.04.2009 г. 1 сессия_Приложение 1-18 рус пост посл 20.10._Приложение_пост_рус_авг_Пр 4     11.05.11. ИКС" xfId="1282" xr:uid="{00000000-0005-0000-0000-0000490B0000}"/>
    <cellStyle name="_Приложение 02 русс на 16.04.2009 г. 1 сессия_Приложение 1-18 рус пост посл 20.10._Приложение_пост_рус_авг_Пр 4     11.05.11. ИКС 2" xfId="4710" xr:uid="{00000000-0005-0000-0000-00004A0B0000}"/>
    <cellStyle name="_Приложение 02 русс на 16.04.2009 г. 1 сессия_Приложение 1-18 рус пост посл 20.10._Приложение_пост_рус_авг_Пр 4     11.05.11. ИКС_Приложение_рус _2012-2014_29,30" xfId="1283" xr:uid="{00000000-0005-0000-0000-00004B0B0000}"/>
    <cellStyle name="_Приложение 02 русс на 16.04.2009 г. 1 сессия_Приложение 1-18 рус пост посл 20.10._Приложение_пост_рус_авг_Пр 4     11.05.11. ИКС_Приложение_рус _2012-2014_29,30 2" xfId="4711" xr:uid="{00000000-0005-0000-0000-00004C0B0000}"/>
    <cellStyle name="_Приложение 02 русс на 16.04.2009 г. 1 сессия_Приложение 1-18 рус пост посл 20.10._Приложение_пост_рус_авг_Приложение 4 русс,каз 16.03.11. посл" xfId="1284" xr:uid="{00000000-0005-0000-0000-00004D0B0000}"/>
    <cellStyle name="_Приложение 02 русс на 16.04.2009 г. 1 сессия_Приложение 1-18 рус пост посл 20.10._Приложение_пост_рус_авг_Приложение 4 русс,каз 16.03.11. посл 2" xfId="4712" xr:uid="{00000000-0005-0000-0000-00004E0B0000}"/>
    <cellStyle name="_Приложение 02 русс на 16.04.2009 г. 1 сессия_Приложение 1-18 рус пост посл 20.10._Приложение_пост_рус_авг_Приложение 4 русс,каз 16.03.11. посл_Приложение_рус _2012-2014_29,30" xfId="1285" xr:uid="{00000000-0005-0000-0000-00004F0B0000}"/>
    <cellStyle name="_Приложение 02 русс на 16.04.2009 г. 1 сессия_Приложение 1-18 рус пост посл 20.10._Приложение_пост_рус_авг_Приложение 4 русс,каз 16.03.11. посл_Приложение_рус _2012-2014_29,30 2" xfId="4713" xr:uid="{00000000-0005-0000-0000-0000500B0000}"/>
    <cellStyle name="_Приложение 02 русс на 16.04.2009 г. 1 сессия_Приложение 1-18 рус пост посл 20.10._Приложение_пост_рус_авг_Приложение_реал_рус 2011-2013 Уточнение" xfId="1286" xr:uid="{00000000-0005-0000-0000-0000510B0000}"/>
    <cellStyle name="_Приложение 02 русс на 16.04.2009 г. 1 сессия_Приложение 1-18 рус пост посл 20.10._Приложение_пост_рус_авг_Приложение_реал_рус 2011-2013 Уточнение 2" xfId="4714" xr:uid="{00000000-0005-0000-0000-0000520B0000}"/>
    <cellStyle name="_Приложение 02 русс на 16.04.2009 г. 1 сессия_Приложение 1-18 рус пост посл 20.10._Приложение_пост_рус_авг_Приложение_реал_рус 2011-2013 Уточнение_Приложение_рус _2012-2014_29,30" xfId="1287" xr:uid="{00000000-0005-0000-0000-0000530B0000}"/>
    <cellStyle name="_Приложение 02 русс на 16.04.2009 г. 1 сессия_Приложение 1-18 рус пост посл 20.10._Приложение_пост_рус_авг_Приложение_реал_рус 2011-2013 Уточнение_Приложение_рус _2012-2014_29,30 2" xfId="4715" xr:uid="{00000000-0005-0000-0000-0000540B0000}"/>
    <cellStyle name="_Приложение 02 русс на 16.04.2009 г. 1 сессия_Приложение 1-18 рус пост посл 20.10._Приложение_пост_рус_авг_Приложение_рус _2012-2014_29,30" xfId="1288" xr:uid="{00000000-0005-0000-0000-0000550B0000}"/>
    <cellStyle name="_Приложение 02 русс на 16.04.2009 г. 1 сессия_Приложение 1-18 рус пост посл 20.10._Приложение_пост_рус_авг_Приложение_рус _2012-2014_29,30 2" xfId="4716" xr:uid="{00000000-0005-0000-0000-0000560B0000}"/>
    <cellStyle name="_Приложение 02 русс на 16.04.2009 г. 1 сессия_Приложение 1-18 рус пост посл 20.10._Приложение_пост_рус_авг_приложения 2012 рус" xfId="1289" xr:uid="{00000000-0005-0000-0000-0000570B0000}"/>
    <cellStyle name="_Приложение 02 русс на 16.04.2009 г. 1 сессия_Приложение 1-18 рус пост посл 20.10._Приложение_пост_рус_авг_приложения 2012 рус 2" xfId="4717" xr:uid="{00000000-0005-0000-0000-0000580B0000}"/>
    <cellStyle name="_Приложение 02 русс на 16.04.2009 г. 1 сессия_Приложение 1-18 рус пост посл 20.10._Приложение_реал_рус 2011-2013 Уточнение" xfId="1290" xr:uid="{00000000-0005-0000-0000-0000590B0000}"/>
    <cellStyle name="_Приложение 02 русс на 16.04.2009 г. 1 сессия_Приложение 1-18 рус пост посл 20.10._Приложение_реал_рус 2011-2013 Уточнение 2" xfId="4718" xr:uid="{00000000-0005-0000-0000-00005A0B0000}"/>
    <cellStyle name="_Приложение 02 русс на 16.04.2009 г. 1 сессия_Приложение 1-18 рус пост посл 20.10._Приложение_реал_рус 2011-2013 Уточнение_Приложение_рус _2012-2014_29,30" xfId="1291" xr:uid="{00000000-0005-0000-0000-00005B0B0000}"/>
    <cellStyle name="_Приложение 02 русс на 16.04.2009 г. 1 сессия_Приложение 1-18 рус пост посл 20.10._Приложение_реал_рус 2011-2013 Уточнение_Приложение_рус _2012-2014_29,30 2" xfId="4719" xr:uid="{00000000-0005-0000-0000-00005C0B0000}"/>
    <cellStyle name="_Приложение 02 русс на 16.04.2009 г. 1 сессия_Приложение 1-18 рус пост посл 20.10._Приложение_рус _2012-2014_29,30" xfId="1292" xr:uid="{00000000-0005-0000-0000-00005D0B0000}"/>
    <cellStyle name="_Приложение 02 русс на 16.04.2009 г. 1 сессия_Приложение 1-18 рус пост посл 20.10._Приложение_рус _2012-2014_29,30 2" xfId="4720" xr:uid="{00000000-0005-0000-0000-00005E0B0000}"/>
    <cellStyle name="_Приложение 02 русс на 16.04.2009 г. 1 сессия_Приложение 1-18 рус пост посл 20.10._приложения 2012 рус" xfId="1293" xr:uid="{00000000-0005-0000-0000-00005F0B0000}"/>
    <cellStyle name="_Приложение 02 русс на 16.04.2009 г. 1 сессия_Приложение 1-18 рус пост посл 20.10._приложения 2012 рус 2" xfId="4721" xr:uid="{00000000-0005-0000-0000-0000600B0000}"/>
    <cellStyle name="_Приложение 02 русс на 16.04.2009 г. 1 сессия_Приложение 1-18 рус пост посл_Анализ" xfId="1294" xr:uid="{00000000-0005-0000-0000-0000610B0000}"/>
    <cellStyle name="_Приложение 02 русс на 16.04.2009 г. 1 сессия_Приложение 1-18 рус пост посл_Анализ 2" xfId="4722" xr:uid="{00000000-0005-0000-0000-0000620B0000}"/>
    <cellStyle name="_Приложение 02 русс на 16.04.2009 г. 1 сессия_Приложение 1-18 рус пост посл_Анализ 3.03.2011г." xfId="3014" xr:uid="{00000000-0005-0000-0000-0000630B0000}"/>
    <cellStyle name="_Приложение 02 русс на 16.04.2009 г. 1 сессия_Приложение 1-18 рус пост посл_Анализ 6.03.2011г." xfId="3015" xr:uid="{00000000-0005-0000-0000-0000640B0000}"/>
    <cellStyle name="_Приложение 02 русс на 16.04.2009 г. 1 сессия_Приложение 1-18 рус пост посл_Анализ 9.03.2011г." xfId="3016" xr:uid="{00000000-0005-0000-0000-0000650B0000}"/>
    <cellStyle name="_Приложение 02 русс на 16.04.2009 г. 1 сессия_Приложение 1-18 рус пост посл_Анализ_Приложение_рус _2012-2014_29,30" xfId="1295" xr:uid="{00000000-0005-0000-0000-0000660B0000}"/>
    <cellStyle name="_Приложение 02 русс на 16.04.2009 г. 1 сессия_Приложение 1-18 рус пост посл_Анализ_Приложение_рус _2012-2014_29,30 2" xfId="4723" xr:uid="{00000000-0005-0000-0000-0000670B0000}"/>
    <cellStyle name="_Приложение 02 русс на 16.04.2009 г. 1 сессия_Приложение 1-18 рус пост посл_Копия Приложение_2010-2012 рус март" xfId="1296" xr:uid="{00000000-0005-0000-0000-0000680B0000}"/>
    <cellStyle name="_Приложение 02 русс на 16.04.2009 г. 1 сессия_Приложение 1-18 рус пост посл_Копия Приложение_2010-2012 рус март 2" xfId="4724" xr:uid="{00000000-0005-0000-0000-0000690B0000}"/>
    <cellStyle name="_Приложение 02 русс на 16.04.2009 г. 1 сессия_Приложение 1-18 рус пост посл_Копия Приложение_2010-2012 рус март_Анализ" xfId="1297" xr:uid="{00000000-0005-0000-0000-00006A0B0000}"/>
    <cellStyle name="_Приложение 02 русс на 16.04.2009 г. 1 сессия_Приложение 1-18 рус пост посл_Копия Приложение_2010-2012 рус март_Анализ 2" xfId="4725" xr:uid="{00000000-0005-0000-0000-00006B0B0000}"/>
    <cellStyle name="_Приложение 02 русс на 16.04.2009 г. 1 сессия_Приложение 1-18 рус пост посл_Копия Приложение_2010-2012 рус март_Анализ 3.03.2011г." xfId="3017" xr:uid="{00000000-0005-0000-0000-00006C0B0000}"/>
    <cellStyle name="_Приложение 02 русс на 16.04.2009 г. 1 сессия_Приложение 1-18 рус пост посл_Копия Приложение_2010-2012 рус март_Анализ 6.03.2011г." xfId="3018" xr:uid="{00000000-0005-0000-0000-00006D0B0000}"/>
    <cellStyle name="_Приложение 02 русс на 16.04.2009 г. 1 сессия_Приложение 1-18 рус пост посл_Копия Приложение_2010-2012 рус март_Анализ 9.03.2011г." xfId="3019" xr:uid="{00000000-0005-0000-0000-00006E0B0000}"/>
    <cellStyle name="_Приложение 02 русс на 16.04.2009 г. 1 сессия_Приложение 1-18 рус пост посл_Копия Приложение_2010-2012 рус март_Анализ_Приложение_рус _2012-2014_29,30" xfId="1298" xr:uid="{00000000-0005-0000-0000-00006F0B0000}"/>
    <cellStyle name="_Приложение 02 русс на 16.04.2009 г. 1 сессия_Приложение 1-18 рус пост посл_Копия Приложение_2010-2012 рус март_Анализ_Приложение_рус _2012-2014_29,30 2" xfId="4726" xr:uid="{00000000-0005-0000-0000-0000700B0000}"/>
    <cellStyle name="_Приложение 02 русс на 16.04.2009 г. 1 сессия_Приложение 1-18 рус пост посл_Копия Приложение_2010-2012 рус март_Пр 4     11.05.11. ИКС" xfId="1299" xr:uid="{00000000-0005-0000-0000-0000710B0000}"/>
    <cellStyle name="_Приложение 02 русс на 16.04.2009 г. 1 сессия_Приложение 1-18 рус пост посл_Копия Приложение_2010-2012 рус март_Пр 4     11.05.11. ИКС 2" xfId="4727" xr:uid="{00000000-0005-0000-0000-0000720B0000}"/>
    <cellStyle name="_Приложение 02 русс на 16.04.2009 г. 1 сессия_Приложение 1-18 рус пост посл_Копия Приложение_2010-2012 рус март_Пр 4     11.05.11. ИКС_Приложение_рус _2012-2014_29,30" xfId="1300" xr:uid="{00000000-0005-0000-0000-0000730B0000}"/>
    <cellStyle name="_Приложение 02 русс на 16.04.2009 г. 1 сессия_Приложение 1-18 рус пост посл_Копия Приложение_2010-2012 рус март_Пр 4     11.05.11. ИКС_Приложение_рус _2012-2014_29,30 2" xfId="4728" xr:uid="{00000000-0005-0000-0000-0000740B0000}"/>
    <cellStyle name="_Приложение 02 русс на 16.04.2009 г. 1 сессия_Приложение 1-18 рус пост посл_Копия Приложение_2010-2012 рус март_Приложение 4 русс,каз 16.03.11. посл" xfId="1301" xr:uid="{00000000-0005-0000-0000-0000750B0000}"/>
    <cellStyle name="_Приложение 02 русс на 16.04.2009 г. 1 сессия_Приложение 1-18 рус пост посл_Копия Приложение_2010-2012 рус март_Приложение 4 русс,каз 16.03.11. посл 2" xfId="4729" xr:uid="{00000000-0005-0000-0000-0000760B0000}"/>
    <cellStyle name="_Приложение 02 русс на 16.04.2009 г. 1 сессия_Приложение 1-18 рус пост посл_Копия Приложение_2010-2012 рус март_Приложение 4 русс,каз 16.03.11. посл_Приложение_рус _2012-2014_29,30" xfId="1302" xr:uid="{00000000-0005-0000-0000-0000770B0000}"/>
    <cellStyle name="_Приложение 02 русс на 16.04.2009 г. 1 сессия_Приложение 1-18 рус пост посл_Копия Приложение_2010-2012 рус март_Приложение 4 русс,каз 16.03.11. посл_Приложение_рус _2012-2014_29,30 2" xfId="4730" xr:uid="{00000000-0005-0000-0000-0000780B0000}"/>
    <cellStyle name="_Приложение 02 русс на 16.04.2009 г. 1 сессия_Приложение 1-18 рус пост посл_Копия Приложение_2010-2012 рус март_Приложение_2010-2012 рус 04.08.10" xfId="1303" xr:uid="{00000000-0005-0000-0000-0000790B0000}"/>
    <cellStyle name="_Приложение 02 русс на 16.04.2009 г. 1 сессия_Приложение 1-18 рус пост посл_Копия Приложение_2010-2012 рус март_Приложение_2010-2012 рус 04.08.10 2" xfId="4731" xr:uid="{00000000-0005-0000-0000-00007A0B0000}"/>
    <cellStyle name="_Приложение 02 русс на 16.04.2009 г. 1 сессия_Приложение 1-18 рус пост посл_Копия Приложение_2010-2012 рус март_Приложение_2010-2012 рус 04.08.10_Анализ" xfId="1304" xr:uid="{00000000-0005-0000-0000-00007B0B0000}"/>
    <cellStyle name="_Приложение 02 русс на 16.04.2009 г. 1 сессия_Приложение 1-18 рус пост посл_Копия Приложение_2010-2012 рус март_Приложение_2010-2012 рус 04.08.10_Анализ 2" xfId="4732" xr:uid="{00000000-0005-0000-0000-00007C0B0000}"/>
    <cellStyle name="_Приложение 02 русс на 16.04.2009 г. 1 сессия_Приложение 1-18 рус пост посл_Копия Приложение_2010-2012 рус март_Приложение_2010-2012 рус 04.08.10_Анализ 3.03.2011г." xfId="3020" xr:uid="{00000000-0005-0000-0000-00007D0B0000}"/>
    <cellStyle name="_Приложение 02 русс на 16.04.2009 г. 1 сессия_Приложение 1-18 рус пост посл_Копия Приложение_2010-2012 рус март_Приложение_2010-2012 рус 04.08.10_Анализ 6.03.2011г." xfId="3021" xr:uid="{00000000-0005-0000-0000-00007E0B0000}"/>
    <cellStyle name="_Приложение 02 русс на 16.04.2009 г. 1 сессия_Приложение 1-18 рус пост посл_Копия Приложение_2010-2012 рус март_Приложение_2010-2012 рус 04.08.10_Анализ 9.03.2011г." xfId="3022" xr:uid="{00000000-0005-0000-0000-00007F0B0000}"/>
    <cellStyle name="_Приложение 02 русс на 16.04.2009 г. 1 сессия_Приложение 1-18 рус пост посл_Копия Приложение_2010-2012 рус март_Приложение_2010-2012 рус 04.08.10_Анализ_Приложение_рус _2012-2014_29,30" xfId="1305" xr:uid="{00000000-0005-0000-0000-0000800B0000}"/>
    <cellStyle name="_Приложение 02 русс на 16.04.2009 г. 1 сессия_Приложение 1-18 рус пост посл_Копия Приложение_2010-2012 рус март_Приложение_2010-2012 рус 04.08.10_Анализ_Приложение_рус _2012-2014_29,30 2" xfId="4733" xr:uid="{00000000-0005-0000-0000-0000810B0000}"/>
    <cellStyle name="_Приложение 02 русс на 16.04.2009 г. 1 сессия_Приложение 1-18 рус пост посл_Копия Приложение_2010-2012 рус март_Приложение_2010-2012 рус 04.08.10_Пр 4     11.05.11. ИКС" xfId="1306" xr:uid="{00000000-0005-0000-0000-0000820B0000}"/>
    <cellStyle name="_Приложение 02 русс на 16.04.2009 г. 1 сессия_Приложение 1-18 рус пост посл_Копия Приложение_2010-2012 рус март_Приложение_2010-2012 рус 04.08.10_Пр 4     11.05.11. ИКС 2" xfId="4734" xr:uid="{00000000-0005-0000-0000-0000830B0000}"/>
    <cellStyle name="_Приложение 02 русс на 16.04.2009 г. 1 сессия_Приложение 1-18 рус пост посл_Копия Приложение_2010-2012 рус март_Приложение_2010-2012 рус 04.08.10_Пр 4     11.05.11. ИКС_Приложение_рус _2012-2014_29,30" xfId="1307" xr:uid="{00000000-0005-0000-0000-0000840B0000}"/>
    <cellStyle name="_Приложение 02 русс на 16.04.2009 г. 1 сессия_Приложение 1-18 рус пост посл_Копия Приложение_2010-2012 рус март_Приложение_2010-2012 рус 04.08.10_Пр 4     11.05.11. ИКС_Приложение_рус _2012-2014_29,30 2" xfId="4735" xr:uid="{00000000-0005-0000-0000-0000850B0000}"/>
    <cellStyle name="_Приложение 02 русс на 16.04.2009 г. 1 сессия_Приложение 1-18 рус пост посл_Копия Приложение_2010-2012 рус март_Приложение_2010-2012 рус 04.08.10_Приложение 4 русс,каз 16.03.11. посл" xfId="1308" xr:uid="{00000000-0005-0000-0000-0000860B0000}"/>
    <cellStyle name="_Приложение 02 русс на 16.04.2009 г. 1 сессия_Приложение 1-18 рус пост посл_Копия Приложение_2010-2012 рус март_Приложение_2010-2012 рус 04.08.10_Приложение 4 русс,каз 16.03.11. посл 2" xfId="4736" xr:uid="{00000000-0005-0000-0000-0000870B0000}"/>
    <cellStyle name="_Приложение 02 русс на 16.04.2009 г. 1 сессия_Приложение 1-18 рус пост посл_Копия Приложение_2010-2012 рус март_Приложение_2010-2012 рус 04.08.10_Приложение 4 русс,каз 16.03.11. посл_Приложение_рус _2012-2014_29,30" xfId="1309" xr:uid="{00000000-0005-0000-0000-0000880B0000}"/>
    <cellStyle name="_Приложение 02 русс на 16.04.2009 г. 1 сессия_Приложение 1-18 рус пост посл_Копия Приложение_2010-2012 рус март_Приложение_2010-2012 рус 04.08.10_Приложение 4 русс,каз 16.03.11. посл_Приложение_рус _2012-2014_29,30 2" xfId="4737" xr:uid="{00000000-0005-0000-0000-0000890B0000}"/>
    <cellStyle name="_Приложение 02 русс на 16.04.2009 г. 1 сессия_Приложение 1-18 рус пост посл_Копия Приложение_2010-2012 рус март_Приложение_2010-2012 рус 04.08.10_Приложение_реал_рус 2011-2013 Уточнение" xfId="1310" xr:uid="{00000000-0005-0000-0000-00008A0B0000}"/>
    <cellStyle name="_Приложение 02 русс на 16.04.2009 г. 1 сессия_Приложение 1-18 рус пост посл_Копия Приложение_2010-2012 рус март_Приложение_2010-2012 рус 04.08.10_Приложение_реал_рус 2011-2013 Уточнение 2" xfId="4738" xr:uid="{00000000-0005-0000-0000-00008B0B0000}"/>
    <cellStyle name="_Приложение 02 русс на 16.04.2009 г. 1 сессия_Приложение 1-18 рус пост посл_Копия Приложение_2010-2012 рус март_Приложение_2010-2012 рус 04.08.10_Приложение_реал_рус 2011-2013 Уточнение_Приложение_рус _2012-2014_29,30" xfId="1311" xr:uid="{00000000-0005-0000-0000-00008C0B0000}"/>
    <cellStyle name="_Приложение 02 русс на 16.04.2009 г. 1 сессия_Приложение 1-18 рус пост посл_Копия Приложение_2010-2012 рус март_Приложение_2010-2012 рус 04.08.10_Приложение_реал_рус 2011-2013 Уточнение_Приложение_рус _2012-2014_29,30 2" xfId="4739" xr:uid="{00000000-0005-0000-0000-00008D0B0000}"/>
    <cellStyle name="_Приложение 02 русс на 16.04.2009 г. 1 сессия_Приложение 1-18 рус пост посл_Копия Приложение_2010-2012 рус март_Приложение_2010-2012 рус 04.08.10_Приложение_рус _2012-2014_29,30" xfId="1312" xr:uid="{00000000-0005-0000-0000-00008E0B0000}"/>
    <cellStyle name="_Приложение 02 русс на 16.04.2009 г. 1 сессия_Приложение 1-18 рус пост посл_Копия Приложение_2010-2012 рус март_Приложение_2010-2012 рус 04.08.10_Приложение_рус _2012-2014_29,30 2" xfId="4740" xr:uid="{00000000-0005-0000-0000-00008F0B0000}"/>
    <cellStyle name="_Приложение 02 русс на 16.04.2009 г. 1 сессия_Приложение 1-18 рус пост посл_Копия Приложение_2010-2012 рус март_Приложение_2010-2012 рус 04.08.10_приложения 2012 рус" xfId="1313" xr:uid="{00000000-0005-0000-0000-0000900B0000}"/>
    <cellStyle name="_Приложение 02 русс на 16.04.2009 г. 1 сессия_Приложение 1-18 рус пост посл_Копия Приложение_2010-2012 рус март_Приложение_2010-2012 рус 04.08.10_приложения 2012 рус 2" xfId="4741" xr:uid="{00000000-0005-0000-0000-0000910B0000}"/>
    <cellStyle name="_Приложение 02 русс на 16.04.2009 г. 1 сессия_Приложение 1-18 рус пост посл_Копия Приложение_2010-2012 рус март_Приложение_пост_рус_авг" xfId="1314" xr:uid="{00000000-0005-0000-0000-0000920B0000}"/>
    <cellStyle name="_Приложение 02 русс на 16.04.2009 г. 1 сессия_Приложение 1-18 рус пост посл_Копия Приложение_2010-2012 рус март_Приложение_пост_рус_авг 2" xfId="4742" xr:uid="{00000000-0005-0000-0000-0000930B0000}"/>
    <cellStyle name="_Приложение 02 русс на 16.04.2009 г. 1 сессия_Приложение 1-18 рус пост посл_Копия Приложение_2010-2012 рус март_Приложение_пост_рус_авг_Анализ" xfId="1315" xr:uid="{00000000-0005-0000-0000-0000940B0000}"/>
    <cellStyle name="_Приложение 02 русс на 16.04.2009 г. 1 сессия_Приложение 1-18 рус пост посл_Копия Приложение_2010-2012 рус март_Приложение_пост_рус_авг_Анализ 2" xfId="4743" xr:uid="{00000000-0005-0000-0000-0000950B0000}"/>
    <cellStyle name="_Приложение 02 русс на 16.04.2009 г. 1 сессия_Приложение 1-18 рус пост посл_Копия Приложение_2010-2012 рус март_Приложение_пост_рус_авг_Анализ 3.03.2011г." xfId="3023" xr:uid="{00000000-0005-0000-0000-0000960B0000}"/>
    <cellStyle name="_Приложение 02 русс на 16.04.2009 г. 1 сессия_Приложение 1-18 рус пост посл_Копия Приложение_2010-2012 рус март_Приложение_пост_рус_авг_Анализ 6.03.2011г." xfId="3024" xr:uid="{00000000-0005-0000-0000-0000970B0000}"/>
    <cellStyle name="_Приложение 02 русс на 16.04.2009 г. 1 сессия_Приложение 1-18 рус пост посл_Копия Приложение_2010-2012 рус март_Приложение_пост_рус_авг_Анализ 9.03.2011г." xfId="3025" xr:uid="{00000000-0005-0000-0000-0000980B0000}"/>
    <cellStyle name="_Приложение 02 русс на 16.04.2009 г. 1 сессия_Приложение 1-18 рус пост посл_Копия Приложение_2010-2012 рус март_Приложение_пост_рус_авг_Анализ_Приложение_рус _2012-2014_29,30" xfId="1316" xr:uid="{00000000-0005-0000-0000-0000990B0000}"/>
    <cellStyle name="_Приложение 02 русс на 16.04.2009 г. 1 сессия_Приложение 1-18 рус пост посл_Копия Приложение_2010-2012 рус март_Приложение_пост_рус_авг_Анализ_Приложение_рус _2012-2014_29,30 2" xfId="4744" xr:uid="{00000000-0005-0000-0000-00009A0B0000}"/>
    <cellStyle name="_Приложение 02 русс на 16.04.2009 г. 1 сессия_Приложение 1-18 рус пост посл_Копия Приложение_2010-2012 рус март_Приложение_пост_рус_авг_Пр 4     11.05.11. ИКС" xfId="1317" xr:uid="{00000000-0005-0000-0000-00009B0B0000}"/>
    <cellStyle name="_Приложение 02 русс на 16.04.2009 г. 1 сессия_Приложение 1-18 рус пост посл_Копия Приложение_2010-2012 рус март_Приложение_пост_рус_авг_Пр 4     11.05.11. ИКС 2" xfId="4745" xr:uid="{00000000-0005-0000-0000-00009C0B0000}"/>
    <cellStyle name="_Приложение 02 русс на 16.04.2009 г. 1 сессия_Приложение 1-18 рус пост посл_Копия Приложение_2010-2012 рус март_Приложение_пост_рус_авг_Пр 4     11.05.11. ИКС_Приложение_рус _2012-2014_29,30" xfId="1318" xr:uid="{00000000-0005-0000-0000-00009D0B0000}"/>
    <cellStyle name="_Приложение 02 русс на 16.04.2009 г. 1 сессия_Приложение 1-18 рус пост посл_Копия Приложение_2010-2012 рус март_Приложение_пост_рус_авг_Пр 4     11.05.11. ИКС_Приложение_рус _2012-2014_29,30 2" xfId="4746" xr:uid="{00000000-0005-0000-0000-00009E0B0000}"/>
    <cellStyle name="_Приложение 02 русс на 16.04.2009 г. 1 сессия_Приложение 1-18 рус пост посл_Копия Приложение_2010-2012 рус март_Приложение_пост_рус_авг_Приложение 4 русс,каз 16.03.11. посл" xfId="1319" xr:uid="{00000000-0005-0000-0000-00009F0B0000}"/>
    <cellStyle name="_Приложение 02 русс на 16.04.2009 г. 1 сессия_Приложение 1-18 рус пост посл_Копия Приложение_2010-2012 рус март_Приложение_пост_рус_авг_Приложение 4 русс,каз 16.03.11. посл 2" xfId="4747" xr:uid="{00000000-0005-0000-0000-0000A00B0000}"/>
    <cellStyle name="_Приложение 02 русс на 16.04.2009 г. 1 сессия_Приложение 1-18 рус пост посл_Копия Приложение_2010-2012 рус март_Приложение_пост_рус_авг_Приложение 4 русс,каз 16.03.11. посл_Приложение_рус _2012-2014_29,30" xfId="1320" xr:uid="{00000000-0005-0000-0000-0000A10B0000}"/>
    <cellStyle name="_Приложение 02 русс на 16.04.2009 г. 1 сессия_Приложение 1-18 рус пост посл_Копия Приложение_2010-2012 рус март_Приложение_пост_рус_авг_Приложение 4 русс,каз 16.03.11. посл_Приложение_рус _2012-2014_29,30 2" xfId="4748" xr:uid="{00000000-0005-0000-0000-0000A20B0000}"/>
    <cellStyle name="_Приложение 02 русс на 16.04.2009 г. 1 сессия_Приложение 1-18 рус пост посл_Копия Приложение_2010-2012 рус март_Приложение_пост_рус_авг_Приложение_реал_рус 2011-2013 Уточнение" xfId="1321" xr:uid="{00000000-0005-0000-0000-0000A30B0000}"/>
    <cellStyle name="_Приложение 02 русс на 16.04.2009 г. 1 сессия_Приложение 1-18 рус пост посл_Копия Приложение_2010-2012 рус март_Приложение_пост_рус_авг_Приложение_реал_рус 2011-2013 Уточнение 2" xfId="4749" xr:uid="{00000000-0005-0000-0000-0000A40B0000}"/>
    <cellStyle name="_Приложение 02 русс на 16.04.2009 г. 1 сессия_Приложение 1-18 рус пост посл_Копия Приложение_2010-2012 рус март_Приложение_пост_рус_авг_Приложение_реал_рус 2011-2013 Уточнение_Приложение_рус _2012-2014_29,30" xfId="1322" xr:uid="{00000000-0005-0000-0000-0000A50B0000}"/>
    <cellStyle name="_Приложение 02 русс на 16.04.2009 г. 1 сессия_Приложение 1-18 рус пост посл_Копия Приложение_2010-2012 рус март_Приложение_пост_рус_авг_Приложение_реал_рус 2011-2013 Уточнение_Приложение_рус _2012-2014_29,30 2" xfId="4750" xr:uid="{00000000-0005-0000-0000-0000A60B0000}"/>
    <cellStyle name="_Приложение 02 русс на 16.04.2009 г. 1 сессия_Приложение 1-18 рус пост посл_Копия Приложение_2010-2012 рус март_Приложение_пост_рус_авг_Приложение_рус _2012-2014_29,30" xfId="1323" xr:uid="{00000000-0005-0000-0000-0000A70B0000}"/>
    <cellStyle name="_Приложение 02 русс на 16.04.2009 г. 1 сессия_Приложение 1-18 рус пост посл_Копия Приложение_2010-2012 рус март_Приложение_пост_рус_авг_Приложение_рус _2012-2014_29,30 2" xfId="4751" xr:uid="{00000000-0005-0000-0000-0000A80B0000}"/>
    <cellStyle name="_Приложение 02 русс на 16.04.2009 г. 1 сессия_Приложение 1-18 рус пост посл_Копия Приложение_2010-2012 рус март_Приложение_пост_рус_авг_приложения 2012 рус" xfId="1324" xr:uid="{00000000-0005-0000-0000-0000A90B0000}"/>
    <cellStyle name="_Приложение 02 русс на 16.04.2009 г. 1 сессия_Приложение 1-18 рус пост посл_Копия Приложение_2010-2012 рус март_Приложение_пост_рус_авг_приложения 2012 рус 2" xfId="4752" xr:uid="{00000000-0005-0000-0000-0000AA0B0000}"/>
    <cellStyle name="_Приложение 02 русс на 16.04.2009 г. 1 сессия_Приложение 1-18 рус пост посл_Копия Приложение_2010-2012 рус март_Приложение_реал_рус 2011-2013 Уточнение" xfId="1325" xr:uid="{00000000-0005-0000-0000-0000AB0B0000}"/>
    <cellStyle name="_Приложение 02 русс на 16.04.2009 г. 1 сессия_Приложение 1-18 рус пост посл_Копия Приложение_2010-2012 рус март_Приложение_реал_рус 2011-2013 Уточнение 2" xfId="4753" xr:uid="{00000000-0005-0000-0000-0000AC0B0000}"/>
    <cellStyle name="_Приложение 02 русс на 16.04.2009 г. 1 сессия_Приложение 1-18 рус пост посл_Копия Приложение_2010-2012 рус март_Приложение_реал_рус 2011-2013 Уточнение_Приложение_рус _2012-2014_29,30" xfId="1326" xr:uid="{00000000-0005-0000-0000-0000AD0B0000}"/>
    <cellStyle name="_Приложение 02 русс на 16.04.2009 г. 1 сессия_Приложение 1-18 рус пост посл_Копия Приложение_2010-2012 рус март_Приложение_реал_рус 2011-2013 Уточнение_Приложение_рус _2012-2014_29,30 2" xfId="4754" xr:uid="{00000000-0005-0000-0000-0000AE0B0000}"/>
    <cellStyle name="_Приложение 02 русс на 16.04.2009 г. 1 сессия_Приложение 1-18 рус пост посл_Копия Приложение_2010-2012 рус март_Приложение_рус _2012-2014_29,30" xfId="1327" xr:uid="{00000000-0005-0000-0000-0000AF0B0000}"/>
    <cellStyle name="_Приложение 02 русс на 16.04.2009 г. 1 сессия_Приложение 1-18 рус пост посл_Копия Приложение_2010-2012 рус март_Приложение_рус _2012-2014_29,30 2" xfId="4755" xr:uid="{00000000-0005-0000-0000-0000B00B0000}"/>
    <cellStyle name="_Приложение 02 русс на 16.04.2009 г. 1 сессия_Приложение 1-18 рус пост посл_Копия Приложение_2010-2012 рус март_приложения 2012 рус" xfId="1328" xr:uid="{00000000-0005-0000-0000-0000B10B0000}"/>
    <cellStyle name="_Приложение 02 русс на 16.04.2009 г. 1 сессия_Приложение 1-18 рус пост посл_Копия Приложение_2010-2012 рус март_приложения 2012 рус 2" xfId="4756" xr:uid="{00000000-0005-0000-0000-0000B20B0000}"/>
    <cellStyle name="_Приложение 02 русс на 16.04.2009 г. 1 сессия_Приложение 1-18 рус пост посл_Пр 4     11.05.11. ИКС" xfId="1329" xr:uid="{00000000-0005-0000-0000-0000B30B0000}"/>
    <cellStyle name="_Приложение 02 русс на 16.04.2009 г. 1 сессия_Приложение 1-18 рус пост посл_Пр 4     11.05.11. ИКС 2" xfId="4757" xr:uid="{00000000-0005-0000-0000-0000B40B0000}"/>
    <cellStyle name="_Приложение 02 русс на 16.04.2009 г. 1 сессия_Приложение 1-18 рус пост посл_Пр 4     11.05.11. ИКС_Приложение_рус _2012-2014_29,30" xfId="1330" xr:uid="{00000000-0005-0000-0000-0000B50B0000}"/>
    <cellStyle name="_Приложение 02 русс на 16.04.2009 г. 1 сессия_Приложение 1-18 рус пост посл_Пр 4     11.05.11. ИКС_Приложение_рус _2012-2014_29,30 2" xfId="4758" xr:uid="{00000000-0005-0000-0000-0000B60B0000}"/>
    <cellStyle name="_Приложение 02 русс на 16.04.2009 г. 1 сессия_Приложение 1-18 рус пост посл_прил4р_к" xfId="1331" xr:uid="{00000000-0005-0000-0000-0000B70B0000}"/>
    <cellStyle name="_Приложение 02 русс на 16.04.2009 г. 1 сессия_Приложение 1-18 рус пост посл_прил4р_к 2" xfId="1332" xr:uid="{00000000-0005-0000-0000-0000B80B0000}"/>
    <cellStyle name="_Приложение 02 русс на 16.04.2009 г. 1 сессия_Приложение 1-18 рус пост посл_прил4р_к 2 2" xfId="4760" xr:uid="{00000000-0005-0000-0000-0000B90B0000}"/>
    <cellStyle name="_Приложение 02 русс на 16.04.2009 г. 1 сессия_Приложение 1-18 рус пост посл_прил4р_к 3" xfId="4759" xr:uid="{00000000-0005-0000-0000-0000BA0B0000}"/>
    <cellStyle name="_Приложение 02 русс на 16.04.2009 г. 1 сессия_Приложение 1-18 рус пост посл_прил4р_к_Анализ" xfId="1333" xr:uid="{00000000-0005-0000-0000-0000BB0B0000}"/>
    <cellStyle name="_Приложение 02 русс на 16.04.2009 г. 1 сессия_Приложение 1-18 рус пост посл_прил4р_к_Анализ 2" xfId="4761" xr:uid="{00000000-0005-0000-0000-0000BC0B0000}"/>
    <cellStyle name="_Приложение 02 русс на 16.04.2009 г. 1 сессия_Приложение 1-18 рус пост посл_прил4р_к_Анализ 3.03.2011г." xfId="3026" xr:uid="{00000000-0005-0000-0000-0000BD0B0000}"/>
    <cellStyle name="_Приложение 02 русс на 16.04.2009 г. 1 сессия_Приложение 1-18 рус пост посл_прил4р_к_Анализ 6.03.2011г." xfId="3027" xr:uid="{00000000-0005-0000-0000-0000BE0B0000}"/>
    <cellStyle name="_Приложение 02 русс на 16.04.2009 г. 1 сессия_Приложение 1-18 рус пост посл_прил4р_к_Анализ 9.03.2011г." xfId="3028" xr:uid="{00000000-0005-0000-0000-0000BF0B0000}"/>
    <cellStyle name="_Приложение 02 русс на 16.04.2009 г. 1 сессия_Приложение 1-18 рус пост посл_прил4р_к_Анализ_Приложение_рус _2012-2014_29,30" xfId="1334" xr:uid="{00000000-0005-0000-0000-0000C00B0000}"/>
    <cellStyle name="_Приложение 02 русс на 16.04.2009 г. 1 сессия_Приложение 1-18 рус пост посл_прил4р_к_Анализ_Приложение_рус _2012-2014_29,30 2" xfId="4762" xr:uid="{00000000-0005-0000-0000-0000C10B0000}"/>
    <cellStyle name="_Приложение 02 русс на 16.04.2009 г. 1 сессия_Приложение 1-18 рус пост посл_прил4р_к_Пр 4     11.05.11. ИКС" xfId="1335" xr:uid="{00000000-0005-0000-0000-0000C20B0000}"/>
    <cellStyle name="_Приложение 02 русс на 16.04.2009 г. 1 сессия_Приложение 1-18 рус пост посл_прил4р_к_Пр 4     11.05.11. ИКС 2" xfId="4763" xr:uid="{00000000-0005-0000-0000-0000C30B0000}"/>
    <cellStyle name="_Приложение 02 русс на 16.04.2009 г. 1 сессия_Приложение 1-18 рус пост посл_прил4р_к_Пр 4     11.05.11. ИКС_Приложение_рус _2012-2014_29,30" xfId="1336" xr:uid="{00000000-0005-0000-0000-0000C40B0000}"/>
    <cellStyle name="_Приложение 02 русс на 16.04.2009 г. 1 сессия_Приложение 1-18 рус пост посл_прил4р_к_Пр 4     11.05.11. ИКС_Приложение_рус _2012-2014_29,30 2" xfId="4764" xr:uid="{00000000-0005-0000-0000-0000C50B0000}"/>
    <cellStyle name="_Приложение 02 русс на 16.04.2009 г. 1 сессия_Приложение 1-18 рус пост посл_прил4р_к_Приложение 4 русс,каз 16.03.11. посл" xfId="1337" xr:uid="{00000000-0005-0000-0000-0000C60B0000}"/>
    <cellStyle name="_Приложение 02 русс на 16.04.2009 г. 1 сессия_Приложение 1-18 рус пост посл_прил4р_к_Приложение 4 русс,каз 16.03.11. посл 2" xfId="4765" xr:uid="{00000000-0005-0000-0000-0000C70B0000}"/>
    <cellStyle name="_Приложение 02 русс на 16.04.2009 г. 1 сессия_Приложение 1-18 рус пост посл_прил4р_к_Приложение 4 русс,каз 16.03.11. посл_Приложение_рус _2012-2014_29,30" xfId="1338" xr:uid="{00000000-0005-0000-0000-0000C80B0000}"/>
    <cellStyle name="_Приложение 02 русс на 16.04.2009 г. 1 сессия_Приложение 1-18 рус пост посл_прил4р_к_Приложение 4 русс,каз 16.03.11. посл_Приложение_рус _2012-2014_29,30 2" xfId="4766" xr:uid="{00000000-0005-0000-0000-0000C90B0000}"/>
    <cellStyle name="_Приложение 02 русс на 16.04.2009 г. 1 сессия_Приложение 1-18 рус пост посл_прил4р_к_Приложение_пост_каз_авг" xfId="1339" xr:uid="{00000000-0005-0000-0000-0000CA0B0000}"/>
    <cellStyle name="_Приложение 02 русс на 16.04.2009 г. 1 сессия_Приложение 1-18 рус пост посл_прил4р_к_Приложение_пост_каз_авг 2" xfId="4767" xr:uid="{00000000-0005-0000-0000-0000CB0B0000}"/>
    <cellStyle name="_Приложение 02 русс на 16.04.2009 г. 1 сессия_Приложение 1-18 рус пост посл_прил4р_к_Приложение_пост_каз_авг_Анализ" xfId="1340" xr:uid="{00000000-0005-0000-0000-0000CC0B0000}"/>
    <cellStyle name="_Приложение 02 русс на 16.04.2009 г. 1 сессия_Приложение 1-18 рус пост посл_прил4р_к_Приложение_пост_каз_авг_Анализ 2" xfId="4768" xr:uid="{00000000-0005-0000-0000-0000CD0B0000}"/>
    <cellStyle name="_Приложение 02 русс на 16.04.2009 г. 1 сессия_Приложение 1-18 рус пост посл_прил4р_к_Приложение_пост_каз_авг_Анализ 3.03.2011г." xfId="3029" xr:uid="{00000000-0005-0000-0000-0000CE0B0000}"/>
    <cellStyle name="_Приложение 02 русс на 16.04.2009 г. 1 сессия_Приложение 1-18 рус пост посл_прил4р_к_Приложение_пост_каз_авг_Анализ 6.03.2011г." xfId="3030" xr:uid="{00000000-0005-0000-0000-0000CF0B0000}"/>
    <cellStyle name="_Приложение 02 русс на 16.04.2009 г. 1 сессия_Приложение 1-18 рус пост посл_прил4р_к_Приложение_пост_каз_авг_Анализ 9.03.2011г." xfId="3031" xr:uid="{00000000-0005-0000-0000-0000D00B0000}"/>
    <cellStyle name="_Приложение 02 русс на 16.04.2009 г. 1 сессия_Приложение 1-18 рус пост посл_прил4р_к_Приложение_пост_каз_авг_Анализ_Приложение_рус _2012-2014_29,30" xfId="1341" xr:uid="{00000000-0005-0000-0000-0000D10B0000}"/>
    <cellStyle name="_Приложение 02 русс на 16.04.2009 г. 1 сессия_Приложение 1-18 рус пост посл_прил4р_к_Приложение_пост_каз_авг_Анализ_Приложение_рус _2012-2014_29,30 2" xfId="4769" xr:uid="{00000000-0005-0000-0000-0000D20B0000}"/>
    <cellStyle name="_Приложение 02 русс на 16.04.2009 г. 1 сессия_Приложение 1-18 рус пост посл_прил4р_к_Приложение_пост_каз_авг_Пр 4     11.05.11. ИКС" xfId="1342" xr:uid="{00000000-0005-0000-0000-0000D30B0000}"/>
    <cellStyle name="_Приложение 02 русс на 16.04.2009 г. 1 сессия_Приложение 1-18 рус пост посл_прил4р_к_Приложение_пост_каз_авг_Пр 4     11.05.11. ИКС 2" xfId="4770" xr:uid="{00000000-0005-0000-0000-0000D40B0000}"/>
    <cellStyle name="_Приложение 02 русс на 16.04.2009 г. 1 сессия_Приложение 1-18 рус пост посл_прил4р_к_Приложение_пост_каз_авг_Пр 4     11.05.11. ИКС_Приложение_рус _2012-2014_29,30" xfId="1343" xr:uid="{00000000-0005-0000-0000-0000D50B0000}"/>
    <cellStyle name="_Приложение 02 русс на 16.04.2009 г. 1 сессия_Приложение 1-18 рус пост посл_прил4р_к_Приложение_пост_каз_авг_Пр 4     11.05.11. ИКС_Приложение_рус _2012-2014_29,30 2" xfId="4771" xr:uid="{00000000-0005-0000-0000-0000D60B0000}"/>
    <cellStyle name="_Приложение 02 русс на 16.04.2009 г. 1 сессия_Приложение 1-18 рус пост посл_прил4р_к_Приложение_пост_каз_авг_Приложение 4 русс,каз 16.03.11. посл" xfId="1344" xr:uid="{00000000-0005-0000-0000-0000D70B0000}"/>
    <cellStyle name="_Приложение 02 русс на 16.04.2009 г. 1 сессия_Приложение 1-18 рус пост посл_прил4р_к_Приложение_пост_каз_авг_Приложение 4 русс,каз 16.03.11. посл 2" xfId="4772" xr:uid="{00000000-0005-0000-0000-0000D80B0000}"/>
    <cellStyle name="_Приложение 02 русс на 16.04.2009 г. 1 сессия_Приложение 1-18 рус пост посл_прил4р_к_Приложение_пост_каз_авг_Приложение 4 русс,каз 16.03.11. посл_Приложение_рус _2012-2014_29,30" xfId="1345" xr:uid="{00000000-0005-0000-0000-0000D90B0000}"/>
    <cellStyle name="_Приложение 02 русс на 16.04.2009 г. 1 сессия_Приложение 1-18 рус пост посл_прил4р_к_Приложение_пост_каз_авг_Приложение 4 русс,каз 16.03.11. посл_Приложение_рус _2012-2014_29,30 2" xfId="4773" xr:uid="{00000000-0005-0000-0000-0000DA0B0000}"/>
    <cellStyle name="_Приложение 02 русс на 16.04.2009 г. 1 сессия_Приложение 1-18 рус пост посл_прил4р_к_Приложение_пост_каз_авг_Приложение_реал_рус 2011-2013 Уточнение" xfId="1346" xr:uid="{00000000-0005-0000-0000-0000DB0B0000}"/>
    <cellStyle name="_Приложение 02 русс на 16.04.2009 г. 1 сессия_Приложение 1-18 рус пост посл_прил4р_к_Приложение_пост_каз_авг_Приложение_реал_рус 2011-2013 Уточнение 2" xfId="4774" xr:uid="{00000000-0005-0000-0000-0000DC0B0000}"/>
    <cellStyle name="_Приложение 02 русс на 16.04.2009 г. 1 сессия_Приложение 1-18 рус пост посл_прил4р_к_Приложение_пост_каз_авг_Приложение_реал_рус 2011-2013 Уточнение_Приложение_рус _2012-2014_29,30" xfId="1347" xr:uid="{00000000-0005-0000-0000-0000DD0B0000}"/>
    <cellStyle name="_Приложение 02 русс на 16.04.2009 г. 1 сессия_Приложение 1-18 рус пост посл_прил4р_к_Приложение_пост_каз_авг_Приложение_реал_рус 2011-2013 Уточнение_Приложение_рус _2012-2014_29,30 2" xfId="4775" xr:uid="{00000000-0005-0000-0000-0000DE0B0000}"/>
    <cellStyle name="_Приложение 02 русс на 16.04.2009 г. 1 сессия_Приложение 1-18 рус пост посл_прил4р_к_Приложение_пост_каз_авг_Приложение_рус _2012-2014_29,30" xfId="1348" xr:uid="{00000000-0005-0000-0000-0000DF0B0000}"/>
    <cellStyle name="_Приложение 02 русс на 16.04.2009 г. 1 сессия_Приложение 1-18 рус пост посл_прил4р_к_Приложение_пост_каз_авг_Приложение_рус _2012-2014_29,30 2" xfId="4776" xr:uid="{00000000-0005-0000-0000-0000E00B0000}"/>
    <cellStyle name="_Приложение 02 русс на 16.04.2009 г. 1 сессия_Приложение 1-18 рус пост посл_прил4р_к_Приложение_пост_каз_авг_приложения 2012 рус" xfId="1349" xr:uid="{00000000-0005-0000-0000-0000E10B0000}"/>
    <cellStyle name="_Приложение 02 русс на 16.04.2009 г. 1 сессия_Приложение 1-18 рус пост посл_прил4р_к_Приложение_пост_каз_авг_приложения 2012 рус 2" xfId="4777" xr:uid="{00000000-0005-0000-0000-0000E20B0000}"/>
    <cellStyle name="_Приложение 02 русс на 16.04.2009 г. 1 сессия_Приложение 1-18 рус пост посл_прил4р_к_Приложение_пост_рус_авг" xfId="1350" xr:uid="{00000000-0005-0000-0000-0000E30B0000}"/>
    <cellStyle name="_Приложение 02 русс на 16.04.2009 г. 1 сессия_Приложение 1-18 рус пост посл_прил4р_к_Приложение_пост_рус_авг 2" xfId="4778" xr:uid="{00000000-0005-0000-0000-0000E40B0000}"/>
    <cellStyle name="_Приложение 02 русс на 16.04.2009 г. 1 сессия_Приложение 1-18 рус пост посл_прил4р_к_Приложение_пост_рус_авг_Анализ" xfId="1351" xr:uid="{00000000-0005-0000-0000-0000E50B0000}"/>
    <cellStyle name="_Приложение 02 русс на 16.04.2009 г. 1 сессия_Приложение 1-18 рус пост посл_прил4р_к_Приложение_пост_рус_авг_Анализ 2" xfId="4779" xr:uid="{00000000-0005-0000-0000-0000E60B0000}"/>
    <cellStyle name="_Приложение 02 русс на 16.04.2009 г. 1 сессия_Приложение 1-18 рус пост посл_прил4р_к_Приложение_пост_рус_авг_Анализ 3.03.2011г." xfId="3032" xr:uid="{00000000-0005-0000-0000-0000E70B0000}"/>
    <cellStyle name="_Приложение 02 русс на 16.04.2009 г. 1 сессия_Приложение 1-18 рус пост посл_прил4р_к_Приложение_пост_рус_авг_Анализ 6.03.2011г." xfId="3033" xr:uid="{00000000-0005-0000-0000-0000E80B0000}"/>
    <cellStyle name="_Приложение 02 русс на 16.04.2009 г. 1 сессия_Приложение 1-18 рус пост посл_прил4р_к_Приложение_пост_рус_авг_Анализ 9.03.2011г." xfId="3034" xr:uid="{00000000-0005-0000-0000-0000E90B0000}"/>
    <cellStyle name="_Приложение 02 русс на 16.04.2009 г. 1 сессия_Приложение 1-18 рус пост посл_прил4р_к_Приложение_пост_рус_авг_Анализ_Приложение_рус _2012-2014_29,30" xfId="1352" xr:uid="{00000000-0005-0000-0000-0000EA0B0000}"/>
    <cellStyle name="_Приложение 02 русс на 16.04.2009 г. 1 сессия_Приложение 1-18 рус пост посл_прил4р_к_Приложение_пост_рус_авг_Анализ_Приложение_рус _2012-2014_29,30 2" xfId="4780" xr:uid="{00000000-0005-0000-0000-0000EB0B0000}"/>
    <cellStyle name="_Приложение 02 русс на 16.04.2009 г. 1 сессия_Приложение 1-18 рус пост посл_прил4р_к_Приложение_пост_рус_авг_Пр 4     11.05.11. ИКС" xfId="1353" xr:uid="{00000000-0005-0000-0000-0000EC0B0000}"/>
    <cellStyle name="_Приложение 02 русс на 16.04.2009 г. 1 сессия_Приложение 1-18 рус пост посл_прил4р_к_Приложение_пост_рус_авг_Пр 4     11.05.11. ИКС 2" xfId="4781" xr:uid="{00000000-0005-0000-0000-0000ED0B0000}"/>
    <cellStyle name="_Приложение 02 русс на 16.04.2009 г. 1 сессия_Приложение 1-18 рус пост посл_прил4р_к_Приложение_пост_рус_авг_Пр 4     11.05.11. ИКС_Приложение_рус _2012-2014_29,30" xfId="1354" xr:uid="{00000000-0005-0000-0000-0000EE0B0000}"/>
    <cellStyle name="_Приложение 02 русс на 16.04.2009 г. 1 сессия_Приложение 1-18 рус пост посл_прил4р_к_Приложение_пост_рус_авг_Пр 4     11.05.11. ИКС_Приложение_рус _2012-2014_29,30 2" xfId="4782" xr:uid="{00000000-0005-0000-0000-0000EF0B0000}"/>
    <cellStyle name="_Приложение 02 русс на 16.04.2009 г. 1 сессия_Приложение 1-18 рус пост посл_прил4р_к_Приложение_пост_рус_авг_Приложение 4 русс,каз 16.03.11. посл" xfId="1355" xr:uid="{00000000-0005-0000-0000-0000F00B0000}"/>
    <cellStyle name="_Приложение 02 русс на 16.04.2009 г. 1 сессия_Приложение 1-18 рус пост посл_прил4р_к_Приложение_пост_рус_авг_Приложение 4 русс,каз 16.03.11. посл 2" xfId="4783" xr:uid="{00000000-0005-0000-0000-0000F10B0000}"/>
    <cellStyle name="_Приложение 02 русс на 16.04.2009 г. 1 сессия_Приложение 1-18 рус пост посл_прил4р_к_Приложение_пост_рус_авг_Приложение 4 русс,каз 16.03.11. посл_Приложение_рус _2012-2014_29,30" xfId="1356" xr:uid="{00000000-0005-0000-0000-0000F20B0000}"/>
    <cellStyle name="_Приложение 02 русс на 16.04.2009 г. 1 сессия_Приложение 1-18 рус пост посл_прил4р_к_Приложение_пост_рус_авг_Приложение 4 русс,каз 16.03.11. посл_Приложение_рус _2012-2014_29,30 2" xfId="4784" xr:uid="{00000000-0005-0000-0000-0000F30B0000}"/>
    <cellStyle name="_Приложение 02 русс на 16.04.2009 г. 1 сессия_Приложение 1-18 рус пост посл_прил4р_к_Приложение_пост_рус_авг_Приложение_реал_рус 2011-2013 Уточнение" xfId="1357" xr:uid="{00000000-0005-0000-0000-0000F40B0000}"/>
    <cellStyle name="_Приложение 02 русс на 16.04.2009 г. 1 сессия_Приложение 1-18 рус пост посл_прил4р_к_Приложение_пост_рус_авг_Приложение_реал_рус 2011-2013 Уточнение 2" xfId="4785" xr:uid="{00000000-0005-0000-0000-0000F50B0000}"/>
    <cellStyle name="_Приложение 02 русс на 16.04.2009 г. 1 сессия_Приложение 1-18 рус пост посл_прил4р_к_Приложение_пост_рус_авг_Приложение_реал_рус 2011-2013 Уточнение_Приложение_рус _2012-2014_29,30" xfId="1358" xr:uid="{00000000-0005-0000-0000-0000F60B0000}"/>
    <cellStyle name="_Приложение 02 русс на 16.04.2009 г. 1 сессия_Приложение 1-18 рус пост посл_прил4р_к_Приложение_пост_рус_авг_Приложение_реал_рус 2011-2013 Уточнение_Приложение_рус _2012-2014_29,30 2" xfId="4786" xr:uid="{00000000-0005-0000-0000-0000F70B0000}"/>
    <cellStyle name="_Приложение 02 русс на 16.04.2009 г. 1 сессия_Приложение 1-18 рус пост посл_прил4р_к_Приложение_пост_рус_авг_Приложение_рус _2012-2014_29,30" xfId="1359" xr:uid="{00000000-0005-0000-0000-0000F80B0000}"/>
    <cellStyle name="_Приложение 02 русс на 16.04.2009 г. 1 сессия_Приложение 1-18 рус пост посл_прил4р_к_Приложение_пост_рус_авг_Приложение_рус _2012-2014_29,30 2" xfId="4787" xr:uid="{00000000-0005-0000-0000-0000F90B0000}"/>
    <cellStyle name="_Приложение 02 русс на 16.04.2009 г. 1 сессия_Приложение 1-18 рус пост посл_прил4р_к_Приложение_пост_рус_авг_приложения 2012 рус" xfId="1360" xr:uid="{00000000-0005-0000-0000-0000FA0B0000}"/>
    <cellStyle name="_Приложение 02 русс на 16.04.2009 г. 1 сессия_Приложение 1-18 рус пост посл_прил4р_к_Приложение_пост_рус_авг_приложения 2012 рус 2" xfId="4788" xr:uid="{00000000-0005-0000-0000-0000FB0B0000}"/>
    <cellStyle name="_Приложение 02 русс на 16.04.2009 г. 1 сессия_Приложение 1-18 рус пост посл_прил4р_к_Приложение_реал_рус 2011-2013 Уточнение" xfId="1361" xr:uid="{00000000-0005-0000-0000-0000FC0B0000}"/>
    <cellStyle name="_Приложение 02 русс на 16.04.2009 г. 1 сессия_Приложение 1-18 рус пост посл_прил4р_к_Приложение_реал_рус 2011-2013 Уточнение 2" xfId="4789" xr:uid="{00000000-0005-0000-0000-0000FD0B0000}"/>
    <cellStyle name="_Приложение 02 русс на 16.04.2009 г. 1 сессия_Приложение 1-18 рус пост посл_прил4р_к_Приложение_реал_рус 2011-2013 Уточнение_Приложение_рус _2012-2014_29,30" xfId="1362" xr:uid="{00000000-0005-0000-0000-0000FE0B0000}"/>
    <cellStyle name="_Приложение 02 русс на 16.04.2009 г. 1 сессия_Приложение 1-18 рус пост посл_прил4р_к_Приложение_реал_рус 2011-2013 Уточнение_Приложение_рус _2012-2014_29,30 2" xfId="4790" xr:uid="{00000000-0005-0000-0000-0000FF0B0000}"/>
    <cellStyle name="_Приложение 02 русс на 16.04.2009 г. 1 сессия_Приложение 1-18 рус пост посл_прил4р_к_Приложение_рус _2012-2014_29,30" xfId="1363" xr:uid="{00000000-0005-0000-0000-0000000C0000}"/>
    <cellStyle name="_Приложение 02 русс на 16.04.2009 г. 1 сессия_Приложение 1-18 рус пост посл_прил4р_к_Приложение_рус _2012-2014_29,30 2" xfId="4791" xr:uid="{00000000-0005-0000-0000-0000010C0000}"/>
    <cellStyle name="_Приложение 02 русс на 16.04.2009 г. 1 сессия_Приложение 1-18 рус пост посл_прил4р_к_приложения 2012 рус" xfId="1364" xr:uid="{00000000-0005-0000-0000-0000020C0000}"/>
    <cellStyle name="_Приложение 02 русс на 16.04.2009 г. 1 сессия_Приложение 1-18 рус пост посл_прил4р_к_приложения 2012 рус 2" xfId="4792" xr:uid="{00000000-0005-0000-0000-0000030C0000}"/>
    <cellStyle name="_Приложение 02 русс на 16.04.2009 г. 1 сессия_Приложение 1-18 рус пост посл_Прилож.к бюдж 2010г." xfId="1365" xr:uid="{00000000-0005-0000-0000-0000040C0000}"/>
    <cellStyle name="_Приложение 02 русс на 16.04.2009 г. 1 сессия_Приложение 1-18 рус пост посл_Прилож.к бюдж 2010г. 2" xfId="4793" xr:uid="{00000000-0005-0000-0000-0000050C0000}"/>
    <cellStyle name="_Приложение 02 русс на 16.04.2009 г. 1 сессия_Приложение 1-18 рус пост посл_Прилож.к бюдж 2010г._Анализ" xfId="1366" xr:uid="{00000000-0005-0000-0000-0000060C0000}"/>
    <cellStyle name="_Приложение 02 русс на 16.04.2009 г. 1 сессия_Приложение 1-18 рус пост посл_Прилож.к бюдж 2010г._Анализ 2" xfId="4794" xr:uid="{00000000-0005-0000-0000-0000070C0000}"/>
    <cellStyle name="_Приложение 02 русс на 16.04.2009 г. 1 сессия_Приложение 1-18 рус пост посл_Прилож.к бюдж 2010г._Анализ 3.03.2011г." xfId="3035" xr:uid="{00000000-0005-0000-0000-0000080C0000}"/>
    <cellStyle name="_Приложение 02 русс на 16.04.2009 г. 1 сессия_Приложение 1-18 рус пост посл_Прилож.к бюдж 2010г._Анализ 6.03.2011г." xfId="3036" xr:uid="{00000000-0005-0000-0000-0000090C0000}"/>
    <cellStyle name="_Приложение 02 русс на 16.04.2009 г. 1 сессия_Приложение 1-18 рус пост посл_Прилож.к бюдж 2010г._Анализ 9.03.2011г." xfId="3037" xr:uid="{00000000-0005-0000-0000-00000A0C0000}"/>
    <cellStyle name="_Приложение 02 русс на 16.04.2009 г. 1 сессия_Приложение 1-18 рус пост посл_Прилож.к бюдж 2010г._Анализ_Приложение_рус _2012-2014_29,30" xfId="1367" xr:uid="{00000000-0005-0000-0000-00000B0C0000}"/>
    <cellStyle name="_Приложение 02 русс на 16.04.2009 г. 1 сессия_Приложение 1-18 рус пост посл_Прилож.к бюдж 2010г._Анализ_Приложение_рус _2012-2014_29,30 2" xfId="4795" xr:uid="{00000000-0005-0000-0000-00000C0C0000}"/>
    <cellStyle name="_Приложение 02 русс на 16.04.2009 г. 1 сессия_Приложение 1-18 рус пост посл_Прилож.к бюдж 2010г._Копия Приложение_2010-2012 рус март" xfId="1368" xr:uid="{00000000-0005-0000-0000-00000D0C0000}"/>
    <cellStyle name="_Приложение 02 русс на 16.04.2009 г. 1 сессия_Приложение 1-18 рус пост посл_Прилож.к бюдж 2010г._Копия Приложение_2010-2012 рус март 2" xfId="4796" xr:uid="{00000000-0005-0000-0000-00000E0C0000}"/>
    <cellStyle name="_Приложение 02 русс на 16.04.2009 г. 1 сессия_Приложение 1-18 рус пост посл_Прилож.к бюдж 2010г._Копия Приложение_2010-2012 рус март_Анализ" xfId="1369" xr:uid="{00000000-0005-0000-0000-00000F0C0000}"/>
    <cellStyle name="_Приложение 02 русс на 16.04.2009 г. 1 сессия_Приложение 1-18 рус пост посл_Прилож.к бюдж 2010г._Копия Приложение_2010-2012 рус март_Анализ 2" xfId="4797" xr:uid="{00000000-0005-0000-0000-0000100C0000}"/>
    <cellStyle name="_Приложение 02 русс на 16.04.2009 г. 1 сессия_Приложение 1-18 рус пост посл_Прилож.к бюдж 2010г._Копия Приложение_2010-2012 рус март_Анализ 3.03.2011г." xfId="3038" xr:uid="{00000000-0005-0000-0000-0000110C0000}"/>
    <cellStyle name="_Приложение 02 русс на 16.04.2009 г. 1 сессия_Приложение 1-18 рус пост посл_Прилож.к бюдж 2010г._Копия Приложение_2010-2012 рус март_Анализ 6.03.2011г." xfId="3039" xr:uid="{00000000-0005-0000-0000-0000120C0000}"/>
    <cellStyle name="_Приложение 02 русс на 16.04.2009 г. 1 сессия_Приложение 1-18 рус пост посл_Прилож.к бюдж 2010г._Копия Приложение_2010-2012 рус март_Анализ 9.03.2011г." xfId="3040" xr:uid="{00000000-0005-0000-0000-0000130C0000}"/>
    <cellStyle name="_Приложение 02 русс на 16.04.2009 г. 1 сессия_Приложение 1-18 рус пост посл_Прилож.к бюдж 2010г._Копия Приложение_2010-2012 рус март_Анализ_Приложение_рус _2012-2014_29,30" xfId="1370" xr:uid="{00000000-0005-0000-0000-0000140C0000}"/>
    <cellStyle name="_Приложение 02 русс на 16.04.2009 г. 1 сессия_Приложение 1-18 рус пост посл_Прилож.к бюдж 2010г._Копия Приложение_2010-2012 рус март_Анализ_Приложение_рус _2012-2014_29,30 2" xfId="4798" xr:uid="{00000000-0005-0000-0000-0000150C0000}"/>
    <cellStyle name="_Приложение 02 русс на 16.04.2009 г. 1 сессия_Приложение 1-18 рус пост посл_Прилож.к бюдж 2010г._Копия Приложение_2010-2012 рус март_Пр 4     11.05.11. ИКС" xfId="1371" xr:uid="{00000000-0005-0000-0000-0000160C0000}"/>
    <cellStyle name="_Приложение 02 русс на 16.04.2009 г. 1 сессия_Приложение 1-18 рус пост посл_Прилож.к бюдж 2010г._Копия Приложение_2010-2012 рус март_Пр 4     11.05.11. ИКС 2" xfId="4799" xr:uid="{00000000-0005-0000-0000-0000170C0000}"/>
    <cellStyle name="_Приложение 02 русс на 16.04.2009 г. 1 сессия_Приложение 1-18 рус пост посл_Прилож.к бюдж 2010г._Копия Приложение_2010-2012 рус март_Пр 4     11.05.11. ИКС_Приложение_рус _2012-2014_29,30" xfId="1372" xr:uid="{00000000-0005-0000-0000-0000180C0000}"/>
    <cellStyle name="_Приложение 02 русс на 16.04.2009 г. 1 сессия_Приложение 1-18 рус пост посл_Прилож.к бюдж 2010г._Копия Приложение_2010-2012 рус март_Пр 4     11.05.11. ИКС_Приложение_рус _2012-2014_29,30 2" xfId="4800" xr:uid="{00000000-0005-0000-0000-0000190C0000}"/>
    <cellStyle name="_Приложение 02 русс на 16.04.2009 г. 1 сессия_Приложение 1-18 рус пост посл_Прилож.к бюдж 2010г._Копия Приложение_2010-2012 рус март_Приложение 4 русс,каз 16.03.11. посл" xfId="1373" xr:uid="{00000000-0005-0000-0000-00001A0C0000}"/>
    <cellStyle name="_Приложение 02 русс на 16.04.2009 г. 1 сессия_Приложение 1-18 рус пост посл_Прилож.к бюдж 2010г._Копия Приложение_2010-2012 рус март_Приложение 4 русс,каз 16.03.11. посл 2" xfId="4801" xr:uid="{00000000-0005-0000-0000-00001B0C0000}"/>
    <cellStyle name="_Приложение 02 русс на 16.04.2009 г. 1 сессия_Приложение 1-18 рус пост посл_Прилож.к бюдж 2010г._Копия Приложение_2010-2012 рус март_Приложение 4 русс,каз 16.03.11. посл_Приложение_рус _2012-2014_29,30" xfId="1374" xr:uid="{00000000-0005-0000-0000-00001C0C0000}"/>
    <cellStyle name="_Приложение 02 русс на 16.04.2009 г. 1 сессия_Приложение 1-18 рус пост посл_Прилож.к бюдж 2010г._Копия Приложение_2010-2012 рус март_Приложение 4 русс,каз 16.03.11. посл_Приложение_рус _2012-2014_29,30 2" xfId="4802" xr:uid="{00000000-0005-0000-0000-00001D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" xfId="1375" xr:uid="{00000000-0005-0000-0000-00001E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 2" xfId="4803" xr:uid="{00000000-0005-0000-0000-00001F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" xfId="1376" xr:uid="{00000000-0005-0000-0000-000020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 2" xfId="4804" xr:uid="{00000000-0005-0000-0000-000021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 3.03.2011г." xfId="3041" xr:uid="{00000000-0005-0000-0000-000022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 6.03.2011г." xfId="3042" xr:uid="{00000000-0005-0000-0000-000023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 9.03.2011г." xfId="3043" xr:uid="{00000000-0005-0000-0000-000024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_Приложение_рус _2012-2014_29,30" xfId="1377" xr:uid="{00000000-0005-0000-0000-000025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_Приложение_рус _2012-2014_29,30 2" xfId="4805" xr:uid="{00000000-0005-0000-0000-000026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 4     11.05.11. ИКС" xfId="1378" xr:uid="{00000000-0005-0000-0000-000027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 4     11.05.11. ИКС 2" xfId="4806" xr:uid="{00000000-0005-0000-0000-000028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 4     11.05.11. ИКС_Приложение_рус _2012-2014_29,30" xfId="1379" xr:uid="{00000000-0005-0000-0000-000029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 4     11.05.11. ИКС_Приложение_рус _2012-2014_29,30 2" xfId="4807" xr:uid="{00000000-0005-0000-0000-00002A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 4 русс,каз 16.03.11. посл" xfId="1380" xr:uid="{00000000-0005-0000-0000-00002B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 4 русс,каз 16.03.11. посл 2" xfId="4808" xr:uid="{00000000-0005-0000-0000-00002C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 4 русс,каз 16.03.11. посл_Приложение_рус _2012-2014_29,30" xfId="1381" xr:uid="{00000000-0005-0000-0000-00002D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 4 русс,каз 16.03.11. посл_Приложение_рус _2012-2014_29,30 2" xfId="4809" xr:uid="{00000000-0005-0000-0000-00002E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еал_рус 2011-2013 Уточнение" xfId="1382" xr:uid="{00000000-0005-0000-0000-00002F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еал_рус 2011-2013 Уточнение 2" xfId="4810" xr:uid="{00000000-0005-0000-0000-000030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еал_рус 2011-2013 Уточнение_Приложение_рус _2012-2014_29,30" xfId="1383" xr:uid="{00000000-0005-0000-0000-000031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еал_рус 2011-2013 Уточнение_Приложение_рус _2012-2014_29,30 2" xfId="4811" xr:uid="{00000000-0005-0000-0000-000032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ус _2012-2014_29,30" xfId="1384" xr:uid="{00000000-0005-0000-0000-000033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ус _2012-2014_29,30 2" xfId="4812" xr:uid="{00000000-0005-0000-0000-000034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я 2012 рус" xfId="1385" xr:uid="{00000000-0005-0000-0000-0000350C0000}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я 2012 рус 2" xfId="4813" xr:uid="{00000000-0005-0000-0000-000036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" xfId="1386" xr:uid="{00000000-0005-0000-0000-000037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 2" xfId="4814" xr:uid="{00000000-0005-0000-0000-000038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" xfId="1387" xr:uid="{00000000-0005-0000-0000-000039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 2" xfId="4815" xr:uid="{00000000-0005-0000-0000-00003A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 3.03.2011г." xfId="3044" xr:uid="{00000000-0005-0000-0000-00003B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 6.03.2011г." xfId="3045" xr:uid="{00000000-0005-0000-0000-00003C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 9.03.2011г." xfId="3046" xr:uid="{00000000-0005-0000-0000-00003D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_Приложение_рус _2012-2014_29,30" xfId="1388" xr:uid="{00000000-0005-0000-0000-00003E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_Приложение_рус _2012-2014_29,30 2" xfId="4816" xr:uid="{00000000-0005-0000-0000-00003F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 4     11.05.11. ИКС" xfId="1389" xr:uid="{00000000-0005-0000-0000-000040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 4     11.05.11. ИКС 2" xfId="4817" xr:uid="{00000000-0005-0000-0000-000041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 4     11.05.11. ИКС_Приложение_рус _2012-2014_29,30" xfId="1390" xr:uid="{00000000-0005-0000-0000-000042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 4     11.05.11. ИКС_Приложение_рус _2012-2014_29,30 2" xfId="4818" xr:uid="{00000000-0005-0000-0000-000043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 4 русс,каз 16.03.11. посл" xfId="1391" xr:uid="{00000000-0005-0000-0000-000044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 4 русс,каз 16.03.11. посл 2" xfId="4819" xr:uid="{00000000-0005-0000-0000-000045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 4 русс,каз 16.03.11. посл_Приложение_рус _2012-2014_29,30" xfId="1392" xr:uid="{00000000-0005-0000-0000-000046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 4 русс,каз 16.03.11. посл_Приложение_рус _2012-2014_29,30 2" xfId="4820" xr:uid="{00000000-0005-0000-0000-000047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еал_рус 2011-2013 Уточнение" xfId="1393" xr:uid="{00000000-0005-0000-0000-000048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еал_рус 2011-2013 Уточнение 2" xfId="4821" xr:uid="{00000000-0005-0000-0000-000049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еал_рус 2011-2013 Уточнение_Приложение_рус _2012-2014_29,30" xfId="1394" xr:uid="{00000000-0005-0000-0000-00004A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еал_рус 2011-2013 Уточнение_Приложение_рус _2012-2014_29,30 2" xfId="4822" xr:uid="{00000000-0005-0000-0000-00004B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ус _2012-2014_29,30" xfId="1395" xr:uid="{00000000-0005-0000-0000-00004C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ус _2012-2014_29,30 2" xfId="4823" xr:uid="{00000000-0005-0000-0000-00004D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я 2012 рус" xfId="1396" xr:uid="{00000000-0005-0000-0000-00004E0C0000}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я 2012 рус 2" xfId="4824" xr:uid="{00000000-0005-0000-0000-00004F0C0000}"/>
    <cellStyle name="_Приложение 02 русс на 16.04.2009 г. 1 сессия_Приложение 1-18 рус пост посл_Прилож.к бюдж 2010г._Копия Приложение_2010-2012 рус март_Приложение_реал_рус 2011-2013 Уточнение" xfId="1397" xr:uid="{00000000-0005-0000-0000-0000500C0000}"/>
    <cellStyle name="_Приложение 02 русс на 16.04.2009 г. 1 сессия_Приложение 1-18 рус пост посл_Прилож.к бюдж 2010г._Копия Приложение_2010-2012 рус март_Приложение_реал_рус 2011-2013 Уточнение 2" xfId="4825" xr:uid="{00000000-0005-0000-0000-0000510C0000}"/>
    <cellStyle name="_Приложение 02 русс на 16.04.2009 г. 1 сессия_Приложение 1-18 рус пост посл_Прилож.к бюдж 2010г._Копия Приложение_2010-2012 рус март_Приложение_реал_рус 2011-2013 Уточнение_Приложение_рус _2012-2014_29,30" xfId="1398" xr:uid="{00000000-0005-0000-0000-0000520C0000}"/>
    <cellStyle name="_Приложение 02 русс на 16.04.2009 г. 1 сессия_Приложение 1-18 рус пост посл_Прилож.к бюдж 2010г._Копия Приложение_2010-2012 рус март_Приложение_реал_рус 2011-2013 Уточнение_Приложение_рус _2012-2014_29,30 2" xfId="4826" xr:uid="{00000000-0005-0000-0000-0000530C0000}"/>
    <cellStyle name="_Приложение 02 русс на 16.04.2009 г. 1 сессия_Приложение 1-18 рус пост посл_Прилож.к бюдж 2010г._Копия Приложение_2010-2012 рус март_Приложение_рус _2012-2014_29,30" xfId="1399" xr:uid="{00000000-0005-0000-0000-0000540C0000}"/>
    <cellStyle name="_Приложение 02 русс на 16.04.2009 г. 1 сессия_Приложение 1-18 рус пост посл_Прилож.к бюдж 2010г._Копия Приложение_2010-2012 рус март_Приложение_рус _2012-2014_29,30 2" xfId="4827" xr:uid="{00000000-0005-0000-0000-0000550C0000}"/>
    <cellStyle name="_Приложение 02 русс на 16.04.2009 г. 1 сессия_Приложение 1-18 рус пост посл_Прилож.к бюдж 2010г._Копия Приложение_2010-2012 рус март_приложения 2012 рус" xfId="1400" xr:uid="{00000000-0005-0000-0000-0000560C0000}"/>
    <cellStyle name="_Приложение 02 русс на 16.04.2009 г. 1 сессия_Приложение 1-18 рус пост посл_Прилож.к бюдж 2010г._Копия Приложение_2010-2012 рус март_приложения 2012 рус 2" xfId="4828" xr:uid="{00000000-0005-0000-0000-0000570C0000}"/>
    <cellStyle name="_Приложение 02 русс на 16.04.2009 г. 1 сессия_Приложение 1-18 рус пост посл_Прилож.к бюдж 2010г._Пр 4     11.05.11. ИКС" xfId="1401" xr:uid="{00000000-0005-0000-0000-0000580C0000}"/>
    <cellStyle name="_Приложение 02 русс на 16.04.2009 г. 1 сессия_Приложение 1-18 рус пост посл_Прилож.к бюдж 2010г._Пр 4     11.05.11. ИКС 2" xfId="4829" xr:uid="{00000000-0005-0000-0000-0000590C0000}"/>
    <cellStyle name="_Приложение 02 русс на 16.04.2009 г. 1 сессия_Приложение 1-18 рус пост посл_Прилож.к бюдж 2010г._Пр 4     11.05.11. ИКС_Приложение_рус _2012-2014_29,30" xfId="1402" xr:uid="{00000000-0005-0000-0000-00005A0C0000}"/>
    <cellStyle name="_Приложение 02 русс на 16.04.2009 г. 1 сессия_Приложение 1-18 рус пост посл_Прилож.к бюдж 2010г._Пр 4     11.05.11. ИКС_Приложение_рус _2012-2014_29,30 2" xfId="4830" xr:uid="{00000000-0005-0000-0000-00005B0C0000}"/>
    <cellStyle name="_Приложение 02 русс на 16.04.2009 г. 1 сессия_Приложение 1-18 рус пост посл_Прилож.к бюдж 2010г._прил4р_к" xfId="1403" xr:uid="{00000000-0005-0000-0000-00005C0C0000}"/>
    <cellStyle name="_Приложение 02 русс на 16.04.2009 г. 1 сессия_Приложение 1-18 рус пост посл_Прилож.к бюдж 2010г._прил4р_к 2" xfId="1404" xr:uid="{00000000-0005-0000-0000-00005D0C0000}"/>
    <cellStyle name="_Приложение 02 русс на 16.04.2009 г. 1 сессия_Приложение 1-18 рус пост посл_Прилож.к бюдж 2010г._прил4р_к 2 2" xfId="4832" xr:uid="{00000000-0005-0000-0000-00005E0C0000}"/>
    <cellStyle name="_Приложение 02 русс на 16.04.2009 г. 1 сессия_Приложение 1-18 рус пост посл_Прилож.к бюдж 2010г._прил4р_к 3" xfId="4831" xr:uid="{00000000-0005-0000-0000-00005F0C0000}"/>
    <cellStyle name="_Приложение 02 русс на 16.04.2009 г. 1 сессия_Приложение 1-18 рус пост посл_Прилож.к бюдж 2010г._прил4р_к_Анализ" xfId="1405" xr:uid="{00000000-0005-0000-0000-0000600C0000}"/>
    <cellStyle name="_Приложение 02 русс на 16.04.2009 г. 1 сессия_Приложение 1-18 рус пост посл_Прилож.к бюдж 2010г._прил4р_к_Анализ 2" xfId="4833" xr:uid="{00000000-0005-0000-0000-0000610C0000}"/>
    <cellStyle name="_Приложение 02 русс на 16.04.2009 г. 1 сессия_Приложение 1-18 рус пост посл_Прилож.к бюдж 2010г._прил4р_к_Анализ 3.03.2011г." xfId="3047" xr:uid="{00000000-0005-0000-0000-0000620C0000}"/>
    <cellStyle name="_Приложение 02 русс на 16.04.2009 г. 1 сессия_Приложение 1-18 рус пост посл_Прилож.к бюдж 2010г._прил4р_к_Анализ 6.03.2011г." xfId="3048" xr:uid="{00000000-0005-0000-0000-0000630C0000}"/>
    <cellStyle name="_Приложение 02 русс на 16.04.2009 г. 1 сессия_Приложение 1-18 рус пост посл_Прилож.к бюдж 2010г._прил4р_к_Анализ 9.03.2011г." xfId="3049" xr:uid="{00000000-0005-0000-0000-0000640C0000}"/>
    <cellStyle name="_Приложение 02 русс на 16.04.2009 г. 1 сессия_Приложение 1-18 рус пост посл_Прилож.к бюдж 2010г._прил4р_к_Анализ_Приложение_рус _2012-2014_29,30" xfId="1406" xr:uid="{00000000-0005-0000-0000-0000650C0000}"/>
    <cellStyle name="_Приложение 02 русс на 16.04.2009 г. 1 сессия_Приложение 1-18 рус пост посл_Прилож.к бюдж 2010г._прил4р_к_Анализ_Приложение_рус _2012-2014_29,30 2" xfId="4834" xr:uid="{00000000-0005-0000-0000-0000660C0000}"/>
    <cellStyle name="_Приложение 02 русс на 16.04.2009 г. 1 сессия_Приложение 1-18 рус пост посл_Прилож.к бюдж 2010г._прил4р_к_Пр 4     11.05.11. ИКС" xfId="1407" xr:uid="{00000000-0005-0000-0000-0000670C0000}"/>
    <cellStyle name="_Приложение 02 русс на 16.04.2009 г. 1 сессия_Приложение 1-18 рус пост посл_Прилож.к бюдж 2010г._прил4р_к_Пр 4     11.05.11. ИКС 2" xfId="4835" xr:uid="{00000000-0005-0000-0000-0000680C0000}"/>
    <cellStyle name="_Приложение 02 русс на 16.04.2009 г. 1 сессия_Приложение 1-18 рус пост посл_Прилож.к бюдж 2010г._прил4р_к_Пр 4     11.05.11. ИКС_Приложение_рус _2012-2014_29,30" xfId="1408" xr:uid="{00000000-0005-0000-0000-0000690C0000}"/>
    <cellStyle name="_Приложение 02 русс на 16.04.2009 г. 1 сессия_Приложение 1-18 рус пост посл_Прилож.к бюдж 2010г._прил4р_к_Пр 4     11.05.11. ИКС_Приложение_рус _2012-2014_29,30 2" xfId="4836" xr:uid="{00000000-0005-0000-0000-00006A0C0000}"/>
    <cellStyle name="_Приложение 02 русс на 16.04.2009 г. 1 сессия_Приложение 1-18 рус пост посл_Прилож.к бюдж 2010г._прил4р_к_Приложение 4 русс,каз 16.03.11. посл" xfId="1409" xr:uid="{00000000-0005-0000-0000-00006B0C0000}"/>
    <cellStyle name="_Приложение 02 русс на 16.04.2009 г. 1 сессия_Приложение 1-18 рус пост посл_Прилож.к бюдж 2010г._прил4р_к_Приложение 4 русс,каз 16.03.11. посл 2" xfId="4837" xr:uid="{00000000-0005-0000-0000-00006C0C0000}"/>
    <cellStyle name="_Приложение 02 русс на 16.04.2009 г. 1 сессия_Приложение 1-18 рус пост посл_Прилож.к бюдж 2010г._прил4р_к_Приложение 4 русс,каз 16.03.11. посл_Приложение_рус _2012-2014_29,30" xfId="1410" xr:uid="{00000000-0005-0000-0000-00006D0C0000}"/>
    <cellStyle name="_Приложение 02 русс на 16.04.2009 г. 1 сессия_Приложение 1-18 рус пост посл_Прилож.к бюдж 2010г._прил4р_к_Приложение 4 русс,каз 16.03.11. посл_Приложение_рус _2012-2014_29,30 2" xfId="4838" xr:uid="{00000000-0005-0000-0000-00006E0C0000}"/>
    <cellStyle name="_Приложение 02 русс на 16.04.2009 г. 1 сессия_Приложение 1-18 рус пост посл_Прилож.к бюдж 2010г._прил4р_к_Приложение_пост_каз_авг" xfId="1411" xr:uid="{00000000-0005-0000-0000-00006F0C0000}"/>
    <cellStyle name="_Приложение 02 русс на 16.04.2009 г. 1 сессия_Приложение 1-18 рус пост посл_Прилож.к бюдж 2010г._прил4р_к_Приложение_пост_каз_авг 2" xfId="4839" xr:uid="{00000000-0005-0000-0000-0000700C0000}"/>
    <cellStyle name="_Приложение 02 русс на 16.04.2009 г. 1 сессия_Приложение 1-18 рус пост посл_Прилож.к бюдж 2010г._прил4р_к_Приложение_пост_каз_авг_Анализ" xfId="1412" xr:uid="{00000000-0005-0000-0000-0000710C0000}"/>
    <cellStyle name="_Приложение 02 русс на 16.04.2009 г. 1 сессия_Приложение 1-18 рус пост посл_Прилож.к бюдж 2010г._прил4р_к_Приложение_пост_каз_авг_Анализ 2" xfId="4840" xr:uid="{00000000-0005-0000-0000-0000720C0000}"/>
    <cellStyle name="_Приложение 02 русс на 16.04.2009 г. 1 сессия_Приложение 1-18 рус пост посл_Прилож.к бюдж 2010г._прил4р_к_Приложение_пост_каз_авг_Анализ 3.03.2011г." xfId="3050" xr:uid="{00000000-0005-0000-0000-0000730C0000}"/>
    <cellStyle name="_Приложение 02 русс на 16.04.2009 г. 1 сессия_Приложение 1-18 рус пост посл_Прилож.к бюдж 2010г._прил4р_к_Приложение_пост_каз_авг_Анализ 6.03.2011г." xfId="3051" xr:uid="{00000000-0005-0000-0000-0000740C0000}"/>
    <cellStyle name="_Приложение 02 русс на 16.04.2009 г. 1 сессия_Приложение 1-18 рус пост посл_Прилож.к бюдж 2010г._прил4р_к_Приложение_пост_каз_авг_Анализ 9.03.2011г." xfId="3052" xr:uid="{00000000-0005-0000-0000-0000750C0000}"/>
    <cellStyle name="_Приложение 02 русс на 16.04.2009 г. 1 сессия_Приложение 1-18 рус пост посл_Прилож.к бюдж 2010г._прил4р_к_Приложение_пост_каз_авг_Анализ_Приложение_рус _2012-2014_29,30" xfId="1413" xr:uid="{00000000-0005-0000-0000-0000760C0000}"/>
    <cellStyle name="_Приложение 02 русс на 16.04.2009 г. 1 сессия_Приложение 1-18 рус пост посл_Прилож.к бюдж 2010г._прил4р_к_Приложение_пост_каз_авг_Анализ_Приложение_рус _2012-2014_29,30 2" xfId="4841" xr:uid="{00000000-0005-0000-0000-0000770C0000}"/>
    <cellStyle name="_Приложение 02 русс на 16.04.2009 г. 1 сессия_Приложение 1-18 рус пост посл_Прилож.к бюдж 2010г._прил4р_к_Приложение_пост_каз_авг_Пр 4     11.05.11. ИКС" xfId="1414" xr:uid="{00000000-0005-0000-0000-0000780C0000}"/>
    <cellStyle name="_Приложение 02 русс на 16.04.2009 г. 1 сессия_Приложение 1-18 рус пост посл_Прилож.к бюдж 2010г._прил4р_к_Приложение_пост_каз_авг_Пр 4     11.05.11. ИКС 2" xfId="4842" xr:uid="{00000000-0005-0000-0000-0000790C0000}"/>
    <cellStyle name="_Приложение 02 русс на 16.04.2009 г. 1 сессия_Приложение 1-18 рус пост посл_Прилож.к бюдж 2010г._прил4р_к_Приложение_пост_каз_авг_Пр 4     11.05.11. ИКС_Приложение_рус _2012-2014_29,30" xfId="1415" xr:uid="{00000000-0005-0000-0000-00007A0C0000}"/>
    <cellStyle name="_Приложение 02 русс на 16.04.2009 г. 1 сессия_Приложение 1-18 рус пост посл_Прилож.к бюдж 2010г._прил4р_к_Приложение_пост_каз_авг_Пр 4     11.05.11. ИКС_Приложение_рус _2012-2014_29,30 2" xfId="4843" xr:uid="{00000000-0005-0000-0000-00007B0C0000}"/>
    <cellStyle name="_Приложение 02 русс на 16.04.2009 г. 1 сессия_Приложение 1-18 рус пост посл_Прилож.к бюдж 2010г._прил4р_к_Приложение_пост_каз_авг_Приложение 4 русс,каз 16.03.11. посл" xfId="1416" xr:uid="{00000000-0005-0000-0000-00007C0C0000}"/>
    <cellStyle name="_Приложение 02 русс на 16.04.2009 г. 1 сессия_Приложение 1-18 рус пост посл_Прилож.к бюдж 2010г._прил4р_к_Приложение_пост_каз_авг_Приложение 4 русс,каз 16.03.11. посл 2" xfId="4844" xr:uid="{00000000-0005-0000-0000-00007D0C0000}"/>
    <cellStyle name="_Приложение 02 русс на 16.04.2009 г. 1 сессия_Приложение 1-18 рус пост посл_Прилож.к бюдж 2010г._прил4р_к_Приложение_пост_каз_авг_Приложение 4 русс,каз 16.03.11. посл_Приложение_рус _2012-2014_29,30" xfId="1417" xr:uid="{00000000-0005-0000-0000-00007E0C0000}"/>
    <cellStyle name="_Приложение 02 русс на 16.04.2009 г. 1 сессия_Приложение 1-18 рус пост посл_Прилож.к бюдж 2010г._прил4р_к_Приложение_пост_каз_авг_Приложение 4 русс,каз 16.03.11. посл_Приложение_рус _2012-2014_29,30 2" xfId="4845" xr:uid="{00000000-0005-0000-0000-00007F0C0000}"/>
    <cellStyle name="_Приложение 02 русс на 16.04.2009 г. 1 сессия_Приложение 1-18 рус пост посл_Прилож.к бюдж 2010г._прил4р_к_Приложение_пост_каз_авг_Приложение_реал_рус 2011-2013 Уточнение" xfId="1418" xr:uid="{00000000-0005-0000-0000-0000800C0000}"/>
    <cellStyle name="_Приложение 02 русс на 16.04.2009 г. 1 сессия_Приложение 1-18 рус пост посл_Прилож.к бюдж 2010г._прил4р_к_Приложение_пост_каз_авг_Приложение_реал_рус 2011-2013 Уточнение 2" xfId="4846" xr:uid="{00000000-0005-0000-0000-0000810C0000}"/>
    <cellStyle name="_Приложение 02 русс на 16.04.2009 г. 1 сессия_Приложение 1-18 рус пост посл_Прилож.к бюдж 2010г._прил4р_к_Приложение_пост_каз_авг_Приложение_реал_рус 2011-2013 Уточнение_Приложение_рус _2012-2014_29,30" xfId="1419" xr:uid="{00000000-0005-0000-0000-0000820C0000}"/>
    <cellStyle name="_Приложение 02 русс на 16.04.2009 г. 1 сессия_Приложение 1-18 рус пост посл_Прилож.к бюдж 2010г._прил4р_к_Приложение_пост_каз_авг_Приложение_реал_рус 2011-2013 Уточнение_Приложение_рус _2012-2014_29,30 2" xfId="4847" xr:uid="{00000000-0005-0000-0000-0000830C0000}"/>
    <cellStyle name="_Приложение 02 русс на 16.04.2009 г. 1 сессия_Приложение 1-18 рус пост посл_Прилож.к бюдж 2010г._прил4р_к_Приложение_пост_каз_авг_Приложение_рус _2012-2014_29,30" xfId="1420" xr:uid="{00000000-0005-0000-0000-0000840C0000}"/>
    <cellStyle name="_Приложение 02 русс на 16.04.2009 г. 1 сессия_Приложение 1-18 рус пост посл_Прилож.к бюдж 2010г._прил4р_к_Приложение_пост_каз_авг_Приложение_рус _2012-2014_29,30 2" xfId="4848" xr:uid="{00000000-0005-0000-0000-0000850C0000}"/>
    <cellStyle name="_Приложение 02 русс на 16.04.2009 г. 1 сессия_Приложение 1-18 рус пост посл_Прилож.к бюдж 2010г._прил4р_к_Приложение_пост_каз_авг_приложения 2012 рус" xfId="1421" xr:uid="{00000000-0005-0000-0000-0000860C0000}"/>
    <cellStyle name="_Приложение 02 русс на 16.04.2009 г. 1 сессия_Приложение 1-18 рус пост посл_Прилож.к бюдж 2010г._прил4р_к_Приложение_пост_каз_авг_приложения 2012 рус 2" xfId="4849" xr:uid="{00000000-0005-0000-0000-0000870C0000}"/>
    <cellStyle name="_Приложение 02 русс на 16.04.2009 г. 1 сессия_Приложение 1-18 рус пост посл_Прилож.к бюдж 2010г._прил4р_к_Приложение_пост_рус_авг" xfId="1422" xr:uid="{00000000-0005-0000-0000-0000880C0000}"/>
    <cellStyle name="_Приложение 02 русс на 16.04.2009 г. 1 сессия_Приложение 1-18 рус пост посл_Прилож.к бюдж 2010г._прил4р_к_Приложение_пост_рус_авг 2" xfId="4850" xr:uid="{00000000-0005-0000-0000-0000890C0000}"/>
    <cellStyle name="_Приложение 02 русс на 16.04.2009 г. 1 сессия_Приложение 1-18 рус пост посл_Прилож.к бюдж 2010г._прил4р_к_Приложение_пост_рус_авг_Анализ" xfId="1423" xr:uid="{00000000-0005-0000-0000-00008A0C0000}"/>
    <cellStyle name="_Приложение 02 русс на 16.04.2009 г. 1 сессия_Приложение 1-18 рус пост посл_Прилож.к бюдж 2010г._прил4р_к_Приложение_пост_рус_авг_Анализ 2" xfId="4851" xr:uid="{00000000-0005-0000-0000-00008B0C0000}"/>
    <cellStyle name="_Приложение 02 русс на 16.04.2009 г. 1 сессия_Приложение 1-18 рус пост посл_Прилож.к бюдж 2010г._прил4р_к_Приложение_пост_рус_авг_Анализ 3.03.2011г." xfId="3053" xr:uid="{00000000-0005-0000-0000-00008C0C0000}"/>
    <cellStyle name="_Приложение 02 русс на 16.04.2009 г. 1 сессия_Приложение 1-18 рус пост посл_Прилож.к бюдж 2010г._прил4р_к_Приложение_пост_рус_авг_Анализ 6.03.2011г." xfId="3054" xr:uid="{00000000-0005-0000-0000-00008D0C0000}"/>
    <cellStyle name="_Приложение 02 русс на 16.04.2009 г. 1 сессия_Приложение 1-18 рус пост посл_Прилож.к бюдж 2010г._прил4р_к_Приложение_пост_рус_авг_Анализ 9.03.2011г." xfId="3055" xr:uid="{00000000-0005-0000-0000-00008E0C0000}"/>
    <cellStyle name="_Приложение 02 русс на 16.04.2009 г. 1 сессия_Приложение 1-18 рус пост посл_Прилож.к бюдж 2010г._прил4р_к_Приложение_пост_рус_авг_Анализ_Приложение_рус _2012-2014_29,30" xfId="1424" xr:uid="{00000000-0005-0000-0000-00008F0C0000}"/>
    <cellStyle name="_Приложение 02 русс на 16.04.2009 г. 1 сессия_Приложение 1-18 рус пост посл_Прилож.к бюдж 2010г._прил4р_к_Приложение_пост_рус_авг_Анализ_Приложение_рус _2012-2014_29,30 2" xfId="4852" xr:uid="{00000000-0005-0000-0000-0000900C0000}"/>
    <cellStyle name="_Приложение 02 русс на 16.04.2009 г. 1 сессия_Приложение 1-18 рус пост посл_Прилож.к бюдж 2010г._прил4р_к_Приложение_пост_рус_авг_Пр 4     11.05.11. ИКС" xfId="1425" xr:uid="{00000000-0005-0000-0000-0000910C0000}"/>
    <cellStyle name="_Приложение 02 русс на 16.04.2009 г. 1 сессия_Приложение 1-18 рус пост посл_Прилож.к бюдж 2010г._прил4р_к_Приложение_пост_рус_авг_Пр 4     11.05.11. ИКС 2" xfId="4853" xr:uid="{00000000-0005-0000-0000-0000920C0000}"/>
    <cellStyle name="_Приложение 02 русс на 16.04.2009 г. 1 сессия_Приложение 1-18 рус пост посл_Прилож.к бюдж 2010г._прил4р_к_Приложение_пост_рус_авг_Пр 4     11.05.11. ИКС_Приложение_рус _2012-2014_29,30" xfId="1426" xr:uid="{00000000-0005-0000-0000-0000930C0000}"/>
    <cellStyle name="_Приложение 02 русс на 16.04.2009 г. 1 сессия_Приложение 1-18 рус пост посл_Прилож.к бюдж 2010г._прил4р_к_Приложение_пост_рус_авг_Пр 4     11.05.11. ИКС_Приложение_рус _2012-2014_29,30 2" xfId="4854" xr:uid="{00000000-0005-0000-0000-0000940C0000}"/>
    <cellStyle name="_Приложение 02 русс на 16.04.2009 г. 1 сессия_Приложение 1-18 рус пост посл_Прилож.к бюдж 2010г._прил4р_к_Приложение_пост_рус_авг_Приложение 4 русс,каз 16.03.11. посл" xfId="1427" xr:uid="{00000000-0005-0000-0000-0000950C0000}"/>
    <cellStyle name="_Приложение 02 русс на 16.04.2009 г. 1 сессия_Приложение 1-18 рус пост посл_Прилож.к бюдж 2010г._прил4р_к_Приложение_пост_рус_авг_Приложение 4 русс,каз 16.03.11. посл 2" xfId="4855" xr:uid="{00000000-0005-0000-0000-0000960C0000}"/>
    <cellStyle name="_Приложение 02 русс на 16.04.2009 г. 1 сессия_Приложение 1-18 рус пост посл_Прилож.к бюдж 2010г._прил4р_к_Приложение_пост_рус_авг_Приложение 4 русс,каз 16.03.11. посл_Приложение_рус _2012-2014_29,30" xfId="1428" xr:uid="{00000000-0005-0000-0000-0000970C0000}"/>
    <cellStyle name="_Приложение 02 русс на 16.04.2009 г. 1 сессия_Приложение 1-18 рус пост посл_Прилож.к бюдж 2010г._прил4р_к_Приложение_пост_рус_авг_Приложение 4 русс,каз 16.03.11. посл_Приложение_рус _2012-2014_29,30 2" xfId="4856" xr:uid="{00000000-0005-0000-0000-0000980C0000}"/>
    <cellStyle name="_Приложение 02 русс на 16.04.2009 г. 1 сессия_Приложение 1-18 рус пост посл_Прилож.к бюдж 2010г._прил4р_к_Приложение_пост_рус_авг_Приложение_реал_рус 2011-2013 Уточнение" xfId="1429" xr:uid="{00000000-0005-0000-0000-0000990C0000}"/>
    <cellStyle name="_Приложение 02 русс на 16.04.2009 г. 1 сессия_Приложение 1-18 рус пост посл_Прилож.к бюдж 2010г._прил4р_к_Приложение_пост_рус_авг_Приложение_реал_рус 2011-2013 Уточнение 2" xfId="4857" xr:uid="{00000000-0005-0000-0000-00009A0C0000}"/>
    <cellStyle name="_Приложение 02 русс на 16.04.2009 г. 1 сессия_Приложение 1-18 рус пост посл_Прилож.к бюдж 2010г._прил4р_к_Приложение_пост_рус_авг_Приложение_реал_рус 2011-2013 Уточнение_Приложение_рус _2012-2014_29,30" xfId="1430" xr:uid="{00000000-0005-0000-0000-00009B0C0000}"/>
    <cellStyle name="_Приложение 02 русс на 16.04.2009 г. 1 сессия_Приложение 1-18 рус пост посл_Прилож.к бюдж 2010г._прил4р_к_Приложение_пост_рус_авг_Приложение_реал_рус 2011-2013 Уточнение_Приложение_рус _2012-2014_29,30 2" xfId="4858" xr:uid="{00000000-0005-0000-0000-00009C0C0000}"/>
    <cellStyle name="_Приложение 02 русс на 16.04.2009 г. 1 сессия_Приложение 1-18 рус пост посл_Прилож.к бюдж 2010г._прил4р_к_Приложение_пост_рус_авг_Приложение_рус _2012-2014_29,30" xfId="1431" xr:uid="{00000000-0005-0000-0000-00009D0C0000}"/>
    <cellStyle name="_Приложение 02 русс на 16.04.2009 г. 1 сессия_Приложение 1-18 рус пост посл_Прилож.к бюдж 2010г._прил4р_к_Приложение_пост_рус_авг_Приложение_рус _2012-2014_29,30 2" xfId="4859" xr:uid="{00000000-0005-0000-0000-00009E0C0000}"/>
    <cellStyle name="_Приложение 02 русс на 16.04.2009 г. 1 сессия_Приложение 1-18 рус пост посл_Прилож.к бюдж 2010г._прил4р_к_Приложение_пост_рус_авг_приложения 2012 рус" xfId="1432" xr:uid="{00000000-0005-0000-0000-00009F0C0000}"/>
    <cellStyle name="_Приложение 02 русс на 16.04.2009 г. 1 сессия_Приложение 1-18 рус пост посл_Прилож.к бюдж 2010г._прил4р_к_Приложение_пост_рус_авг_приложения 2012 рус 2" xfId="4860" xr:uid="{00000000-0005-0000-0000-0000A00C0000}"/>
    <cellStyle name="_Приложение 02 русс на 16.04.2009 г. 1 сессия_Приложение 1-18 рус пост посл_Прилож.к бюдж 2010г._прил4р_к_Приложение_реал_рус 2011-2013 Уточнение" xfId="1433" xr:uid="{00000000-0005-0000-0000-0000A10C0000}"/>
    <cellStyle name="_Приложение 02 русс на 16.04.2009 г. 1 сессия_Приложение 1-18 рус пост посл_Прилож.к бюдж 2010г._прил4р_к_Приложение_реал_рус 2011-2013 Уточнение 2" xfId="4861" xr:uid="{00000000-0005-0000-0000-0000A20C0000}"/>
    <cellStyle name="_Приложение 02 русс на 16.04.2009 г. 1 сессия_Приложение 1-18 рус пост посл_Прилож.к бюдж 2010г._прил4р_к_Приложение_реал_рус 2011-2013 Уточнение_Приложение_рус _2012-2014_29,30" xfId="1434" xr:uid="{00000000-0005-0000-0000-0000A30C0000}"/>
    <cellStyle name="_Приложение 02 русс на 16.04.2009 г. 1 сессия_Приложение 1-18 рус пост посл_Прилож.к бюдж 2010г._прил4р_к_Приложение_реал_рус 2011-2013 Уточнение_Приложение_рус _2012-2014_29,30 2" xfId="4862" xr:uid="{00000000-0005-0000-0000-0000A40C0000}"/>
    <cellStyle name="_Приложение 02 русс на 16.04.2009 г. 1 сессия_Приложение 1-18 рус пост посл_Прилож.к бюдж 2010г._прил4р_к_Приложение_рус _2012-2014_29,30" xfId="1435" xr:uid="{00000000-0005-0000-0000-0000A50C0000}"/>
    <cellStyle name="_Приложение 02 русс на 16.04.2009 г. 1 сессия_Приложение 1-18 рус пост посл_Прилож.к бюдж 2010г._прил4р_к_Приложение_рус _2012-2014_29,30 2" xfId="4863" xr:uid="{00000000-0005-0000-0000-0000A60C0000}"/>
    <cellStyle name="_Приложение 02 русс на 16.04.2009 г. 1 сессия_Приложение 1-18 рус пост посл_Прилож.к бюдж 2010г._прил4р_к_приложения 2012 рус" xfId="1436" xr:uid="{00000000-0005-0000-0000-0000A70C0000}"/>
    <cellStyle name="_Приложение 02 русс на 16.04.2009 г. 1 сессия_Приложение 1-18 рус пост посл_Прилож.к бюдж 2010г._прил4р_к_приложения 2012 рус 2" xfId="4864" xr:uid="{00000000-0005-0000-0000-0000A80C0000}"/>
    <cellStyle name="_Приложение 02 русс на 16.04.2009 г. 1 сессия_Приложение 1-18 рус пост посл_Прилож.к бюдж 2010г._Приложение 4 русс,каз 16.03.11. посл" xfId="1437" xr:uid="{00000000-0005-0000-0000-0000A90C0000}"/>
    <cellStyle name="_Приложение 02 русс на 16.04.2009 г. 1 сессия_Приложение 1-18 рус пост посл_Прилож.к бюдж 2010г._Приложение 4 русс,каз 16.03.11. посл 2" xfId="4865" xr:uid="{00000000-0005-0000-0000-0000AA0C0000}"/>
    <cellStyle name="_Приложение 02 русс на 16.04.2009 г. 1 сессия_Приложение 1-18 рус пост посл_Прилож.к бюдж 2010г._Приложение 4 русс,каз 16.03.11. посл_Приложение_рус _2012-2014_29,30" xfId="1438" xr:uid="{00000000-0005-0000-0000-0000AB0C0000}"/>
    <cellStyle name="_Приложение 02 русс на 16.04.2009 г. 1 сессия_Приложение 1-18 рус пост посл_Прилож.к бюдж 2010г._Приложение 4 русс,каз 16.03.11. посл_Приложение_рус _2012-2014_29,30 2" xfId="4866" xr:uid="{00000000-0005-0000-0000-0000AC0C0000}"/>
    <cellStyle name="_Приложение 02 русс на 16.04.2009 г. 1 сессия_Приложение 1-18 рус пост посл_Прилож.к бюдж 2010г._Приложение_2010-2012 каз 04.08.10_ДК-2020" xfId="1439" xr:uid="{00000000-0005-0000-0000-0000AD0C0000}"/>
    <cellStyle name="_Приложение 02 русс на 16.04.2009 г. 1 сессия_Приложение 1-18 рус пост посл_Прилож.к бюдж 2010г._Приложение_2010-2012 каз 04.08.10_ДК-2020 2" xfId="4867" xr:uid="{00000000-0005-0000-0000-0000AE0C0000}"/>
    <cellStyle name="_Приложение 02 русс на 16.04.2009 г. 1 сессия_Приложение 1-18 рус пост посл_Прилож.к бюдж 2010г._Приложение_2010-2012 каз 04.08.10_ДК-2020_Анализ" xfId="1440" xr:uid="{00000000-0005-0000-0000-0000AF0C0000}"/>
    <cellStyle name="_Приложение 02 русс на 16.04.2009 г. 1 сессия_Приложение 1-18 рус пост посл_Прилож.к бюдж 2010г._Приложение_2010-2012 каз 04.08.10_ДК-2020_Анализ 2" xfId="4868" xr:uid="{00000000-0005-0000-0000-0000B00C0000}"/>
    <cellStyle name="_Приложение 02 русс на 16.04.2009 г. 1 сессия_Приложение 1-18 рус пост посл_Прилож.к бюдж 2010г._Приложение_2010-2012 каз 04.08.10_ДК-2020_Анализ 3.03.2011г." xfId="3056" xr:uid="{00000000-0005-0000-0000-0000B10C0000}"/>
    <cellStyle name="_Приложение 02 русс на 16.04.2009 г. 1 сессия_Приложение 1-18 рус пост посл_Прилож.к бюдж 2010г._Приложение_2010-2012 каз 04.08.10_ДК-2020_Анализ 6.03.2011г." xfId="3057" xr:uid="{00000000-0005-0000-0000-0000B20C0000}"/>
    <cellStyle name="_Приложение 02 русс на 16.04.2009 г. 1 сессия_Приложение 1-18 рус пост посл_Прилож.к бюдж 2010г._Приложение_2010-2012 каз 04.08.10_ДК-2020_Анализ 9.03.2011г." xfId="3058" xr:uid="{00000000-0005-0000-0000-0000B30C0000}"/>
    <cellStyle name="_Приложение 02 русс на 16.04.2009 г. 1 сессия_Приложение 1-18 рус пост посл_Прилож.к бюдж 2010г._Приложение_2010-2012 каз 04.08.10_ДК-2020_Анализ_Приложение_рус _2012-2014_29,30" xfId="1441" xr:uid="{00000000-0005-0000-0000-0000B40C0000}"/>
    <cellStyle name="_Приложение 02 русс на 16.04.2009 г. 1 сессия_Приложение 1-18 рус пост посл_Прилож.к бюдж 2010г._Приложение_2010-2012 каз 04.08.10_ДК-2020_Анализ_Приложение_рус _2012-2014_29,30 2" xfId="4869" xr:uid="{00000000-0005-0000-0000-0000B50C0000}"/>
    <cellStyle name="_Приложение 02 русс на 16.04.2009 г. 1 сессия_Приложение 1-18 рус пост посл_Прилож.к бюдж 2010г._Приложение_2010-2012 каз 04.08.10_ДК-2020_Пр 4     11.05.11. ИКС" xfId="1442" xr:uid="{00000000-0005-0000-0000-0000B60C0000}"/>
    <cellStyle name="_Приложение 02 русс на 16.04.2009 г. 1 сессия_Приложение 1-18 рус пост посл_Прилож.к бюдж 2010г._Приложение_2010-2012 каз 04.08.10_ДК-2020_Пр 4     11.05.11. ИКС 2" xfId="4870" xr:uid="{00000000-0005-0000-0000-0000B70C0000}"/>
    <cellStyle name="_Приложение 02 русс на 16.04.2009 г. 1 сессия_Приложение 1-18 рус пост посл_Прилож.к бюдж 2010г._Приложение_2010-2012 каз 04.08.10_ДК-2020_Пр 4     11.05.11. ИКС_Приложение_рус _2012-2014_29,30" xfId="1443" xr:uid="{00000000-0005-0000-0000-0000B80C0000}"/>
    <cellStyle name="_Приложение 02 русс на 16.04.2009 г. 1 сессия_Приложение 1-18 рус пост посл_Прилож.к бюдж 2010г._Приложение_2010-2012 каз 04.08.10_ДК-2020_Пр 4     11.05.11. ИКС_Приложение_рус _2012-2014_29,30 2" xfId="4871" xr:uid="{00000000-0005-0000-0000-0000B90C0000}"/>
    <cellStyle name="_Приложение 02 русс на 16.04.2009 г. 1 сессия_Приложение 1-18 рус пост посл_Прилож.к бюдж 2010г._Приложение_2010-2012 каз 04.08.10_ДК-2020_Приложение 4 русс,каз 16.03.11. посл" xfId="1444" xr:uid="{00000000-0005-0000-0000-0000BA0C0000}"/>
    <cellStyle name="_Приложение 02 русс на 16.04.2009 г. 1 сессия_Приложение 1-18 рус пост посл_Прилож.к бюдж 2010г._Приложение_2010-2012 каз 04.08.10_ДК-2020_Приложение 4 русс,каз 16.03.11. посл 2" xfId="4872" xr:uid="{00000000-0005-0000-0000-0000BB0C0000}"/>
    <cellStyle name="_Приложение 02 русс на 16.04.2009 г. 1 сессия_Приложение 1-18 рус пост посл_Прилож.к бюдж 2010г._Приложение_2010-2012 каз 04.08.10_ДК-2020_Приложение 4 русс,каз 16.03.11. посл_Приложение_рус _2012-2014_29,30" xfId="1445" xr:uid="{00000000-0005-0000-0000-0000BC0C0000}"/>
    <cellStyle name="_Приложение 02 русс на 16.04.2009 г. 1 сессия_Приложение 1-18 рус пост посл_Прилож.к бюдж 2010г._Приложение_2010-2012 каз 04.08.10_ДК-2020_Приложение 4 русс,каз 16.03.11. посл_Приложение_рус _2012-2014_29,30 2" xfId="4873" xr:uid="{00000000-0005-0000-0000-0000BD0C0000}"/>
    <cellStyle name="_Приложение 02 русс на 16.04.2009 г. 1 сессия_Приложение 1-18 рус пост посл_Прилож.к бюдж 2010г._Приложение_2010-2012 каз 04.08.10_ДК-2020_Приложение_реал_рус 2011-2013 Уточнение" xfId="1446" xr:uid="{00000000-0005-0000-0000-0000BE0C0000}"/>
    <cellStyle name="_Приложение 02 русс на 16.04.2009 г. 1 сессия_Приложение 1-18 рус пост посл_Прилож.к бюдж 2010г._Приложение_2010-2012 каз 04.08.10_ДК-2020_Приложение_реал_рус 2011-2013 Уточнение 2" xfId="4874" xr:uid="{00000000-0005-0000-0000-0000BF0C0000}"/>
    <cellStyle name="_Приложение 02 русс на 16.04.2009 г. 1 сессия_Приложение 1-18 рус пост посл_Прилож.к бюдж 2010г._Приложение_2010-2012 каз 04.08.10_ДК-2020_Приложение_реал_рус 2011-2013 Уточнение_Приложение_рус _2012-2014_29,30" xfId="1447" xr:uid="{00000000-0005-0000-0000-0000C00C0000}"/>
    <cellStyle name="_Приложение 02 русс на 16.04.2009 г. 1 сессия_Приложение 1-18 рус пост посл_Прилож.к бюдж 2010г._Приложение_2010-2012 каз 04.08.10_ДК-2020_Приложение_реал_рус 2011-2013 Уточнение_Приложение_рус _2012-2014_29,30 2" xfId="4875" xr:uid="{00000000-0005-0000-0000-0000C10C0000}"/>
    <cellStyle name="_Приложение 02 русс на 16.04.2009 г. 1 сессия_Приложение 1-18 рус пост посл_Прилож.к бюдж 2010г._Приложение_2010-2012 каз 04.08.10_ДК-2020_Приложение_рус _2012-2014_29,30" xfId="1448" xr:uid="{00000000-0005-0000-0000-0000C20C0000}"/>
    <cellStyle name="_Приложение 02 русс на 16.04.2009 г. 1 сессия_Приложение 1-18 рус пост посл_Прилож.к бюдж 2010г._Приложение_2010-2012 каз 04.08.10_ДК-2020_Приложение_рус _2012-2014_29,30 2" xfId="4876" xr:uid="{00000000-0005-0000-0000-0000C30C0000}"/>
    <cellStyle name="_Приложение 02 русс на 16.04.2009 г. 1 сессия_Приложение 1-18 рус пост посл_Прилож.к бюдж 2010г._Приложение_2010-2012 каз 04.08.10_ДК-2020_приложения 2012 рус" xfId="1449" xr:uid="{00000000-0005-0000-0000-0000C40C0000}"/>
    <cellStyle name="_Приложение 02 русс на 16.04.2009 г. 1 сессия_Приложение 1-18 рус пост посл_Прилож.к бюдж 2010г._Приложение_2010-2012 каз 04.08.10_ДК-2020_приложения 2012 рус 2" xfId="4877" xr:uid="{00000000-0005-0000-0000-0000C50C0000}"/>
    <cellStyle name="_Приложение 02 русс на 16.04.2009 г. 1 сессия_Приложение 1-18 рус пост посл_Прилож.к бюдж 2010г._Приложение_2010-2012 каз_март" xfId="1450" xr:uid="{00000000-0005-0000-0000-0000C60C0000}"/>
    <cellStyle name="_Приложение 02 русс на 16.04.2009 г. 1 сессия_Приложение 1-18 рус пост посл_Прилож.к бюдж 2010г._Приложение_2010-2012 каз_март 2" xfId="1451" xr:uid="{00000000-0005-0000-0000-0000C70C0000}"/>
    <cellStyle name="_Приложение 02 русс на 16.04.2009 г. 1 сессия_Приложение 1-18 рус пост посл_Прилож.к бюдж 2010г._Приложение_2010-2012 каз_март 2 2" xfId="4879" xr:uid="{00000000-0005-0000-0000-0000C80C0000}"/>
    <cellStyle name="_Приложение 02 русс на 16.04.2009 г. 1 сессия_Приложение 1-18 рус пост посл_Прилож.к бюдж 2010г._Приложение_2010-2012 каз_март 3" xfId="4878" xr:uid="{00000000-0005-0000-0000-0000C90C0000}"/>
    <cellStyle name="_Приложение 02 русс на 16.04.2009 г. 1 сессия_Приложение 1-18 рус пост посл_Прилож.к бюдж 2010г._Приложение_2010-2012 каз_март_Анализ" xfId="1452" xr:uid="{00000000-0005-0000-0000-0000CA0C0000}"/>
    <cellStyle name="_Приложение 02 русс на 16.04.2009 г. 1 сессия_Приложение 1-18 рус пост посл_Прилож.к бюдж 2010г._Приложение_2010-2012 каз_март_Анализ 2" xfId="4880" xr:uid="{00000000-0005-0000-0000-0000CB0C0000}"/>
    <cellStyle name="_Приложение 02 русс на 16.04.2009 г. 1 сессия_Приложение 1-18 рус пост посл_Прилож.к бюдж 2010г._Приложение_2010-2012 каз_март_Анализ 3.03.2011г." xfId="3059" xr:uid="{00000000-0005-0000-0000-0000CC0C0000}"/>
    <cellStyle name="_Приложение 02 русс на 16.04.2009 г. 1 сессия_Приложение 1-18 рус пост посл_Прилож.к бюдж 2010г._Приложение_2010-2012 каз_март_Анализ 6.03.2011г." xfId="3060" xr:uid="{00000000-0005-0000-0000-0000CD0C0000}"/>
    <cellStyle name="_Приложение 02 русс на 16.04.2009 г. 1 сессия_Приложение 1-18 рус пост посл_Прилож.к бюдж 2010г._Приложение_2010-2012 каз_март_Анализ 9.03.2011г." xfId="3061" xr:uid="{00000000-0005-0000-0000-0000CE0C0000}"/>
    <cellStyle name="_Приложение 02 русс на 16.04.2009 г. 1 сессия_Приложение 1-18 рус пост посл_Прилож.к бюдж 2010г._Приложение_2010-2012 каз_март_Анализ_Приложение_рус _2012-2014_29,30" xfId="1453" xr:uid="{00000000-0005-0000-0000-0000CF0C0000}"/>
    <cellStyle name="_Приложение 02 русс на 16.04.2009 г. 1 сессия_Приложение 1-18 рус пост посл_Прилож.к бюдж 2010г._Приложение_2010-2012 каз_март_Анализ_Приложение_рус _2012-2014_29,30 2" xfId="4881" xr:uid="{00000000-0005-0000-0000-0000D00C0000}"/>
    <cellStyle name="_Приложение 02 русс на 16.04.2009 г. 1 сессия_Приложение 1-18 рус пост посл_Прилож.к бюдж 2010г._Приложение_2010-2012 каз_март_Пр 4     11.05.11. ИКС" xfId="1454" xr:uid="{00000000-0005-0000-0000-0000D10C0000}"/>
    <cellStyle name="_Приложение 02 русс на 16.04.2009 г. 1 сессия_Приложение 1-18 рус пост посл_Прилож.к бюдж 2010г._Приложение_2010-2012 каз_март_Пр 4     11.05.11. ИКС 2" xfId="4882" xr:uid="{00000000-0005-0000-0000-0000D20C0000}"/>
    <cellStyle name="_Приложение 02 русс на 16.04.2009 г. 1 сессия_Приложение 1-18 рус пост посл_Прилож.к бюдж 2010г._Приложение_2010-2012 каз_март_Пр 4     11.05.11. ИКС_Приложение_рус _2012-2014_29,30" xfId="1455" xr:uid="{00000000-0005-0000-0000-0000D30C0000}"/>
    <cellStyle name="_Приложение 02 русс на 16.04.2009 г. 1 сессия_Приложение 1-18 рус пост посл_Прилож.к бюдж 2010г._Приложение_2010-2012 каз_март_Пр 4     11.05.11. ИКС_Приложение_рус _2012-2014_29,30 2" xfId="4883" xr:uid="{00000000-0005-0000-0000-0000D40C0000}"/>
    <cellStyle name="_Приложение 02 русс на 16.04.2009 г. 1 сессия_Приложение 1-18 рус пост посл_Прилож.к бюдж 2010г._Приложение_2010-2012 каз_март_Приложение 4 русс,каз 16.03.11. посл" xfId="1456" xr:uid="{00000000-0005-0000-0000-0000D50C0000}"/>
    <cellStyle name="_Приложение 02 русс на 16.04.2009 г. 1 сессия_Приложение 1-18 рус пост посл_Прилож.к бюдж 2010г._Приложение_2010-2012 каз_март_Приложение 4 русс,каз 16.03.11. посл 2" xfId="4884" xr:uid="{00000000-0005-0000-0000-0000D60C0000}"/>
    <cellStyle name="_Приложение 02 русс на 16.04.2009 г. 1 сессия_Приложение 1-18 рус пост посл_Прилож.к бюдж 2010г._Приложение_2010-2012 каз_март_Приложение 4 русс,каз 16.03.11. посл_Приложение_рус _2012-2014_29,30" xfId="1457" xr:uid="{00000000-0005-0000-0000-0000D70C0000}"/>
    <cellStyle name="_Приложение 02 русс на 16.04.2009 г. 1 сессия_Приложение 1-18 рус пост посл_Прилож.к бюдж 2010г._Приложение_2010-2012 каз_март_Приложение 4 русс,каз 16.03.11. посл_Приложение_рус _2012-2014_29,30 2" xfId="4885" xr:uid="{00000000-0005-0000-0000-0000D80C0000}"/>
    <cellStyle name="_Приложение 02 русс на 16.04.2009 г. 1 сессия_Приложение 1-18 рус пост посл_Прилож.к бюдж 2010г._Приложение_2010-2012 каз_март_Приложение_пост_каз_авг" xfId="1458" xr:uid="{00000000-0005-0000-0000-0000D90C0000}"/>
    <cellStyle name="_Приложение 02 русс на 16.04.2009 г. 1 сессия_Приложение 1-18 рус пост посл_Прилож.к бюдж 2010г._Приложение_2010-2012 каз_март_Приложение_пост_каз_авг 2" xfId="4886" xr:uid="{00000000-0005-0000-0000-0000DA0C0000}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" xfId="1459" xr:uid="{00000000-0005-0000-0000-0000DB0C0000}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 2" xfId="4887" xr:uid="{00000000-0005-0000-0000-0000DC0C0000}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 3.03.2011г." xfId="3062" xr:uid="{00000000-0005-0000-0000-0000DD0C0000}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 6.03.2011г." xfId="3063" xr:uid="{00000000-0005-0000-0000-0000DE0C0000}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 9.03.2011г." xfId="3064" xr:uid="{00000000-0005-0000-0000-0000DF0C0000}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_Приложение_рус _2012-2014_29,30" xfId="1460" xr:uid="{00000000-0005-0000-0000-0000E00C0000}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_Приложение_рус _2012-2014_29,30 2" xfId="4888" xr:uid="{00000000-0005-0000-0000-0000E1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 4     11.05.11. ИКС" xfId="1461" xr:uid="{00000000-0005-0000-0000-0000E2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 4     11.05.11. ИКС 2" xfId="4889" xr:uid="{00000000-0005-0000-0000-0000E3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 4     11.05.11. ИКС_Приложение_рус _2012-2014_29,30" xfId="1462" xr:uid="{00000000-0005-0000-0000-0000E4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 4     11.05.11. ИКС_Приложение_рус _2012-2014_29,30 2" xfId="4890" xr:uid="{00000000-0005-0000-0000-0000E5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 4 русс,каз 16.03.11. посл" xfId="1463" xr:uid="{00000000-0005-0000-0000-0000E6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 4 русс,каз 16.03.11. посл 2" xfId="4891" xr:uid="{00000000-0005-0000-0000-0000E7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 4 русс,каз 16.03.11. посл_Приложение_рус _2012-2014_29,30" xfId="1464" xr:uid="{00000000-0005-0000-0000-0000E8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 4 русс,каз 16.03.11. посл_Приложение_рус _2012-2014_29,30 2" xfId="4892" xr:uid="{00000000-0005-0000-0000-0000E9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еал_рус 2011-2013 Уточнение" xfId="1465" xr:uid="{00000000-0005-0000-0000-0000EA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еал_рус 2011-2013 Уточнение 2" xfId="4893" xr:uid="{00000000-0005-0000-0000-0000EB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еал_рус 2011-2013 Уточнение_Приложение_рус _2012-2014_29,30" xfId="1466" xr:uid="{00000000-0005-0000-0000-0000EC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еал_рус 2011-2013 Уточнение_Приложение_рус _2012-2014_29,30 2" xfId="4894" xr:uid="{00000000-0005-0000-0000-0000ED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ус _2012-2014_29,30" xfId="1467" xr:uid="{00000000-0005-0000-0000-0000EE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ус _2012-2014_29,30 2" xfId="4895" xr:uid="{00000000-0005-0000-0000-0000EF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я 2012 рус" xfId="1468" xr:uid="{00000000-0005-0000-0000-0000F00C0000}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я 2012 рус 2" xfId="4896" xr:uid="{00000000-0005-0000-0000-0000F10C0000}"/>
    <cellStyle name="_Приложение 02 русс на 16.04.2009 г. 1 сессия_Приложение 1-18 рус пост посл_Прилож.к бюдж 2010г._Приложение_2010-2012 каз_март_Приложение_пост_рус_авг" xfId="1469" xr:uid="{00000000-0005-0000-0000-0000F20C0000}"/>
    <cellStyle name="_Приложение 02 русс на 16.04.2009 г. 1 сессия_Приложение 1-18 рус пост посл_Прилож.к бюдж 2010г._Приложение_2010-2012 каз_март_Приложение_пост_рус_авг 2" xfId="4897" xr:uid="{00000000-0005-0000-0000-0000F30C0000}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" xfId="1470" xr:uid="{00000000-0005-0000-0000-0000F40C0000}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 2" xfId="4898" xr:uid="{00000000-0005-0000-0000-0000F50C0000}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 3.03.2011г." xfId="3065" xr:uid="{00000000-0005-0000-0000-0000F60C0000}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 6.03.2011г." xfId="3066" xr:uid="{00000000-0005-0000-0000-0000F70C0000}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 9.03.2011г." xfId="3067" xr:uid="{00000000-0005-0000-0000-0000F80C0000}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_Приложение_рус _2012-2014_29,30" xfId="1471" xr:uid="{00000000-0005-0000-0000-0000F90C0000}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_Приложение_рус _2012-2014_29,30 2" xfId="4899" xr:uid="{00000000-0005-0000-0000-0000FA0C0000}"/>
    <cellStyle name="_Приложение 02 русс на 16.04.2009 г. 1 сессия_Приложение 1-18 рус пост посл_Прилож.к бюдж 2010г._Приложение_2010-2012 каз_март_Приложение_пост_рус_авг_Пр 4     11.05.11. ИКС" xfId="1472" xr:uid="{00000000-0005-0000-0000-0000FB0C0000}"/>
    <cellStyle name="_Приложение 02 русс на 16.04.2009 г. 1 сессия_Приложение 1-18 рус пост посл_Прилож.к бюдж 2010г._Приложение_2010-2012 каз_март_Приложение_пост_рус_авг_Пр 4     11.05.11. ИКС 2" xfId="4900" xr:uid="{00000000-0005-0000-0000-0000FC0C0000}"/>
    <cellStyle name="_Приложение 02 русс на 16.04.2009 г. 1 сессия_Приложение 1-18 рус пост посл_Прилож.к бюдж 2010г._Приложение_2010-2012 каз_март_Приложение_пост_рус_авг_Пр 4     11.05.11. ИКС_Приложение_рус _2012-2014_29,30" xfId="1473" xr:uid="{00000000-0005-0000-0000-0000FD0C0000}"/>
    <cellStyle name="_Приложение 02 русс на 16.04.2009 г. 1 сессия_Приложение 1-18 рус пост посл_Прилож.к бюдж 2010г._Приложение_2010-2012 каз_март_Приложение_пост_рус_авг_Пр 4     11.05.11. ИКС_Приложение_рус _2012-2014_29,30 2" xfId="4901" xr:uid="{00000000-0005-0000-0000-0000FE0C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 4 русс,каз 16.03.11. посл" xfId="1474" xr:uid="{00000000-0005-0000-0000-0000FF0C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 4 русс,каз 16.03.11. посл 2" xfId="4902" xr:uid="{00000000-0005-0000-0000-0000000D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 4 русс,каз 16.03.11. посл_Приложение_рус _2012-2014_29,30" xfId="1475" xr:uid="{00000000-0005-0000-0000-0000010D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 4 русс,каз 16.03.11. посл_Приложение_рус _2012-2014_29,30 2" xfId="4903" xr:uid="{00000000-0005-0000-0000-0000020D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еал_рус 2011-2013 Уточнение" xfId="1476" xr:uid="{00000000-0005-0000-0000-0000030D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еал_рус 2011-2013 Уточнение 2" xfId="4904" xr:uid="{00000000-0005-0000-0000-0000040D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еал_рус 2011-2013 Уточнение_Приложение_рус _2012-2014_29,30" xfId="1477" xr:uid="{00000000-0005-0000-0000-0000050D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еал_рус 2011-2013 Уточнение_Приложение_рус _2012-2014_29,30 2" xfId="4905" xr:uid="{00000000-0005-0000-0000-0000060D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ус _2012-2014_29,30" xfId="1478" xr:uid="{00000000-0005-0000-0000-0000070D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ус _2012-2014_29,30 2" xfId="4906" xr:uid="{00000000-0005-0000-0000-0000080D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я 2012 рус" xfId="1479" xr:uid="{00000000-0005-0000-0000-0000090D0000}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я 2012 рус 2" xfId="4907" xr:uid="{00000000-0005-0000-0000-00000A0D0000}"/>
    <cellStyle name="_Приложение 02 русс на 16.04.2009 г. 1 сессия_Приложение 1-18 рус пост посл_Прилож.к бюдж 2010г._Приложение_2010-2012 каз_март_Приложение_реал_рус 2011-2013 Уточнение" xfId="1480" xr:uid="{00000000-0005-0000-0000-00000B0D0000}"/>
    <cellStyle name="_Приложение 02 русс на 16.04.2009 г. 1 сессия_Приложение 1-18 рус пост посл_Прилож.к бюдж 2010г._Приложение_2010-2012 каз_март_Приложение_реал_рус 2011-2013 Уточнение 2" xfId="4908" xr:uid="{00000000-0005-0000-0000-00000C0D0000}"/>
    <cellStyle name="_Приложение 02 русс на 16.04.2009 г. 1 сессия_Приложение 1-18 рус пост посл_Прилож.к бюдж 2010г._Приложение_2010-2012 каз_март_Приложение_реал_рус 2011-2013 Уточнение_Приложение_рус _2012-2014_29,30" xfId="1481" xr:uid="{00000000-0005-0000-0000-00000D0D0000}"/>
    <cellStyle name="_Приложение 02 русс на 16.04.2009 г. 1 сессия_Приложение 1-18 рус пост посл_Прилож.к бюдж 2010г._Приложение_2010-2012 каз_март_Приложение_реал_рус 2011-2013 Уточнение_Приложение_рус _2012-2014_29,30 2" xfId="4909" xr:uid="{00000000-0005-0000-0000-00000E0D0000}"/>
    <cellStyle name="_Приложение 02 русс на 16.04.2009 г. 1 сессия_Приложение 1-18 рус пост посл_Прилож.к бюдж 2010г._Приложение_2010-2012 каз_март_Приложение_рус _2012-2014_29,30" xfId="1482" xr:uid="{00000000-0005-0000-0000-00000F0D0000}"/>
    <cellStyle name="_Приложение 02 русс на 16.04.2009 г. 1 сессия_Приложение 1-18 рус пост посл_Прилож.к бюдж 2010г._Приложение_2010-2012 каз_март_Приложение_рус _2012-2014_29,30 2" xfId="4910" xr:uid="{00000000-0005-0000-0000-0000100D0000}"/>
    <cellStyle name="_Приложение 02 русс на 16.04.2009 г. 1 сессия_Приложение 1-18 рус пост посл_Прилож.к бюдж 2010г._Приложение_2010-2012 каз_март_приложения 2012 рус" xfId="1483" xr:uid="{00000000-0005-0000-0000-0000110D0000}"/>
    <cellStyle name="_Приложение 02 русс на 16.04.2009 г. 1 сессия_Приложение 1-18 рус пост посл_Прилож.к бюдж 2010г._Приложение_2010-2012 каз_март_приложения 2012 рус 2" xfId="4911" xr:uid="{00000000-0005-0000-0000-0000120D0000}"/>
    <cellStyle name="_Приложение 02 русс на 16.04.2009 г. 1 сессия_Приложение 1-18 рус пост посл_Прилож.к бюдж 2010г._Приложение_2010-2012 рус  КОРРЕКТИРОВКА" xfId="1484" xr:uid="{00000000-0005-0000-0000-0000130D0000}"/>
    <cellStyle name="_Приложение 02 русс на 16.04.2009 г. 1 сессия_Приложение 1-18 рус пост посл_Прилож.к бюдж 2010г._Приложение_2010-2012 рус  КОРРЕКТИРОВКА 2" xfId="4912" xr:uid="{00000000-0005-0000-0000-0000140D0000}"/>
    <cellStyle name="_Приложение 02 русс на 16.04.2009 г. 1 сессия_Приложение 1-18 рус пост посл_Прилож.к бюдж 2010г._Приложение_2010-2012 рус  КОРРЕКТИРОВКА_Анализ" xfId="1485" xr:uid="{00000000-0005-0000-0000-0000150D0000}"/>
    <cellStyle name="_Приложение 02 русс на 16.04.2009 г. 1 сессия_Приложение 1-18 рус пост посл_Прилож.к бюдж 2010г._Приложение_2010-2012 рус  КОРРЕКТИРОВКА_Анализ 2" xfId="4913" xr:uid="{00000000-0005-0000-0000-0000160D0000}"/>
    <cellStyle name="_Приложение 02 русс на 16.04.2009 г. 1 сессия_Приложение 1-18 рус пост посл_Прилож.к бюдж 2010г._Приложение_2010-2012 рус  КОРРЕКТИРОВКА_Анализ 3.03.2011г." xfId="3068" xr:uid="{00000000-0005-0000-0000-0000170D0000}"/>
    <cellStyle name="_Приложение 02 русс на 16.04.2009 г. 1 сессия_Приложение 1-18 рус пост посл_Прилож.к бюдж 2010г._Приложение_2010-2012 рус  КОРРЕКТИРОВКА_Анализ 6.03.2011г." xfId="3069" xr:uid="{00000000-0005-0000-0000-0000180D0000}"/>
    <cellStyle name="_Приложение 02 русс на 16.04.2009 г. 1 сессия_Приложение 1-18 рус пост посл_Прилож.к бюдж 2010г._Приложение_2010-2012 рус  КОРРЕКТИРОВКА_Анализ 9.03.2011г." xfId="3070" xr:uid="{00000000-0005-0000-0000-0000190D0000}"/>
    <cellStyle name="_Приложение 02 русс на 16.04.2009 г. 1 сессия_Приложение 1-18 рус пост посл_Прилож.к бюдж 2010г._Приложение_2010-2012 рус  КОРРЕКТИРОВКА_Анализ_Приложение_рус _2012-2014_29,30" xfId="1486" xr:uid="{00000000-0005-0000-0000-00001A0D0000}"/>
    <cellStyle name="_Приложение 02 русс на 16.04.2009 г. 1 сессия_Приложение 1-18 рус пост посл_Прилож.к бюдж 2010г._Приложение_2010-2012 рус  КОРРЕКТИРОВКА_Анализ_Приложение_рус _2012-2014_29,30 2" xfId="4914" xr:uid="{00000000-0005-0000-0000-00001B0D0000}"/>
    <cellStyle name="_Приложение 02 русс на 16.04.2009 г. 1 сессия_Приложение 1-18 рус пост посл_Прилож.к бюдж 2010г._Приложение_2010-2012 рус  КОРРЕКТИРОВКА_Пр 4     11.05.11. ИКС" xfId="1487" xr:uid="{00000000-0005-0000-0000-00001C0D0000}"/>
    <cellStyle name="_Приложение 02 русс на 16.04.2009 г. 1 сессия_Приложение 1-18 рус пост посл_Прилож.к бюдж 2010г._Приложение_2010-2012 рус  КОРРЕКТИРОВКА_Пр 4     11.05.11. ИКС 2" xfId="4915" xr:uid="{00000000-0005-0000-0000-00001D0D0000}"/>
    <cellStyle name="_Приложение 02 русс на 16.04.2009 г. 1 сессия_Приложение 1-18 рус пост посл_Прилож.к бюдж 2010г._Приложение_2010-2012 рус  КОРРЕКТИРОВКА_Пр 4     11.05.11. ИКС_Приложение_рус _2012-2014_29,30" xfId="1488" xr:uid="{00000000-0005-0000-0000-00001E0D0000}"/>
    <cellStyle name="_Приложение 02 русс на 16.04.2009 г. 1 сессия_Приложение 1-18 рус пост посл_Прилож.к бюдж 2010г._Приложение_2010-2012 рус  КОРРЕКТИРОВКА_Пр 4     11.05.11. ИКС_Приложение_рус _2012-2014_29,30 2" xfId="4916" xr:uid="{00000000-0005-0000-0000-00001F0D0000}"/>
    <cellStyle name="_Приложение 02 русс на 16.04.2009 г. 1 сессия_Приложение 1-18 рус пост посл_Прилож.к бюдж 2010г._Приложение_2010-2012 рус  КОРРЕКТИРОВКА_Приложение 4 русс,каз 16.03.11. посл" xfId="1489" xr:uid="{00000000-0005-0000-0000-0000200D0000}"/>
    <cellStyle name="_Приложение 02 русс на 16.04.2009 г. 1 сессия_Приложение 1-18 рус пост посл_Прилож.к бюдж 2010г._Приложение_2010-2012 рус  КОРРЕКТИРОВКА_Приложение 4 русс,каз 16.03.11. посл 2" xfId="4917" xr:uid="{00000000-0005-0000-0000-0000210D0000}"/>
    <cellStyle name="_Приложение 02 русс на 16.04.2009 г. 1 сессия_Приложение 1-18 рус пост посл_Прилож.к бюдж 2010г._Приложение_2010-2012 рус  КОРРЕКТИРОВКА_Приложение 4 русс,каз 16.03.11. посл_Приложение_рус _2012-2014_29,30" xfId="1490" xr:uid="{00000000-0005-0000-0000-0000220D0000}"/>
    <cellStyle name="_Приложение 02 русс на 16.04.2009 г. 1 сессия_Приложение 1-18 рус пост посл_Прилож.к бюдж 2010г._Приложение_2010-2012 рус  КОРРЕКТИРОВКА_Приложение 4 русс,каз 16.03.11. посл_Приложение_рус _2012-2014_29,30 2" xfId="4918" xr:uid="{00000000-0005-0000-0000-000023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" xfId="1491" xr:uid="{00000000-0005-0000-0000-000024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 2" xfId="4919" xr:uid="{00000000-0005-0000-0000-000025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" xfId="1492" xr:uid="{00000000-0005-0000-0000-000026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 2" xfId="4920" xr:uid="{00000000-0005-0000-0000-000027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 3.03.2011г." xfId="3071" xr:uid="{00000000-0005-0000-0000-000028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 6.03.2011г." xfId="3072" xr:uid="{00000000-0005-0000-0000-000029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 9.03.2011г." xfId="3073" xr:uid="{00000000-0005-0000-0000-00002A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_Приложение_рус _2012-2014_29,30" xfId="1493" xr:uid="{00000000-0005-0000-0000-00002B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_Приложение_рус _2012-2014_29,30 2" xfId="4921" xr:uid="{00000000-0005-0000-0000-00002C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 4     11.05.11. ИКС" xfId="1494" xr:uid="{00000000-0005-0000-0000-00002D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 4     11.05.11. ИКС 2" xfId="4922" xr:uid="{00000000-0005-0000-0000-00002E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 4     11.05.11. ИКС_Приложение_рус _2012-2014_29,30" xfId="1495" xr:uid="{00000000-0005-0000-0000-00002F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 4     11.05.11. ИКС_Приложение_рус _2012-2014_29,30 2" xfId="4923" xr:uid="{00000000-0005-0000-0000-000030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 4 русс,каз 16.03.11. посл" xfId="1496" xr:uid="{00000000-0005-0000-0000-000031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 4 русс,каз 16.03.11. посл 2" xfId="4924" xr:uid="{00000000-0005-0000-0000-000032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 4 русс,каз 16.03.11. посл_Приложение_рус _2012-2014_29,30" xfId="1497" xr:uid="{00000000-0005-0000-0000-000033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 4 русс,каз 16.03.11. посл_Приложение_рус _2012-2014_29,30 2" xfId="4925" xr:uid="{00000000-0005-0000-0000-000034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еал_рус 2011-2013 Уточнение" xfId="1498" xr:uid="{00000000-0005-0000-0000-000035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еал_рус 2011-2013 Уточнение 2" xfId="4926" xr:uid="{00000000-0005-0000-0000-000036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еал_рус 2011-2013 Уточнение_Приложение_рус _2012-2014_29,30" xfId="1499" xr:uid="{00000000-0005-0000-0000-000037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еал_рус 2011-2013 Уточнение_Приложение_рус _2012-2014_29,30 2" xfId="4927" xr:uid="{00000000-0005-0000-0000-000038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ус _2012-2014_29,30" xfId="1500" xr:uid="{00000000-0005-0000-0000-000039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ус _2012-2014_29,30 2" xfId="4928" xr:uid="{00000000-0005-0000-0000-00003A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я 2012 рус" xfId="1501" xr:uid="{00000000-0005-0000-0000-00003B0D0000}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я 2012 рус 2" xfId="4929" xr:uid="{00000000-0005-0000-0000-00003C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" xfId="1502" xr:uid="{00000000-0005-0000-0000-00003D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 2" xfId="4930" xr:uid="{00000000-0005-0000-0000-00003E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" xfId="1503" xr:uid="{00000000-0005-0000-0000-00003F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 2" xfId="4931" xr:uid="{00000000-0005-0000-0000-000040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 3.03.2011г." xfId="3074" xr:uid="{00000000-0005-0000-0000-000041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 6.03.2011г." xfId="3075" xr:uid="{00000000-0005-0000-0000-000042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 9.03.2011г." xfId="3076" xr:uid="{00000000-0005-0000-0000-000043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_Приложение_рус _2012-2014_29,30" xfId="1504" xr:uid="{00000000-0005-0000-0000-000044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_Приложение_рус _2012-2014_29,30 2" xfId="4932" xr:uid="{00000000-0005-0000-0000-000045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 4     11.05.11. ИКС" xfId="1505" xr:uid="{00000000-0005-0000-0000-000046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 4     11.05.11. ИКС 2" xfId="4933" xr:uid="{00000000-0005-0000-0000-000047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 4     11.05.11. ИКС_Приложение_рус _2012-2014_29,30" xfId="1506" xr:uid="{00000000-0005-0000-0000-000048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 4     11.05.11. ИКС_Приложение_рус _2012-2014_29,30 2" xfId="4934" xr:uid="{00000000-0005-0000-0000-000049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 4 русс,каз 16.03.11. посл" xfId="1507" xr:uid="{00000000-0005-0000-0000-00004A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 4 русс,каз 16.03.11. посл 2" xfId="4935" xr:uid="{00000000-0005-0000-0000-00004B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 4 русс,каз 16.03.11. посл_Приложение_рус _2012-2014_29,30" xfId="1508" xr:uid="{00000000-0005-0000-0000-00004C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 4 русс,каз 16.03.11. посл_Приложение_рус _2012-2014_29,30 2" xfId="4936" xr:uid="{00000000-0005-0000-0000-00004D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еал_рус 2011-2013 Уточнение" xfId="1509" xr:uid="{00000000-0005-0000-0000-00004E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еал_рус 2011-2013 Уточнение 2" xfId="4937" xr:uid="{00000000-0005-0000-0000-00004F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еал_рус 2011-2013 Уточнение_Приложение_рус _2012-2014_29,30" xfId="1510" xr:uid="{00000000-0005-0000-0000-000050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еал_рус 2011-2013 Уточнение_Приложение_рус _2012-2014_29,30 2" xfId="4938" xr:uid="{00000000-0005-0000-0000-000051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ус _2012-2014_29,30" xfId="1511" xr:uid="{00000000-0005-0000-0000-000052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ус _2012-2014_29,30 2" xfId="4939" xr:uid="{00000000-0005-0000-0000-000053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я 2012 рус" xfId="1512" xr:uid="{00000000-0005-0000-0000-0000540D0000}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я 2012 рус 2" xfId="4940" xr:uid="{00000000-0005-0000-0000-0000550D0000}"/>
    <cellStyle name="_Приложение 02 русс на 16.04.2009 г. 1 сессия_Приложение 1-18 рус пост посл_Прилож.к бюдж 2010г._Приложение_2010-2012 рус  КОРРЕКТИРОВКА_Приложение_реал_рус 2011-2013 Уточнение" xfId="1513" xr:uid="{00000000-0005-0000-0000-0000560D0000}"/>
    <cellStyle name="_Приложение 02 русс на 16.04.2009 г. 1 сессия_Приложение 1-18 рус пост посл_Прилож.к бюдж 2010г._Приложение_2010-2012 рус  КОРРЕКТИРОВКА_Приложение_реал_рус 2011-2013 Уточнение 2" xfId="4941" xr:uid="{00000000-0005-0000-0000-0000570D0000}"/>
    <cellStyle name="_Приложение 02 русс на 16.04.2009 г. 1 сессия_Приложение 1-18 рус пост посл_Прилож.к бюдж 2010г._Приложение_2010-2012 рус  КОРРЕКТИРОВКА_Приложение_реал_рус 2011-2013 Уточнение_Приложение_рус _2012-2014_29,30" xfId="1514" xr:uid="{00000000-0005-0000-0000-0000580D0000}"/>
    <cellStyle name="_Приложение 02 русс на 16.04.2009 г. 1 сессия_Приложение 1-18 рус пост посл_Прилож.к бюдж 2010г._Приложение_2010-2012 рус  КОРРЕКТИРОВКА_Приложение_реал_рус 2011-2013 Уточнение_Приложение_рус _2012-2014_29,30 2" xfId="4942" xr:uid="{00000000-0005-0000-0000-0000590D0000}"/>
    <cellStyle name="_Приложение 02 русс на 16.04.2009 г. 1 сессия_Приложение 1-18 рус пост посл_Прилож.к бюдж 2010г._Приложение_2010-2012 рус  КОРРЕКТИРОВКА_Приложение_рус _2012-2014_29,30" xfId="1515" xr:uid="{00000000-0005-0000-0000-00005A0D0000}"/>
    <cellStyle name="_Приложение 02 русс на 16.04.2009 г. 1 сессия_Приложение 1-18 рус пост посл_Прилож.к бюдж 2010г._Приложение_2010-2012 рус  КОРРЕКТИРОВКА_Приложение_рус _2012-2014_29,30 2" xfId="4943" xr:uid="{00000000-0005-0000-0000-00005B0D0000}"/>
    <cellStyle name="_Приложение 02 русс на 16.04.2009 г. 1 сессия_Приложение 1-18 рус пост посл_Прилож.к бюдж 2010г._Приложение_2010-2012 рус  КОРРЕКТИРОВКА_приложения 2012 рус" xfId="1516" xr:uid="{00000000-0005-0000-0000-00005C0D0000}"/>
    <cellStyle name="_Приложение 02 русс на 16.04.2009 г. 1 сессия_Приложение 1-18 рус пост посл_Прилож.к бюдж 2010г._Приложение_2010-2012 рус  КОРРЕКТИРОВКА_приложения 2012 рус 2" xfId="4944" xr:uid="{00000000-0005-0000-0000-00005D0D0000}"/>
    <cellStyle name="_Приложение 02 русс на 16.04.2009 г. 1 сессия_Приложение 1-18 рус пост посл_Прилож.к бюдж 2010г._Приложение_2010-2012 рус 04.08.10" xfId="1517" xr:uid="{00000000-0005-0000-0000-00005E0D0000}"/>
    <cellStyle name="_Приложение 02 русс на 16.04.2009 г. 1 сессия_Приложение 1-18 рус пост посл_Прилож.к бюдж 2010г._Приложение_2010-2012 рус 04.08.10 2" xfId="4945" xr:uid="{00000000-0005-0000-0000-00005F0D0000}"/>
    <cellStyle name="_Приложение 02 русс на 16.04.2009 г. 1 сессия_Приложение 1-18 рус пост посл_Прилож.к бюдж 2010г._Приложение_2010-2012 рус 04.08.10_Анализ" xfId="1518" xr:uid="{00000000-0005-0000-0000-0000600D0000}"/>
    <cellStyle name="_Приложение 02 русс на 16.04.2009 г. 1 сессия_Приложение 1-18 рус пост посл_Прилож.к бюдж 2010г._Приложение_2010-2012 рус 04.08.10_Анализ 2" xfId="4946" xr:uid="{00000000-0005-0000-0000-0000610D0000}"/>
    <cellStyle name="_Приложение 02 русс на 16.04.2009 г. 1 сессия_Приложение 1-18 рус пост посл_Прилож.к бюдж 2010г._Приложение_2010-2012 рус 04.08.10_Анализ 3.03.2011г." xfId="3077" xr:uid="{00000000-0005-0000-0000-0000620D0000}"/>
    <cellStyle name="_Приложение 02 русс на 16.04.2009 г. 1 сессия_Приложение 1-18 рус пост посл_Прилож.к бюдж 2010г._Приложение_2010-2012 рус 04.08.10_Анализ 6.03.2011г." xfId="3078" xr:uid="{00000000-0005-0000-0000-0000630D0000}"/>
    <cellStyle name="_Приложение 02 русс на 16.04.2009 г. 1 сессия_Приложение 1-18 рус пост посл_Прилож.к бюдж 2010г._Приложение_2010-2012 рус 04.08.10_Анализ 9.03.2011г." xfId="3079" xr:uid="{00000000-0005-0000-0000-0000640D0000}"/>
    <cellStyle name="_Приложение 02 русс на 16.04.2009 г. 1 сессия_Приложение 1-18 рус пост посл_Прилож.к бюдж 2010г._Приложение_2010-2012 рус 04.08.10_Анализ_Приложение_рус _2012-2014_29,30" xfId="1519" xr:uid="{00000000-0005-0000-0000-0000650D0000}"/>
    <cellStyle name="_Приложение 02 русс на 16.04.2009 г. 1 сессия_Приложение 1-18 рус пост посл_Прилож.к бюдж 2010г._Приложение_2010-2012 рус 04.08.10_Анализ_Приложение_рус _2012-2014_29,30 2" xfId="4947" xr:uid="{00000000-0005-0000-0000-0000660D0000}"/>
    <cellStyle name="_Приложение 02 русс на 16.04.2009 г. 1 сессия_Приложение 1-18 рус пост посл_Прилож.к бюдж 2010г._Приложение_2010-2012 рус 04.08.10_Пр 4     11.05.11. ИКС" xfId="1520" xr:uid="{00000000-0005-0000-0000-0000670D0000}"/>
    <cellStyle name="_Приложение 02 русс на 16.04.2009 г. 1 сессия_Приложение 1-18 рус пост посл_Прилож.к бюдж 2010г._Приложение_2010-2012 рус 04.08.10_Пр 4     11.05.11. ИКС 2" xfId="4948" xr:uid="{00000000-0005-0000-0000-0000680D0000}"/>
    <cellStyle name="_Приложение 02 русс на 16.04.2009 г. 1 сессия_Приложение 1-18 рус пост посл_Прилож.к бюдж 2010г._Приложение_2010-2012 рус 04.08.10_Пр 4     11.05.11. ИКС_Приложение_рус _2012-2014_29,30" xfId="1521" xr:uid="{00000000-0005-0000-0000-0000690D0000}"/>
    <cellStyle name="_Приложение 02 русс на 16.04.2009 г. 1 сессия_Приложение 1-18 рус пост посл_Прилож.к бюдж 2010г._Приложение_2010-2012 рус 04.08.10_Пр 4     11.05.11. ИКС_Приложение_рус _2012-2014_29,30 2" xfId="4949" xr:uid="{00000000-0005-0000-0000-00006A0D0000}"/>
    <cellStyle name="_Приложение 02 русс на 16.04.2009 г. 1 сессия_Приложение 1-18 рус пост посл_Прилож.к бюдж 2010г._Приложение_2010-2012 рус 04.08.10_Приложение 4 русс,каз 16.03.11. посл" xfId="1522" xr:uid="{00000000-0005-0000-0000-00006B0D0000}"/>
    <cellStyle name="_Приложение 02 русс на 16.04.2009 г. 1 сессия_Приложение 1-18 рус пост посл_Прилож.к бюдж 2010г._Приложение_2010-2012 рус 04.08.10_Приложение 4 русс,каз 16.03.11. посл 2" xfId="4950" xr:uid="{00000000-0005-0000-0000-00006C0D0000}"/>
    <cellStyle name="_Приложение 02 русс на 16.04.2009 г. 1 сессия_Приложение 1-18 рус пост посл_Прилож.к бюдж 2010г._Приложение_2010-2012 рус 04.08.10_Приложение 4 русс,каз 16.03.11. посл_Приложение_рус _2012-2014_29,30" xfId="1523" xr:uid="{00000000-0005-0000-0000-00006D0D0000}"/>
    <cellStyle name="_Приложение 02 русс на 16.04.2009 г. 1 сессия_Приложение 1-18 рус пост посл_Прилож.к бюдж 2010г._Приложение_2010-2012 рус 04.08.10_Приложение 4 русс,каз 16.03.11. посл_Приложение_рус _2012-2014_29,30 2" xfId="4951" xr:uid="{00000000-0005-0000-0000-00006E0D0000}"/>
    <cellStyle name="_Приложение 02 русс на 16.04.2009 г. 1 сессия_Приложение 1-18 рус пост посл_Прилож.к бюдж 2010г._Приложение_2010-2012 рус 04.08.10_Приложение_реал_рус 2011-2013 Уточнение" xfId="1524" xr:uid="{00000000-0005-0000-0000-00006F0D0000}"/>
    <cellStyle name="_Приложение 02 русс на 16.04.2009 г. 1 сессия_Приложение 1-18 рус пост посл_Прилож.к бюдж 2010г._Приложение_2010-2012 рус 04.08.10_Приложение_реал_рус 2011-2013 Уточнение 2" xfId="4952" xr:uid="{00000000-0005-0000-0000-0000700D0000}"/>
    <cellStyle name="_Приложение 02 русс на 16.04.2009 г. 1 сессия_Приложение 1-18 рус пост посл_Прилож.к бюдж 2010г._Приложение_2010-2012 рус 04.08.10_Приложение_реал_рус 2011-2013 Уточнение_Приложение_рус _2012-2014_29,30" xfId="1525" xr:uid="{00000000-0005-0000-0000-0000710D0000}"/>
    <cellStyle name="_Приложение 02 русс на 16.04.2009 г. 1 сессия_Приложение 1-18 рус пост посл_Прилож.к бюдж 2010г._Приложение_2010-2012 рус 04.08.10_Приложение_реал_рус 2011-2013 Уточнение_Приложение_рус _2012-2014_29,30 2" xfId="4953" xr:uid="{00000000-0005-0000-0000-0000720D0000}"/>
    <cellStyle name="_Приложение 02 русс на 16.04.2009 г. 1 сессия_Приложение 1-18 рус пост посл_Прилож.к бюдж 2010г._Приложение_2010-2012 рус 04.08.10_Приложение_рус _2012-2014_29,30" xfId="1526" xr:uid="{00000000-0005-0000-0000-0000730D0000}"/>
    <cellStyle name="_Приложение 02 русс на 16.04.2009 г. 1 сессия_Приложение 1-18 рус пост посл_Прилож.к бюдж 2010г._Приложение_2010-2012 рус 04.08.10_Приложение_рус _2012-2014_29,30 2" xfId="4954" xr:uid="{00000000-0005-0000-0000-0000740D0000}"/>
    <cellStyle name="_Приложение 02 русс на 16.04.2009 г. 1 сессия_Приложение 1-18 рус пост посл_Прилож.к бюдж 2010г._Приложение_2010-2012 рус 04.08.10_приложения 2012 рус" xfId="1527" xr:uid="{00000000-0005-0000-0000-0000750D0000}"/>
    <cellStyle name="_Приложение 02 русс на 16.04.2009 г. 1 сессия_Приложение 1-18 рус пост посл_Прилож.к бюдж 2010г._Приложение_2010-2012 рус 04.08.10_приложения 2012 рус 2" xfId="4955" xr:uid="{00000000-0005-0000-0000-0000760D0000}"/>
    <cellStyle name="_Приложение 02 русс на 16.04.2009 г. 1 сессия_Приложение 1-18 рус пост посл_Прилож.к бюдж 2010г._Приложение_2010-2012 рус март" xfId="1528" xr:uid="{00000000-0005-0000-0000-0000770D0000}"/>
    <cellStyle name="_Приложение 02 русс на 16.04.2009 г. 1 сессия_Приложение 1-18 рус пост посл_Прилож.к бюдж 2010г._Приложение_2010-2012 рус март 2" xfId="4956" xr:uid="{00000000-0005-0000-0000-0000780D0000}"/>
    <cellStyle name="_Приложение 02 русс на 16.04.2009 г. 1 сессия_Приложение 1-18 рус пост посл_Прилож.к бюдж 2010г._Приложение_2010-2012 рус март_Анализ" xfId="1529" xr:uid="{00000000-0005-0000-0000-0000790D0000}"/>
    <cellStyle name="_Приложение 02 русс на 16.04.2009 г. 1 сессия_Приложение 1-18 рус пост посл_Прилож.к бюдж 2010г._Приложение_2010-2012 рус март_Анализ 2" xfId="4957" xr:uid="{00000000-0005-0000-0000-00007A0D0000}"/>
    <cellStyle name="_Приложение 02 русс на 16.04.2009 г. 1 сессия_Приложение 1-18 рус пост посл_Прилож.к бюдж 2010г._Приложение_2010-2012 рус март_Анализ 3.03.2011г." xfId="3080" xr:uid="{00000000-0005-0000-0000-00007B0D0000}"/>
    <cellStyle name="_Приложение 02 русс на 16.04.2009 г. 1 сессия_Приложение 1-18 рус пост посл_Прилож.к бюдж 2010г._Приложение_2010-2012 рус март_Анализ 6.03.2011г." xfId="3081" xr:uid="{00000000-0005-0000-0000-00007C0D0000}"/>
    <cellStyle name="_Приложение 02 русс на 16.04.2009 г. 1 сессия_Приложение 1-18 рус пост посл_Прилож.к бюдж 2010г._Приложение_2010-2012 рус март_Анализ 9.03.2011г." xfId="3082" xr:uid="{00000000-0005-0000-0000-00007D0D0000}"/>
    <cellStyle name="_Приложение 02 русс на 16.04.2009 г. 1 сессия_Приложение 1-18 рус пост посл_Прилож.к бюдж 2010г._Приложение_2010-2012 рус март_Анализ_Приложение_рус _2012-2014_29,30" xfId="1530" xr:uid="{00000000-0005-0000-0000-00007E0D0000}"/>
    <cellStyle name="_Приложение 02 русс на 16.04.2009 г. 1 сессия_Приложение 1-18 рус пост посл_Прилож.к бюдж 2010г._Приложение_2010-2012 рус март_Анализ_Приложение_рус _2012-2014_29,30 2" xfId="4958" xr:uid="{00000000-0005-0000-0000-00007F0D0000}"/>
    <cellStyle name="_Приложение 02 русс на 16.04.2009 г. 1 сессия_Приложение 1-18 рус пост посл_Прилож.к бюдж 2010г._Приложение_2010-2012 рус март_Пр 4     11.05.11. ИКС" xfId="1531" xr:uid="{00000000-0005-0000-0000-0000800D0000}"/>
    <cellStyle name="_Приложение 02 русс на 16.04.2009 г. 1 сессия_Приложение 1-18 рус пост посл_Прилож.к бюдж 2010г._Приложение_2010-2012 рус март_Пр 4     11.05.11. ИКС 2" xfId="4959" xr:uid="{00000000-0005-0000-0000-0000810D0000}"/>
    <cellStyle name="_Приложение 02 русс на 16.04.2009 г. 1 сессия_Приложение 1-18 рус пост посл_Прилож.к бюдж 2010г._Приложение_2010-2012 рус март_Пр 4     11.05.11. ИКС_Приложение_рус _2012-2014_29,30" xfId="1532" xr:uid="{00000000-0005-0000-0000-0000820D0000}"/>
    <cellStyle name="_Приложение 02 русс на 16.04.2009 г. 1 сессия_Приложение 1-18 рус пост посл_Прилож.к бюдж 2010г._Приложение_2010-2012 рус март_Пр 4     11.05.11. ИКС_Приложение_рус _2012-2014_29,30 2" xfId="4960" xr:uid="{00000000-0005-0000-0000-0000830D0000}"/>
    <cellStyle name="_Приложение 02 русс на 16.04.2009 г. 1 сессия_Приложение 1-18 рус пост посл_Прилож.к бюдж 2010г._Приложение_2010-2012 рус март_Приложение 4 русс,каз 16.03.11. посл" xfId="1533" xr:uid="{00000000-0005-0000-0000-0000840D0000}"/>
    <cellStyle name="_Приложение 02 русс на 16.04.2009 г. 1 сессия_Приложение 1-18 рус пост посл_Прилож.к бюдж 2010г._Приложение_2010-2012 рус март_Приложение 4 русс,каз 16.03.11. посл 2" xfId="4961" xr:uid="{00000000-0005-0000-0000-0000850D0000}"/>
    <cellStyle name="_Приложение 02 русс на 16.04.2009 г. 1 сессия_Приложение 1-18 рус пост посл_Прилож.к бюдж 2010г._Приложение_2010-2012 рус март_Приложение 4 русс,каз 16.03.11. посл_Приложение_рус _2012-2014_29,30" xfId="1534" xr:uid="{00000000-0005-0000-0000-0000860D0000}"/>
    <cellStyle name="_Приложение 02 русс на 16.04.2009 г. 1 сессия_Приложение 1-18 рус пост посл_Прилож.к бюдж 2010г._Приложение_2010-2012 рус март_Приложение 4 русс,каз 16.03.11. посл_Приложение_рус _2012-2014_29,30 2" xfId="4962" xr:uid="{00000000-0005-0000-0000-0000870D0000}"/>
    <cellStyle name="_Приложение 02 русс на 16.04.2009 г. 1 сессия_Приложение 1-18 рус пост посл_Прилож.к бюдж 2010г._Приложение_2010-2012 рус март_Приложение_2010-2012 рус 04.08.10" xfId="1535" xr:uid="{00000000-0005-0000-0000-0000880D0000}"/>
    <cellStyle name="_Приложение 02 русс на 16.04.2009 г. 1 сессия_Приложение 1-18 рус пост посл_Прилож.к бюдж 2010г._Приложение_2010-2012 рус март_Приложение_2010-2012 рус 04.08.10 2" xfId="4963" xr:uid="{00000000-0005-0000-0000-000089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" xfId="1536" xr:uid="{00000000-0005-0000-0000-00008A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 2" xfId="4964" xr:uid="{00000000-0005-0000-0000-00008B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 3.03.2011г." xfId="3083" xr:uid="{00000000-0005-0000-0000-00008C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 6.03.2011г." xfId="3084" xr:uid="{00000000-0005-0000-0000-00008D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 9.03.2011г." xfId="3085" xr:uid="{00000000-0005-0000-0000-00008E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_Приложение_рус _2012-2014_29,30" xfId="1537" xr:uid="{00000000-0005-0000-0000-00008F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_Приложение_рус _2012-2014_29,30 2" xfId="4965" xr:uid="{00000000-0005-0000-0000-000090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 4     11.05.11. ИКС" xfId="1538" xr:uid="{00000000-0005-0000-0000-000091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 4     11.05.11. ИКС 2" xfId="4966" xr:uid="{00000000-0005-0000-0000-000092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 4     11.05.11. ИКС_Приложение_рус _2012-2014_29,30" xfId="1539" xr:uid="{00000000-0005-0000-0000-000093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 4     11.05.11. ИКС_Приложение_рус _2012-2014_29,30 2" xfId="4967" xr:uid="{00000000-0005-0000-0000-000094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 4 русс,каз 16.03.11. посл" xfId="1540" xr:uid="{00000000-0005-0000-0000-000095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 4 русс,каз 16.03.11. посл 2" xfId="4968" xr:uid="{00000000-0005-0000-0000-000096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 4 русс,каз 16.03.11. посл_Приложение_рус _2012-2014_29,30" xfId="1541" xr:uid="{00000000-0005-0000-0000-000097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 4 русс,каз 16.03.11. посл_Приложение_рус _2012-2014_29,30 2" xfId="4969" xr:uid="{00000000-0005-0000-0000-000098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еал_рус 2011-2013 Уточнение" xfId="1542" xr:uid="{00000000-0005-0000-0000-000099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еал_рус 2011-2013 Уточнение 2" xfId="4970" xr:uid="{00000000-0005-0000-0000-00009A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еал_рус 2011-2013 Уточнение_Приложение_рус _2012-2014_29,30" xfId="1543" xr:uid="{00000000-0005-0000-0000-00009B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еал_рус 2011-2013 Уточнение_Приложение_рус _2012-2014_29,30 2" xfId="4971" xr:uid="{00000000-0005-0000-0000-00009C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ус _2012-2014_29,30" xfId="1544" xr:uid="{00000000-0005-0000-0000-00009D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ус _2012-2014_29,30 2" xfId="4972" xr:uid="{00000000-0005-0000-0000-00009E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я 2012 рус" xfId="1545" xr:uid="{00000000-0005-0000-0000-00009F0D0000}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я 2012 рус 2" xfId="4973" xr:uid="{00000000-0005-0000-0000-0000A00D0000}"/>
    <cellStyle name="_Приложение 02 русс на 16.04.2009 г. 1 сессия_Приложение 1-18 рус пост посл_Прилож.к бюдж 2010г._Приложение_2010-2012 рус март_Приложение_пост_рус_авг" xfId="1546" xr:uid="{00000000-0005-0000-0000-0000A10D0000}"/>
    <cellStyle name="_Приложение 02 русс на 16.04.2009 г. 1 сессия_Приложение 1-18 рус пост посл_Прилож.к бюдж 2010г._Приложение_2010-2012 рус март_Приложение_пост_рус_авг 2" xfId="4974" xr:uid="{00000000-0005-0000-0000-0000A20D0000}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" xfId="1547" xr:uid="{00000000-0005-0000-0000-0000A30D0000}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 2" xfId="4975" xr:uid="{00000000-0005-0000-0000-0000A40D0000}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 3.03.2011г." xfId="3086" xr:uid="{00000000-0005-0000-0000-0000A50D0000}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 6.03.2011г." xfId="3087" xr:uid="{00000000-0005-0000-0000-0000A60D0000}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 9.03.2011г." xfId="3088" xr:uid="{00000000-0005-0000-0000-0000A70D0000}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_Приложение_рус _2012-2014_29,30" xfId="1548" xr:uid="{00000000-0005-0000-0000-0000A80D0000}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_Приложение_рус _2012-2014_29,30 2" xfId="4976" xr:uid="{00000000-0005-0000-0000-0000A9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 4     11.05.11. ИКС" xfId="1549" xr:uid="{00000000-0005-0000-0000-0000AA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 4     11.05.11. ИКС 2" xfId="4977" xr:uid="{00000000-0005-0000-0000-0000AB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 4     11.05.11. ИКС_Приложение_рус _2012-2014_29,30" xfId="1550" xr:uid="{00000000-0005-0000-0000-0000AC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 4     11.05.11. ИКС_Приложение_рус _2012-2014_29,30 2" xfId="4978" xr:uid="{00000000-0005-0000-0000-0000AD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 4 русс,каз 16.03.11. посл" xfId="1551" xr:uid="{00000000-0005-0000-0000-0000AE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 4 русс,каз 16.03.11. посл 2" xfId="4979" xr:uid="{00000000-0005-0000-0000-0000AF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 4 русс,каз 16.03.11. посл_Приложение_рус _2012-2014_29,30" xfId="1552" xr:uid="{00000000-0005-0000-0000-0000B0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 4 русс,каз 16.03.11. посл_Приложение_рус _2012-2014_29,30 2" xfId="4980" xr:uid="{00000000-0005-0000-0000-0000B1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еал_рус 2011-2013 Уточнение" xfId="1553" xr:uid="{00000000-0005-0000-0000-0000B2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еал_рус 2011-2013 Уточнение 2" xfId="4981" xr:uid="{00000000-0005-0000-0000-0000B3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еал_рус 2011-2013 Уточнение_Приложение_рус _2012-2014_29,30" xfId="1554" xr:uid="{00000000-0005-0000-0000-0000B4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еал_рус 2011-2013 Уточнение_Приложение_рус _2012-2014_29,30 2" xfId="4982" xr:uid="{00000000-0005-0000-0000-0000B5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ус _2012-2014_29,30" xfId="1555" xr:uid="{00000000-0005-0000-0000-0000B6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ус _2012-2014_29,30 2" xfId="4983" xr:uid="{00000000-0005-0000-0000-0000B7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я 2012 рус" xfId="1556" xr:uid="{00000000-0005-0000-0000-0000B80D0000}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я 2012 рус 2" xfId="4984" xr:uid="{00000000-0005-0000-0000-0000B90D0000}"/>
    <cellStyle name="_Приложение 02 русс на 16.04.2009 г. 1 сессия_Приложение 1-18 рус пост посл_Прилож.к бюдж 2010г._Приложение_2010-2012 рус март_Приложение_реал_рус 2011-2013 Уточнение" xfId="1557" xr:uid="{00000000-0005-0000-0000-0000BA0D0000}"/>
    <cellStyle name="_Приложение 02 русс на 16.04.2009 г. 1 сессия_Приложение 1-18 рус пост посл_Прилож.к бюдж 2010г._Приложение_2010-2012 рус март_Приложение_реал_рус 2011-2013 Уточнение 2" xfId="4985" xr:uid="{00000000-0005-0000-0000-0000BB0D0000}"/>
    <cellStyle name="_Приложение 02 русс на 16.04.2009 г. 1 сессия_Приложение 1-18 рус пост посл_Прилож.к бюдж 2010г._Приложение_2010-2012 рус март_Приложение_реал_рус 2011-2013 Уточнение_Приложение_рус _2012-2014_29,30" xfId="1558" xr:uid="{00000000-0005-0000-0000-0000BC0D0000}"/>
    <cellStyle name="_Приложение 02 русс на 16.04.2009 г. 1 сессия_Приложение 1-18 рус пост посл_Прилож.к бюдж 2010г._Приложение_2010-2012 рус март_Приложение_реал_рус 2011-2013 Уточнение_Приложение_рус _2012-2014_29,30 2" xfId="4986" xr:uid="{00000000-0005-0000-0000-0000BD0D0000}"/>
    <cellStyle name="_Приложение 02 русс на 16.04.2009 г. 1 сессия_Приложение 1-18 рус пост посл_Прилож.к бюдж 2010г._Приложение_2010-2012 рус март_Приложение_рус _2012-2014_29,30" xfId="1559" xr:uid="{00000000-0005-0000-0000-0000BE0D0000}"/>
    <cellStyle name="_Приложение 02 русс на 16.04.2009 г. 1 сессия_Приложение 1-18 рус пост посл_Прилож.к бюдж 2010г._Приложение_2010-2012 рус март_Приложение_рус _2012-2014_29,30 2" xfId="4987" xr:uid="{00000000-0005-0000-0000-0000BF0D0000}"/>
    <cellStyle name="_Приложение 02 русс на 16.04.2009 г. 1 сессия_Приложение 1-18 рус пост посл_Прилож.к бюдж 2010г._Приложение_2010-2012 рус март_приложения 2012 рус" xfId="1560" xr:uid="{00000000-0005-0000-0000-0000C00D0000}"/>
    <cellStyle name="_Приложение 02 русс на 16.04.2009 г. 1 сессия_Приложение 1-18 рус пост посл_Прилож.к бюдж 2010г._Приложение_2010-2012 рус март_приложения 2012 рус 2" xfId="4988" xr:uid="{00000000-0005-0000-0000-0000C10D0000}"/>
    <cellStyle name="_Приложение 02 русс на 16.04.2009 г. 1 сессия_Приложение 1-18 рус пост посл_Прилож.к бюдж 2010г._Приложение_пост_каз_авг" xfId="1561" xr:uid="{00000000-0005-0000-0000-0000C20D0000}"/>
    <cellStyle name="_Приложение 02 русс на 16.04.2009 г. 1 сессия_Приложение 1-18 рус пост посл_Прилож.к бюдж 2010г._Приложение_пост_каз_авг 2" xfId="4989" xr:uid="{00000000-0005-0000-0000-0000C30D0000}"/>
    <cellStyle name="_Приложение 02 русс на 16.04.2009 г. 1 сессия_Приложение 1-18 рус пост посл_Прилож.к бюдж 2010г._Приложение_пост_каз_авг_Анализ" xfId="1562" xr:uid="{00000000-0005-0000-0000-0000C40D0000}"/>
    <cellStyle name="_Приложение 02 русс на 16.04.2009 г. 1 сессия_Приложение 1-18 рус пост посл_Прилож.к бюдж 2010г._Приложение_пост_каз_авг_Анализ 2" xfId="4990" xr:uid="{00000000-0005-0000-0000-0000C50D0000}"/>
    <cellStyle name="_Приложение 02 русс на 16.04.2009 г. 1 сессия_Приложение 1-18 рус пост посл_Прилож.к бюдж 2010г._Приложение_пост_каз_авг_Анализ 3.03.2011г." xfId="3089" xr:uid="{00000000-0005-0000-0000-0000C60D0000}"/>
    <cellStyle name="_Приложение 02 русс на 16.04.2009 г. 1 сессия_Приложение 1-18 рус пост посл_Прилож.к бюдж 2010г._Приложение_пост_каз_авг_Анализ 6.03.2011г." xfId="3090" xr:uid="{00000000-0005-0000-0000-0000C70D0000}"/>
    <cellStyle name="_Приложение 02 русс на 16.04.2009 г. 1 сессия_Приложение 1-18 рус пост посл_Прилож.к бюдж 2010г._Приложение_пост_каз_авг_Анализ 9.03.2011г." xfId="3091" xr:uid="{00000000-0005-0000-0000-0000C80D0000}"/>
    <cellStyle name="_Приложение 02 русс на 16.04.2009 г. 1 сессия_Приложение 1-18 рус пост посл_Прилож.к бюдж 2010г._Приложение_пост_каз_авг_Анализ_Приложение_рус _2012-2014_29,30" xfId="1563" xr:uid="{00000000-0005-0000-0000-0000C90D0000}"/>
    <cellStyle name="_Приложение 02 русс на 16.04.2009 г. 1 сессия_Приложение 1-18 рус пост посл_Прилож.к бюдж 2010г._Приложение_пост_каз_авг_Анализ_Приложение_рус _2012-2014_29,30 2" xfId="4991" xr:uid="{00000000-0005-0000-0000-0000CA0D0000}"/>
    <cellStyle name="_Приложение 02 русс на 16.04.2009 г. 1 сессия_Приложение 1-18 рус пост посл_Прилож.к бюдж 2010г._Приложение_пост_каз_авг_Пр 4     11.05.11. ИКС" xfId="1564" xr:uid="{00000000-0005-0000-0000-0000CB0D0000}"/>
    <cellStyle name="_Приложение 02 русс на 16.04.2009 г. 1 сессия_Приложение 1-18 рус пост посл_Прилож.к бюдж 2010г._Приложение_пост_каз_авг_Пр 4     11.05.11. ИКС 2" xfId="4992" xr:uid="{00000000-0005-0000-0000-0000CC0D0000}"/>
    <cellStyle name="_Приложение 02 русс на 16.04.2009 г. 1 сессия_Приложение 1-18 рус пост посл_Прилож.к бюдж 2010г._Приложение_пост_каз_авг_Пр 4     11.05.11. ИКС_Приложение_рус _2012-2014_29,30" xfId="1565" xr:uid="{00000000-0005-0000-0000-0000CD0D0000}"/>
    <cellStyle name="_Приложение 02 русс на 16.04.2009 г. 1 сессия_Приложение 1-18 рус пост посл_Прилож.к бюдж 2010г._Приложение_пост_каз_авг_Пр 4     11.05.11. ИКС_Приложение_рус _2012-2014_29,30 2" xfId="4993" xr:uid="{00000000-0005-0000-0000-0000CE0D0000}"/>
    <cellStyle name="_Приложение 02 русс на 16.04.2009 г. 1 сессия_Приложение 1-18 рус пост посл_Прилож.к бюдж 2010г._Приложение_пост_каз_авг_Приложение 4 русс,каз 16.03.11. посл" xfId="1566" xr:uid="{00000000-0005-0000-0000-0000CF0D0000}"/>
    <cellStyle name="_Приложение 02 русс на 16.04.2009 г. 1 сессия_Приложение 1-18 рус пост посл_Прилож.к бюдж 2010г._Приложение_пост_каз_авг_Приложение 4 русс,каз 16.03.11. посл 2" xfId="4994" xr:uid="{00000000-0005-0000-0000-0000D00D0000}"/>
    <cellStyle name="_Приложение 02 русс на 16.04.2009 г. 1 сессия_Приложение 1-18 рус пост посл_Прилож.к бюдж 2010г._Приложение_пост_каз_авг_Приложение 4 русс,каз 16.03.11. посл_Приложение_рус _2012-2014_29,30" xfId="1567" xr:uid="{00000000-0005-0000-0000-0000D10D0000}"/>
    <cellStyle name="_Приложение 02 русс на 16.04.2009 г. 1 сессия_Приложение 1-18 рус пост посл_Прилож.к бюдж 2010г._Приложение_пост_каз_авг_Приложение 4 русс,каз 16.03.11. посл_Приложение_рус _2012-2014_29,30 2" xfId="4995" xr:uid="{00000000-0005-0000-0000-0000D20D0000}"/>
    <cellStyle name="_Приложение 02 русс на 16.04.2009 г. 1 сессия_Приложение 1-18 рус пост посл_Прилож.к бюдж 2010г._Приложение_пост_каз_авг_Приложение_реал_рус 2011-2013 Уточнение" xfId="1568" xr:uid="{00000000-0005-0000-0000-0000D30D0000}"/>
    <cellStyle name="_Приложение 02 русс на 16.04.2009 г. 1 сессия_Приложение 1-18 рус пост посл_Прилож.к бюдж 2010г._Приложение_пост_каз_авг_Приложение_реал_рус 2011-2013 Уточнение 2" xfId="4996" xr:uid="{00000000-0005-0000-0000-0000D40D0000}"/>
    <cellStyle name="_Приложение 02 русс на 16.04.2009 г. 1 сессия_Приложение 1-18 рус пост посл_Прилож.к бюдж 2010г._Приложение_пост_каз_авг_Приложение_реал_рус 2011-2013 Уточнение_Приложение_рус _2012-2014_29,30" xfId="1569" xr:uid="{00000000-0005-0000-0000-0000D50D0000}"/>
    <cellStyle name="_Приложение 02 русс на 16.04.2009 г. 1 сессия_Приложение 1-18 рус пост посл_Прилож.к бюдж 2010г._Приложение_пост_каз_авг_Приложение_реал_рус 2011-2013 Уточнение_Приложение_рус _2012-2014_29,30 2" xfId="4997" xr:uid="{00000000-0005-0000-0000-0000D60D0000}"/>
    <cellStyle name="_Приложение 02 русс на 16.04.2009 г. 1 сессия_Приложение 1-18 рус пост посл_Прилож.к бюдж 2010г._Приложение_пост_каз_авг_Приложение_рус _2012-2014_29,30" xfId="1570" xr:uid="{00000000-0005-0000-0000-0000D70D0000}"/>
    <cellStyle name="_Приложение 02 русс на 16.04.2009 г. 1 сессия_Приложение 1-18 рус пост посл_Прилож.к бюдж 2010г._Приложение_пост_каз_авг_Приложение_рус _2012-2014_29,30 2" xfId="4998" xr:uid="{00000000-0005-0000-0000-0000D80D0000}"/>
    <cellStyle name="_Приложение 02 русс на 16.04.2009 г. 1 сессия_Приложение 1-18 рус пост посл_Прилож.к бюдж 2010г._Приложение_пост_каз_авг_приложения 2012 рус" xfId="1571" xr:uid="{00000000-0005-0000-0000-0000D90D0000}"/>
    <cellStyle name="_Приложение 02 русс на 16.04.2009 г. 1 сессия_Приложение 1-18 рус пост посл_Прилож.к бюдж 2010г._Приложение_пост_каз_авг_приложения 2012 рус 2" xfId="4999" xr:uid="{00000000-0005-0000-0000-0000DA0D0000}"/>
    <cellStyle name="_Приложение 02 русс на 16.04.2009 г. 1 сессия_Приложение 1-18 рус пост посл_Прилож.к бюдж 2010г._Приложение_пост_рус_авг" xfId="1572" xr:uid="{00000000-0005-0000-0000-0000DB0D0000}"/>
    <cellStyle name="_Приложение 02 русс на 16.04.2009 г. 1 сессия_Приложение 1-18 рус пост посл_Прилож.к бюдж 2010г._Приложение_пост_рус_авг 2" xfId="5000" xr:uid="{00000000-0005-0000-0000-0000DC0D0000}"/>
    <cellStyle name="_Приложение 02 русс на 16.04.2009 г. 1 сессия_Приложение 1-18 рус пост посл_Прилож.к бюдж 2010г._Приложение_пост_рус_авг_Анализ" xfId="1573" xr:uid="{00000000-0005-0000-0000-0000DD0D0000}"/>
    <cellStyle name="_Приложение 02 русс на 16.04.2009 г. 1 сессия_Приложение 1-18 рус пост посл_Прилож.к бюдж 2010г._Приложение_пост_рус_авг_Анализ 2" xfId="5001" xr:uid="{00000000-0005-0000-0000-0000DE0D0000}"/>
    <cellStyle name="_Приложение 02 русс на 16.04.2009 г. 1 сессия_Приложение 1-18 рус пост посл_Прилож.к бюдж 2010г._Приложение_пост_рус_авг_Анализ 3.03.2011г." xfId="3092" xr:uid="{00000000-0005-0000-0000-0000DF0D0000}"/>
    <cellStyle name="_Приложение 02 русс на 16.04.2009 г. 1 сессия_Приложение 1-18 рус пост посл_Прилож.к бюдж 2010г._Приложение_пост_рус_авг_Анализ 6.03.2011г." xfId="3093" xr:uid="{00000000-0005-0000-0000-0000E00D0000}"/>
    <cellStyle name="_Приложение 02 русс на 16.04.2009 г. 1 сессия_Приложение 1-18 рус пост посл_Прилож.к бюдж 2010г._Приложение_пост_рус_авг_Анализ 9.03.2011г." xfId="3094" xr:uid="{00000000-0005-0000-0000-0000E10D0000}"/>
    <cellStyle name="_Приложение 02 русс на 16.04.2009 г. 1 сессия_Приложение 1-18 рус пост посл_Прилож.к бюдж 2010г._Приложение_пост_рус_авг_Анализ_Приложение_рус _2012-2014_29,30" xfId="1574" xr:uid="{00000000-0005-0000-0000-0000E20D0000}"/>
    <cellStyle name="_Приложение 02 русс на 16.04.2009 г. 1 сессия_Приложение 1-18 рус пост посл_Прилож.к бюдж 2010г._Приложение_пост_рус_авг_Анализ_Приложение_рус _2012-2014_29,30 2" xfId="5002" xr:uid="{00000000-0005-0000-0000-0000E30D0000}"/>
    <cellStyle name="_Приложение 02 русс на 16.04.2009 г. 1 сессия_Приложение 1-18 рус пост посл_Прилож.к бюдж 2010г._Приложение_пост_рус_авг_Пр 4     11.05.11. ИКС" xfId="1575" xr:uid="{00000000-0005-0000-0000-0000E40D0000}"/>
    <cellStyle name="_Приложение 02 русс на 16.04.2009 г. 1 сессия_Приложение 1-18 рус пост посл_Прилож.к бюдж 2010г._Приложение_пост_рус_авг_Пр 4     11.05.11. ИКС 2" xfId="5003" xr:uid="{00000000-0005-0000-0000-0000E50D0000}"/>
    <cellStyle name="_Приложение 02 русс на 16.04.2009 г. 1 сессия_Приложение 1-18 рус пост посл_Прилож.к бюдж 2010г._Приложение_пост_рус_авг_Пр 4     11.05.11. ИКС_Приложение_рус _2012-2014_29,30" xfId="1576" xr:uid="{00000000-0005-0000-0000-0000E60D0000}"/>
    <cellStyle name="_Приложение 02 русс на 16.04.2009 г. 1 сессия_Приложение 1-18 рус пост посл_Прилож.к бюдж 2010г._Приложение_пост_рус_авг_Пр 4     11.05.11. ИКС_Приложение_рус _2012-2014_29,30 2" xfId="5004" xr:uid="{00000000-0005-0000-0000-0000E70D0000}"/>
    <cellStyle name="_Приложение 02 русс на 16.04.2009 г. 1 сессия_Приложение 1-18 рус пост посл_Прилож.к бюдж 2010г._Приложение_пост_рус_авг_Приложение 4 русс,каз 16.03.11. посл" xfId="1577" xr:uid="{00000000-0005-0000-0000-0000E80D0000}"/>
    <cellStyle name="_Приложение 02 русс на 16.04.2009 г. 1 сессия_Приложение 1-18 рус пост посл_Прилож.к бюдж 2010г._Приложение_пост_рус_авг_Приложение 4 русс,каз 16.03.11. посл 2" xfId="5005" xr:uid="{00000000-0005-0000-0000-0000E90D0000}"/>
    <cellStyle name="_Приложение 02 русс на 16.04.2009 г. 1 сессия_Приложение 1-18 рус пост посл_Прилож.к бюдж 2010г._Приложение_пост_рус_авг_Приложение 4 русс,каз 16.03.11. посл_Приложение_рус _2012-2014_29,30" xfId="1578" xr:uid="{00000000-0005-0000-0000-0000EA0D0000}"/>
    <cellStyle name="_Приложение 02 русс на 16.04.2009 г. 1 сессия_Приложение 1-18 рус пост посл_Прилож.к бюдж 2010г._Приложение_пост_рус_авг_Приложение 4 русс,каз 16.03.11. посл_Приложение_рус _2012-2014_29,30 2" xfId="5006" xr:uid="{00000000-0005-0000-0000-0000EB0D0000}"/>
    <cellStyle name="_Приложение 02 русс на 16.04.2009 г. 1 сессия_Приложение 1-18 рус пост посл_Прилож.к бюдж 2010г._Приложение_пост_рус_авг_Приложение_реал_рус 2011-2013 Уточнение" xfId="1579" xr:uid="{00000000-0005-0000-0000-0000EC0D0000}"/>
    <cellStyle name="_Приложение 02 русс на 16.04.2009 г. 1 сессия_Приложение 1-18 рус пост посл_Прилож.к бюдж 2010г._Приложение_пост_рус_авг_Приложение_реал_рус 2011-2013 Уточнение 2" xfId="5007" xr:uid="{00000000-0005-0000-0000-0000ED0D0000}"/>
    <cellStyle name="_Приложение 02 русс на 16.04.2009 г. 1 сессия_Приложение 1-18 рус пост посл_Прилож.к бюдж 2010г._Приложение_пост_рус_авг_Приложение_реал_рус 2011-2013 Уточнение_Приложение_рус _2012-2014_29,30" xfId="1580" xr:uid="{00000000-0005-0000-0000-0000EE0D0000}"/>
    <cellStyle name="_Приложение 02 русс на 16.04.2009 г. 1 сессия_Приложение 1-18 рус пост посл_Прилож.к бюдж 2010г._Приложение_пост_рус_авг_Приложение_реал_рус 2011-2013 Уточнение_Приложение_рус _2012-2014_29,30 2" xfId="5008" xr:uid="{00000000-0005-0000-0000-0000EF0D0000}"/>
    <cellStyle name="_Приложение 02 русс на 16.04.2009 г. 1 сессия_Приложение 1-18 рус пост посл_Прилож.к бюдж 2010г._Приложение_пост_рус_авг_Приложение_рус _2012-2014_29,30" xfId="1581" xr:uid="{00000000-0005-0000-0000-0000F00D0000}"/>
    <cellStyle name="_Приложение 02 русс на 16.04.2009 г. 1 сессия_Приложение 1-18 рус пост посл_Прилож.к бюдж 2010г._Приложение_пост_рус_авг_Приложение_рус _2012-2014_29,30 2" xfId="5009" xr:uid="{00000000-0005-0000-0000-0000F10D0000}"/>
    <cellStyle name="_Приложение 02 русс на 16.04.2009 г. 1 сессия_Приложение 1-18 рус пост посл_Прилож.к бюдж 2010г._Приложение_пост_рус_авг_приложения 2012 рус" xfId="1582" xr:uid="{00000000-0005-0000-0000-0000F20D0000}"/>
    <cellStyle name="_Приложение 02 русс на 16.04.2009 г. 1 сессия_Приложение 1-18 рус пост посл_Прилож.к бюдж 2010г._Приложение_пост_рус_авг_приложения 2012 рус 2" xfId="5010" xr:uid="{00000000-0005-0000-0000-0000F30D0000}"/>
    <cellStyle name="_Приложение 02 русс на 16.04.2009 г. 1 сессия_Приложение 1-18 рус пост посл_Прилож.к бюдж 2010г._Приложение_реал_рус 2011-2013 Уточнение" xfId="1583" xr:uid="{00000000-0005-0000-0000-0000F40D0000}"/>
    <cellStyle name="_Приложение 02 русс на 16.04.2009 г. 1 сессия_Приложение 1-18 рус пост посл_Прилож.к бюдж 2010г._Приложение_реал_рус 2011-2013 Уточнение 2" xfId="5011" xr:uid="{00000000-0005-0000-0000-0000F50D0000}"/>
    <cellStyle name="_Приложение 02 русс на 16.04.2009 г. 1 сессия_Приложение 1-18 рус пост посл_Прилож.к бюдж 2010г._Приложение_реал_рус 2011-2013 Уточнение_Приложение_рус _2012-2014_29,30" xfId="1584" xr:uid="{00000000-0005-0000-0000-0000F60D0000}"/>
    <cellStyle name="_Приложение 02 русс на 16.04.2009 г. 1 сессия_Приложение 1-18 рус пост посл_Прилож.к бюдж 2010г._Приложение_реал_рус 2011-2013 Уточнение_Приложение_рус _2012-2014_29,30 2" xfId="5012" xr:uid="{00000000-0005-0000-0000-0000F70D0000}"/>
    <cellStyle name="_Приложение 02 русс на 16.04.2009 г. 1 сессия_Приложение 1-18 рус пост посл_Прилож.к бюдж 2010г._Приложение_рус _2012-2014_29,30" xfId="1585" xr:uid="{00000000-0005-0000-0000-0000F80D0000}"/>
    <cellStyle name="_Приложение 02 русс на 16.04.2009 г. 1 сессия_Приложение 1-18 рус пост посл_Прилож.к бюдж 2010г._Приложение_рус _2012-2014_29,30 2" xfId="5013" xr:uid="{00000000-0005-0000-0000-0000F90D0000}"/>
    <cellStyle name="_Приложение 02 русс на 16.04.2009 г. 1 сессия_Приложение 1-18 рус пост посл_Прилож.к бюдж 2010г._приложения 2012 рус" xfId="1586" xr:uid="{00000000-0005-0000-0000-0000FA0D0000}"/>
    <cellStyle name="_Приложение 02 русс на 16.04.2009 г. 1 сессия_Приложение 1-18 рус пост посл_Прилож.к бюдж 2010г._приложения 2012 рус 2" xfId="5014" xr:uid="{00000000-0005-0000-0000-0000FB0D0000}"/>
    <cellStyle name="_Приложение 02 русс на 16.04.2009 г. 1 сессия_Приложение 1-18 рус пост посл_Приложение 4 русс,каз 16.03.11. посл" xfId="1587" xr:uid="{00000000-0005-0000-0000-0000FC0D0000}"/>
    <cellStyle name="_Приложение 02 русс на 16.04.2009 г. 1 сессия_Приложение 1-18 рус пост посл_Приложение 4 русс,каз 16.03.11. посл 2" xfId="5015" xr:uid="{00000000-0005-0000-0000-0000FD0D0000}"/>
    <cellStyle name="_Приложение 02 русс на 16.04.2009 г. 1 сессия_Приложение 1-18 рус пост посл_Приложение 4 русс,каз 16.03.11. посл_Приложение_рус _2012-2014_29,30" xfId="1588" xr:uid="{00000000-0005-0000-0000-0000FE0D0000}"/>
    <cellStyle name="_Приложение 02 русс на 16.04.2009 г. 1 сессия_Приложение 1-18 рус пост посл_Приложение 4 русс,каз 16.03.11. посл_Приложение_рус _2012-2014_29,30 2" xfId="5016" xr:uid="{00000000-0005-0000-0000-0000FF0D0000}"/>
    <cellStyle name="_Приложение 02 русс на 16.04.2009 г. 1 сессия_Приложение 1-18 рус пост посл_Приложение рус_ноябрь РБ" xfId="1589" xr:uid="{00000000-0005-0000-0000-0000000E0000}"/>
    <cellStyle name="_Приложение 02 русс на 16.04.2009 г. 1 сессия_Приложение 1-18 рус пост посл_Приложение рус_ноябрь РБ 2" xfId="5017" xr:uid="{00000000-0005-0000-0000-0000010E0000}"/>
    <cellStyle name="_Приложение 02 русс на 16.04.2009 г. 1 сессия_Приложение 1-18 рус пост посл_Приложение рус_ноябрь РБ_Анализ" xfId="1590" xr:uid="{00000000-0005-0000-0000-0000020E0000}"/>
    <cellStyle name="_Приложение 02 русс на 16.04.2009 г. 1 сессия_Приложение 1-18 рус пост посл_Приложение рус_ноябрь РБ_Анализ 2" xfId="5018" xr:uid="{00000000-0005-0000-0000-0000030E0000}"/>
    <cellStyle name="_Приложение 02 русс на 16.04.2009 г. 1 сессия_Приложение 1-18 рус пост посл_Приложение рус_ноябрь РБ_Анализ 3.03.2011г." xfId="3095" xr:uid="{00000000-0005-0000-0000-0000040E0000}"/>
    <cellStyle name="_Приложение 02 русс на 16.04.2009 г. 1 сессия_Приложение 1-18 рус пост посл_Приложение рус_ноябрь РБ_Анализ 6.03.2011г." xfId="3096" xr:uid="{00000000-0005-0000-0000-0000050E0000}"/>
    <cellStyle name="_Приложение 02 русс на 16.04.2009 г. 1 сессия_Приложение 1-18 рус пост посл_Приложение рус_ноябрь РБ_Анализ 9.03.2011г." xfId="3097" xr:uid="{00000000-0005-0000-0000-0000060E0000}"/>
    <cellStyle name="_Приложение 02 русс на 16.04.2009 г. 1 сессия_Приложение 1-18 рус пост посл_Приложение рус_ноябрь РБ_Анализ_Приложение_рус _2012-2014_29,30" xfId="1591" xr:uid="{00000000-0005-0000-0000-0000070E0000}"/>
    <cellStyle name="_Приложение 02 русс на 16.04.2009 г. 1 сессия_Приложение 1-18 рус пост посл_Приложение рус_ноябрь РБ_Анализ_Приложение_рус _2012-2014_29,30 2" xfId="5019" xr:uid="{00000000-0005-0000-0000-0000080E0000}"/>
    <cellStyle name="_Приложение 02 русс на 16.04.2009 г. 1 сессия_Приложение 1-18 рус пост посл_Приложение рус_ноябрь РБ_Копия Приложение_2010-2012 рус март" xfId="1592" xr:uid="{00000000-0005-0000-0000-0000090E0000}"/>
    <cellStyle name="_Приложение 02 русс на 16.04.2009 г. 1 сессия_Приложение 1-18 рус пост посл_Приложение рус_ноябрь РБ_Копия Приложение_2010-2012 рус март 2" xfId="5020" xr:uid="{00000000-0005-0000-0000-00000A0E0000}"/>
    <cellStyle name="_Приложение 02 русс на 16.04.2009 г. 1 сессия_Приложение 1-18 рус пост посл_Приложение рус_ноябрь РБ_Копия Приложение_2010-2012 рус март_Анализ" xfId="1593" xr:uid="{00000000-0005-0000-0000-00000B0E0000}"/>
    <cellStyle name="_Приложение 02 русс на 16.04.2009 г. 1 сессия_Приложение 1-18 рус пост посл_Приложение рус_ноябрь РБ_Копия Приложение_2010-2012 рус март_Анализ 2" xfId="5021" xr:uid="{00000000-0005-0000-0000-00000C0E0000}"/>
    <cellStyle name="_Приложение 02 русс на 16.04.2009 г. 1 сессия_Приложение 1-18 рус пост посл_Приложение рус_ноябрь РБ_Копия Приложение_2010-2012 рус март_Анализ 3.03.2011г." xfId="3098" xr:uid="{00000000-0005-0000-0000-00000D0E0000}"/>
    <cellStyle name="_Приложение 02 русс на 16.04.2009 г. 1 сессия_Приложение 1-18 рус пост посл_Приложение рус_ноябрь РБ_Копия Приложение_2010-2012 рус март_Анализ 6.03.2011г." xfId="3099" xr:uid="{00000000-0005-0000-0000-00000E0E0000}"/>
    <cellStyle name="_Приложение 02 русс на 16.04.2009 г. 1 сессия_Приложение 1-18 рус пост посл_Приложение рус_ноябрь РБ_Копия Приложение_2010-2012 рус март_Анализ 9.03.2011г." xfId="3100" xr:uid="{00000000-0005-0000-0000-00000F0E0000}"/>
    <cellStyle name="_Приложение 02 русс на 16.04.2009 г. 1 сессия_Приложение 1-18 рус пост посл_Приложение рус_ноябрь РБ_Копия Приложение_2010-2012 рус март_Анализ_Приложение_рус _2012-2014_29,30" xfId="1594" xr:uid="{00000000-0005-0000-0000-0000100E0000}"/>
    <cellStyle name="_Приложение 02 русс на 16.04.2009 г. 1 сессия_Приложение 1-18 рус пост посл_Приложение рус_ноябрь РБ_Копия Приложение_2010-2012 рус март_Анализ_Приложение_рус _2012-2014_29,30 2" xfId="5022" xr:uid="{00000000-0005-0000-0000-0000110E0000}"/>
    <cellStyle name="_Приложение 02 русс на 16.04.2009 г. 1 сессия_Приложение 1-18 рус пост посл_Приложение рус_ноябрь РБ_Копия Приложение_2010-2012 рус март_Пр 4     11.05.11. ИКС" xfId="1595" xr:uid="{00000000-0005-0000-0000-0000120E0000}"/>
    <cellStyle name="_Приложение 02 русс на 16.04.2009 г. 1 сессия_Приложение 1-18 рус пост посл_Приложение рус_ноябрь РБ_Копия Приложение_2010-2012 рус март_Пр 4     11.05.11. ИКС 2" xfId="5023" xr:uid="{00000000-0005-0000-0000-0000130E0000}"/>
    <cellStyle name="_Приложение 02 русс на 16.04.2009 г. 1 сессия_Приложение 1-18 рус пост посл_Приложение рус_ноябрь РБ_Копия Приложение_2010-2012 рус март_Пр 4     11.05.11. ИКС_Приложение_рус _2012-2014_29,30" xfId="1596" xr:uid="{00000000-0005-0000-0000-0000140E0000}"/>
    <cellStyle name="_Приложение 02 русс на 16.04.2009 г. 1 сессия_Приложение 1-18 рус пост посл_Приложение рус_ноябрь РБ_Копия Приложение_2010-2012 рус март_Пр 4     11.05.11. ИКС_Приложение_рус _2012-2014_29,30 2" xfId="5024" xr:uid="{00000000-0005-0000-0000-0000150E0000}"/>
    <cellStyle name="_Приложение 02 русс на 16.04.2009 г. 1 сессия_Приложение 1-18 рус пост посл_Приложение рус_ноябрь РБ_Копия Приложение_2010-2012 рус март_Приложение 4 русс,каз 16.03.11. посл" xfId="1597" xr:uid="{00000000-0005-0000-0000-0000160E0000}"/>
    <cellStyle name="_Приложение 02 русс на 16.04.2009 г. 1 сессия_Приложение 1-18 рус пост посл_Приложение рус_ноябрь РБ_Копия Приложение_2010-2012 рус март_Приложение 4 русс,каз 16.03.11. посл 2" xfId="5025" xr:uid="{00000000-0005-0000-0000-0000170E0000}"/>
    <cellStyle name="_Приложение 02 русс на 16.04.2009 г. 1 сессия_Приложение 1-18 рус пост посл_Приложение рус_ноябрь РБ_Копия Приложение_2010-2012 рус март_Приложение 4 русс,каз 16.03.11. посл_Приложение_рус _2012-2014_29,30" xfId="1598" xr:uid="{00000000-0005-0000-0000-0000180E0000}"/>
    <cellStyle name="_Приложение 02 русс на 16.04.2009 г. 1 сессия_Приложение 1-18 рус пост посл_Приложение рус_ноябрь РБ_Копия Приложение_2010-2012 рус март_Приложение 4 русс,каз 16.03.11. посл_Приложение_рус _2012-2014_29,30 2" xfId="5026" xr:uid="{00000000-0005-0000-0000-000019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" xfId="1599" xr:uid="{00000000-0005-0000-0000-00001A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 2" xfId="5027" xr:uid="{00000000-0005-0000-0000-00001B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" xfId="1600" xr:uid="{00000000-0005-0000-0000-00001C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 2" xfId="5028" xr:uid="{00000000-0005-0000-0000-00001D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 3.03.2011г." xfId="3101" xr:uid="{00000000-0005-0000-0000-00001E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 6.03.2011г." xfId="3102" xr:uid="{00000000-0005-0000-0000-00001F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 9.03.2011г." xfId="3103" xr:uid="{00000000-0005-0000-0000-000020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_Приложение_рус _2012-2014_29,30" xfId="1601" xr:uid="{00000000-0005-0000-0000-000021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_Приложение_рус _2012-2014_29,30 2" xfId="5029" xr:uid="{00000000-0005-0000-0000-000022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 4     11.05.11. ИКС" xfId="1602" xr:uid="{00000000-0005-0000-0000-000023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 4     11.05.11. ИКС 2" xfId="5030" xr:uid="{00000000-0005-0000-0000-000024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 4     11.05.11. ИКС_Приложение_рус _2012-2014_29,30" xfId="1603" xr:uid="{00000000-0005-0000-0000-000025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 4     11.05.11. ИКС_Приложение_рус _2012-2014_29,30 2" xfId="5031" xr:uid="{00000000-0005-0000-0000-000026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 4 русс,каз 16.03.11. посл" xfId="1604" xr:uid="{00000000-0005-0000-0000-000027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 4 русс,каз 16.03.11. посл 2" xfId="5032" xr:uid="{00000000-0005-0000-0000-000028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 4 русс,каз 16.03.11. посл_Приложение_рус _2012-2014_29,30" xfId="1605" xr:uid="{00000000-0005-0000-0000-000029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 4 русс,каз 16.03.11. посл_Приложение_рус _2012-2014_29,30 2" xfId="5033" xr:uid="{00000000-0005-0000-0000-00002A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еал_рус 2011-2013 Уточнение" xfId="1606" xr:uid="{00000000-0005-0000-0000-00002B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еал_рус 2011-2013 Уточнение 2" xfId="5034" xr:uid="{00000000-0005-0000-0000-00002C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еал_рус 2011-2013 Уточнение_Приложение_рус _2012-2014_29,30" xfId="1607" xr:uid="{00000000-0005-0000-0000-00002D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еал_рус 2011-2013 Уточнение_Приложение_рус _2012-2014_29,30 2" xfId="5035" xr:uid="{00000000-0005-0000-0000-00002E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ус _2012-2014_29,30" xfId="1608" xr:uid="{00000000-0005-0000-0000-00002F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ус _2012-2014_29,30 2" xfId="5036" xr:uid="{00000000-0005-0000-0000-000030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я 2012 рус" xfId="1609" xr:uid="{00000000-0005-0000-0000-0000310E0000}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я 2012 рус 2" xfId="5037" xr:uid="{00000000-0005-0000-0000-000032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" xfId="1610" xr:uid="{00000000-0005-0000-0000-000033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 2" xfId="5038" xr:uid="{00000000-0005-0000-0000-000034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" xfId="1611" xr:uid="{00000000-0005-0000-0000-000035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 2" xfId="5039" xr:uid="{00000000-0005-0000-0000-000036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 3.03.2011г." xfId="3104" xr:uid="{00000000-0005-0000-0000-000037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 6.03.2011г." xfId="3105" xr:uid="{00000000-0005-0000-0000-000038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 9.03.2011г." xfId="3106" xr:uid="{00000000-0005-0000-0000-000039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_Приложение_рус _2012-2014_29,30" xfId="1612" xr:uid="{00000000-0005-0000-0000-00003A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_Приложение_рус _2012-2014_29,30 2" xfId="5040" xr:uid="{00000000-0005-0000-0000-00003B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 4     11.05.11. ИКС" xfId="1613" xr:uid="{00000000-0005-0000-0000-00003C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 4     11.05.11. ИКС 2" xfId="5041" xr:uid="{00000000-0005-0000-0000-00003D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 4     11.05.11. ИКС_Приложение_рус _2012-2014_29,30" xfId="1614" xr:uid="{00000000-0005-0000-0000-00003E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 4     11.05.11. ИКС_Приложение_рус _2012-2014_29,30 2" xfId="5042" xr:uid="{00000000-0005-0000-0000-00003F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 4 русс,каз 16.03.11. посл" xfId="1615" xr:uid="{00000000-0005-0000-0000-000040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 4 русс,каз 16.03.11. посл 2" xfId="5043" xr:uid="{00000000-0005-0000-0000-000041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 4 русс,каз 16.03.11. посл_Приложение_рус _2012-2014_29,30" xfId="1616" xr:uid="{00000000-0005-0000-0000-000042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 4 русс,каз 16.03.11. посл_Приложение_рус _2012-2014_29,30 2" xfId="5044" xr:uid="{00000000-0005-0000-0000-000043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еал_рус 2011-2013 Уточнение" xfId="1617" xr:uid="{00000000-0005-0000-0000-000044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еал_рус 2011-2013 Уточнение 2" xfId="5045" xr:uid="{00000000-0005-0000-0000-000045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еал_рус 2011-2013 Уточнение_Приложение_рус _2012-2014_29,30" xfId="1618" xr:uid="{00000000-0005-0000-0000-000046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еал_рус 2011-2013 Уточнение_Приложение_рус _2012-2014_29,30 2" xfId="5046" xr:uid="{00000000-0005-0000-0000-000047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ус _2012-2014_29,30" xfId="1619" xr:uid="{00000000-0005-0000-0000-000048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ус _2012-2014_29,30 2" xfId="5047" xr:uid="{00000000-0005-0000-0000-000049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я 2012 рус" xfId="1620" xr:uid="{00000000-0005-0000-0000-00004A0E0000}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я 2012 рус 2" xfId="5048" xr:uid="{00000000-0005-0000-0000-00004B0E0000}"/>
    <cellStyle name="_Приложение 02 русс на 16.04.2009 г. 1 сессия_Приложение 1-18 рус пост посл_Приложение рус_ноябрь РБ_Копия Приложение_2010-2012 рус март_Приложение_реал_рус 2011-2013 Уточнение" xfId="1621" xr:uid="{00000000-0005-0000-0000-00004C0E0000}"/>
    <cellStyle name="_Приложение 02 русс на 16.04.2009 г. 1 сессия_Приложение 1-18 рус пост посл_Приложение рус_ноябрь РБ_Копия Приложение_2010-2012 рус март_Приложение_реал_рус 2011-2013 Уточнение 2" xfId="5049" xr:uid="{00000000-0005-0000-0000-00004D0E0000}"/>
    <cellStyle name="_Приложение 02 русс на 16.04.2009 г. 1 сессия_Приложение 1-18 рус пост посл_Приложение рус_ноябрь РБ_Копия Приложение_2010-2012 рус март_Приложение_реал_рус 2011-2013 Уточнение_Приложение_рус _2012-2014_29,30" xfId="1622" xr:uid="{00000000-0005-0000-0000-00004E0E0000}"/>
    <cellStyle name="_Приложение 02 русс на 16.04.2009 г. 1 сессия_Приложение 1-18 рус пост посл_Приложение рус_ноябрь РБ_Копия Приложение_2010-2012 рус март_Приложение_реал_рус 2011-2013 Уточнение_Приложение_рус _2012-2014_29,30 2" xfId="5050" xr:uid="{00000000-0005-0000-0000-00004F0E0000}"/>
    <cellStyle name="_Приложение 02 русс на 16.04.2009 г. 1 сессия_Приложение 1-18 рус пост посл_Приложение рус_ноябрь РБ_Копия Приложение_2010-2012 рус март_Приложение_рус _2012-2014_29,30" xfId="1623" xr:uid="{00000000-0005-0000-0000-0000500E0000}"/>
    <cellStyle name="_Приложение 02 русс на 16.04.2009 г. 1 сессия_Приложение 1-18 рус пост посл_Приложение рус_ноябрь РБ_Копия Приложение_2010-2012 рус март_Приложение_рус _2012-2014_29,30 2" xfId="5051" xr:uid="{00000000-0005-0000-0000-0000510E0000}"/>
    <cellStyle name="_Приложение 02 русс на 16.04.2009 г. 1 сессия_Приложение 1-18 рус пост посл_Приложение рус_ноябрь РБ_Копия Приложение_2010-2012 рус март_приложения 2012 рус" xfId="1624" xr:uid="{00000000-0005-0000-0000-0000520E0000}"/>
    <cellStyle name="_Приложение 02 русс на 16.04.2009 г. 1 сессия_Приложение 1-18 рус пост посл_Приложение рус_ноябрь РБ_Копия Приложение_2010-2012 рус март_приложения 2012 рус 2" xfId="5052" xr:uid="{00000000-0005-0000-0000-0000530E0000}"/>
    <cellStyle name="_Приложение 02 русс на 16.04.2009 г. 1 сессия_Приложение 1-18 рус пост посл_Приложение рус_ноябрь РБ_Пр 4     11.05.11. ИКС" xfId="1625" xr:uid="{00000000-0005-0000-0000-0000540E0000}"/>
    <cellStyle name="_Приложение 02 русс на 16.04.2009 г. 1 сессия_Приложение 1-18 рус пост посл_Приложение рус_ноябрь РБ_Пр 4     11.05.11. ИКС 2" xfId="5053" xr:uid="{00000000-0005-0000-0000-0000550E0000}"/>
    <cellStyle name="_Приложение 02 русс на 16.04.2009 г. 1 сессия_Приложение 1-18 рус пост посл_Приложение рус_ноябрь РБ_Пр 4     11.05.11. ИКС_Приложение_рус _2012-2014_29,30" xfId="1626" xr:uid="{00000000-0005-0000-0000-0000560E0000}"/>
    <cellStyle name="_Приложение 02 русс на 16.04.2009 г. 1 сессия_Приложение 1-18 рус пост посл_Приложение рус_ноябрь РБ_Пр 4     11.05.11. ИКС_Приложение_рус _2012-2014_29,30 2" xfId="5054" xr:uid="{00000000-0005-0000-0000-0000570E0000}"/>
    <cellStyle name="_Приложение 02 русс на 16.04.2009 г. 1 сессия_Приложение 1-18 рус пост посл_Приложение рус_ноябрь РБ_прил4р_к" xfId="1627" xr:uid="{00000000-0005-0000-0000-0000580E0000}"/>
    <cellStyle name="_Приложение 02 русс на 16.04.2009 г. 1 сессия_Приложение 1-18 рус пост посл_Приложение рус_ноябрь РБ_прил4р_к 2" xfId="1628" xr:uid="{00000000-0005-0000-0000-0000590E0000}"/>
    <cellStyle name="_Приложение 02 русс на 16.04.2009 г. 1 сессия_Приложение 1-18 рус пост посл_Приложение рус_ноябрь РБ_прил4р_к 2 2" xfId="5056" xr:uid="{00000000-0005-0000-0000-00005A0E0000}"/>
    <cellStyle name="_Приложение 02 русс на 16.04.2009 г. 1 сессия_Приложение 1-18 рус пост посл_Приложение рус_ноябрь РБ_прил4р_к 3" xfId="5055" xr:uid="{00000000-0005-0000-0000-00005B0E0000}"/>
    <cellStyle name="_Приложение 02 русс на 16.04.2009 г. 1 сессия_Приложение 1-18 рус пост посл_Приложение рус_ноябрь РБ_прил4р_к_Анализ" xfId="1629" xr:uid="{00000000-0005-0000-0000-00005C0E0000}"/>
    <cellStyle name="_Приложение 02 русс на 16.04.2009 г. 1 сессия_Приложение 1-18 рус пост посл_Приложение рус_ноябрь РБ_прил4р_к_Анализ 2" xfId="5057" xr:uid="{00000000-0005-0000-0000-00005D0E0000}"/>
    <cellStyle name="_Приложение 02 русс на 16.04.2009 г. 1 сессия_Приложение 1-18 рус пост посл_Приложение рус_ноябрь РБ_прил4р_к_Анализ 3.03.2011г." xfId="3107" xr:uid="{00000000-0005-0000-0000-00005E0E0000}"/>
    <cellStyle name="_Приложение 02 русс на 16.04.2009 г. 1 сессия_Приложение 1-18 рус пост посл_Приложение рус_ноябрь РБ_прил4р_к_Анализ 6.03.2011г." xfId="3108" xr:uid="{00000000-0005-0000-0000-00005F0E0000}"/>
    <cellStyle name="_Приложение 02 русс на 16.04.2009 г. 1 сессия_Приложение 1-18 рус пост посл_Приложение рус_ноябрь РБ_прил4р_к_Анализ 9.03.2011г." xfId="3109" xr:uid="{00000000-0005-0000-0000-0000600E0000}"/>
    <cellStyle name="_Приложение 02 русс на 16.04.2009 г. 1 сессия_Приложение 1-18 рус пост посл_Приложение рус_ноябрь РБ_прил4р_к_Анализ_Приложение_рус _2012-2014_29,30" xfId="1630" xr:uid="{00000000-0005-0000-0000-0000610E0000}"/>
    <cellStyle name="_Приложение 02 русс на 16.04.2009 г. 1 сессия_Приложение 1-18 рус пост посл_Приложение рус_ноябрь РБ_прил4р_к_Анализ_Приложение_рус _2012-2014_29,30 2" xfId="5058" xr:uid="{00000000-0005-0000-0000-0000620E0000}"/>
    <cellStyle name="_Приложение 02 русс на 16.04.2009 г. 1 сессия_Приложение 1-18 рус пост посл_Приложение рус_ноябрь РБ_прил4р_к_Пр 4     11.05.11. ИКС" xfId="1631" xr:uid="{00000000-0005-0000-0000-0000630E0000}"/>
    <cellStyle name="_Приложение 02 русс на 16.04.2009 г. 1 сессия_Приложение 1-18 рус пост посл_Приложение рус_ноябрь РБ_прил4р_к_Пр 4     11.05.11. ИКС 2" xfId="5059" xr:uid="{00000000-0005-0000-0000-0000640E0000}"/>
    <cellStyle name="_Приложение 02 русс на 16.04.2009 г. 1 сессия_Приложение 1-18 рус пост посл_Приложение рус_ноябрь РБ_прил4р_к_Пр 4     11.05.11. ИКС_Приложение_рус _2012-2014_29,30" xfId="1632" xr:uid="{00000000-0005-0000-0000-0000650E0000}"/>
    <cellStyle name="_Приложение 02 русс на 16.04.2009 г. 1 сессия_Приложение 1-18 рус пост посл_Приложение рус_ноябрь РБ_прил4р_к_Пр 4     11.05.11. ИКС_Приложение_рус _2012-2014_29,30 2" xfId="5060" xr:uid="{00000000-0005-0000-0000-0000660E0000}"/>
    <cellStyle name="_Приложение 02 русс на 16.04.2009 г. 1 сессия_Приложение 1-18 рус пост посл_Приложение рус_ноябрь РБ_прил4р_к_Приложение 4 русс,каз 16.03.11. посл" xfId="1633" xr:uid="{00000000-0005-0000-0000-0000670E0000}"/>
    <cellStyle name="_Приложение 02 русс на 16.04.2009 г. 1 сессия_Приложение 1-18 рус пост посл_Приложение рус_ноябрь РБ_прил4р_к_Приложение 4 русс,каз 16.03.11. посл 2" xfId="5061" xr:uid="{00000000-0005-0000-0000-0000680E0000}"/>
    <cellStyle name="_Приложение 02 русс на 16.04.2009 г. 1 сессия_Приложение 1-18 рус пост посл_Приложение рус_ноябрь РБ_прил4р_к_Приложение 4 русс,каз 16.03.11. посл_Приложение_рус _2012-2014_29,30" xfId="1634" xr:uid="{00000000-0005-0000-0000-0000690E0000}"/>
    <cellStyle name="_Приложение 02 русс на 16.04.2009 г. 1 сессия_Приложение 1-18 рус пост посл_Приложение рус_ноябрь РБ_прил4р_к_Приложение 4 русс,каз 16.03.11. посл_Приложение_рус _2012-2014_29,30 2" xfId="5062" xr:uid="{00000000-0005-0000-0000-00006A0E0000}"/>
    <cellStyle name="_Приложение 02 русс на 16.04.2009 г. 1 сессия_Приложение 1-18 рус пост посл_Приложение рус_ноябрь РБ_прил4р_к_Приложение_пост_каз_авг" xfId="1635" xr:uid="{00000000-0005-0000-0000-00006B0E0000}"/>
    <cellStyle name="_Приложение 02 русс на 16.04.2009 г. 1 сессия_Приложение 1-18 рус пост посл_Приложение рус_ноябрь РБ_прил4р_к_Приложение_пост_каз_авг 2" xfId="5063" xr:uid="{00000000-0005-0000-0000-00006C0E0000}"/>
    <cellStyle name="_Приложение 02 русс на 16.04.2009 г. 1 сессия_Приложение 1-18 рус пост посл_Приложение рус_ноябрь РБ_прил4р_к_Приложение_пост_каз_авг_Анализ" xfId="1636" xr:uid="{00000000-0005-0000-0000-00006D0E0000}"/>
    <cellStyle name="_Приложение 02 русс на 16.04.2009 г. 1 сессия_Приложение 1-18 рус пост посл_Приложение рус_ноябрь РБ_прил4р_к_Приложение_пост_каз_авг_Анализ 2" xfId="5064" xr:uid="{00000000-0005-0000-0000-00006E0E0000}"/>
    <cellStyle name="_Приложение 02 русс на 16.04.2009 г. 1 сессия_Приложение 1-18 рус пост посл_Приложение рус_ноябрь РБ_прил4р_к_Приложение_пост_каз_авг_Анализ 3.03.2011г." xfId="3110" xr:uid="{00000000-0005-0000-0000-00006F0E0000}"/>
    <cellStyle name="_Приложение 02 русс на 16.04.2009 г. 1 сессия_Приложение 1-18 рус пост посл_Приложение рус_ноябрь РБ_прил4р_к_Приложение_пост_каз_авг_Анализ 6.03.2011г." xfId="3111" xr:uid="{00000000-0005-0000-0000-0000700E0000}"/>
    <cellStyle name="_Приложение 02 русс на 16.04.2009 г. 1 сессия_Приложение 1-18 рус пост посл_Приложение рус_ноябрь РБ_прил4р_к_Приложение_пост_каз_авг_Анализ 9.03.2011г." xfId="3112" xr:uid="{00000000-0005-0000-0000-0000710E0000}"/>
    <cellStyle name="_Приложение 02 русс на 16.04.2009 г. 1 сессия_Приложение 1-18 рус пост посл_Приложение рус_ноябрь РБ_прил4р_к_Приложение_пост_каз_авг_Анализ_Приложение_рус _2012-2014_29,30" xfId="1637" xr:uid="{00000000-0005-0000-0000-0000720E0000}"/>
    <cellStyle name="_Приложение 02 русс на 16.04.2009 г. 1 сессия_Приложение 1-18 рус пост посл_Приложение рус_ноябрь РБ_прил4р_к_Приложение_пост_каз_авг_Анализ_Приложение_рус _2012-2014_29,30 2" xfId="5065" xr:uid="{00000000-0005-0000-0000-0000730E0000}"/>
    <cellStyle name="_Приложение 02 русс на 16.04.2009 г. 1 сессия_Приложение 1-18 рус пост посл_Приложение рус_ноябрь РБ_прил4р_к_Приложение_пост_каз_авг_Пр 4     11.05.11. ИКС" xfId="1638" xr:uid="{00000000-0005-0000-0000-0000740E0000}"/>
    <cellStyle name="_Приложение 02 русс на 16.04.2009 г. 1 сессия_Приложение 1-18 рус пост посл_Приложение рус_ноябрь РБ_прил4р_к_Приложение_пост_каз_авг_Пр 4     11.05.11. ИКС 2" xfId="5066" xr:uid="{00000000-0005-0000-0000-0000750E0000}"/>
    <cellStyle name="_Приложение 02 русс на 16.04.2009 г. 1 сессия_Приложение 1-18 рус пост посл_Приложение рус_ноябрь РБ_прил4р_к_Приложение_пост_каз_авг_Пр 4     11.05.11. ИКС_Приложение_рус _2012-2014_29,30" xfId="1639" xr:uid="{00000000-0005-0000-0000-0000760E0000}"/>
    <cellStyle name="_Приложение 02 русс на 16.04.2009 г. 1 сессия_Приложение 1-18 рус пост посл_Приложение рус_ноябрь РБ_прил4р_к_Приложение_пост_каз_авг_Пр 4     11.05.11. ИКС_Приложение_рус _2012-2014_29,30 2" xfId="5067" xr:uid="{00000000-0005-0000-0000-0000770E0000}"/>
    <cellStyle name="_Приложение 02 русс на 16.04.2009 г. 1 сессия_Приложение 1-18 рус пост посл_Приложение рус_ноябрь РБ_прил4р_к_Приложение_пост_каз_авг_Приложение 4 русс,каз 16.03.11. посл" xfId="1640" xr:uid="{00000000-0005-0000-0000-0000780E0000}"/>
    <cellStyle name="_Приложение 02 русс на 16.04.2009 г. 1 сессия_Приложение 1-18 рус пост посл_Приложение рус_ноябрь РБ_прил4р_к_Приложение_пост_каз_авг_Приложение 4 русс,каз 16.03.11. посл 2" xfId="5068" xr:uid="{00000000-0005-0000-0000-0000790E0000}"/>
    <cellStyle name="_Приложение 02 русс на 16.04.2009 г. 1 сессия_Приложение 1-18 рус пост посл_Приложение рус_ноябрь РБ_прил4р_к_Приложение_пост_каз_авг_Приложение 4 русс,каз 16.03.11. посл_Приложение_рус _2012-2014_29,30" xfId="1641" xr:uid="{00000000-0005-0000-0000-00007A0E0000}"/>
    <cellStyle name="_Приложение 02 русс на 16.04.2009 г. 1 сессия_Приложение 1-18 рус пост посл_Приложение рус_ноябрь РБ_прил4р_к_Приложение_пост_каз_авг_Приложение 4 русс,каз 16.03.11. посл_Приложение_рус _2012-2014_29,30 2" xfId="5069" xr:uid="{00000000-0005-0000-0000-00007B0E0000}"/>
    <cellStyle name="_Приложение 02 русс на 16.04.2009 г. 1 сессия_Приложение 1-18 рус пост посл_Приложение рус_ноябрь РБ_прил4р_к_Приложение_пост_каз_авг_Приложение_реал_рус 2011-2013 Уточнение" xfId="1642" xr:uid="{00000000-0005-0000-0000-00007C0E0000}"/>
    <cellStyle name="_Приложение 02 русс на 16.04.2009 г. 1 сессия_Приложение 1-18 рус пост посл_Приложение рус_ноябрь РБ_прил4р_к_Приложение_пост_каз_авг_Приложение_реал_рус 2011-2013 Уточнение 2" xfId="5070" xr:uid="{00000000-0005-0000-0000-00007D0E0000}"/>
    <cellStyle name="_Приложение 02 русс на 16.04.2009 г. 1 сессия_Приложение 1-18 рус пост посл_Приложение рус_ноябрь РБ_прил4р_к_Приложение_пост_каз_авг_Приложение_реал_рус 2011-2013 Уточнение_Приложение_рус _2012-2014_29,30" xfId="1643" xr:uid="{00000000-0005-0000-0000-00007E0E0000}"/>
    <cellStyle name="_Приложение 02 русс на 16.04.2009 г. 1 сессия_Приложение 1-18 рус пост посл_Приложение рус_ноябрь РБ_прил4р_к_Приложение_пост_каз_авг_Приложение_реал_рус 2011-2013 Уточнение_Приложение_рус _2012-2014_29,30 2" xfId="5071" xr:uid="{00000000-0005-0000-0000-00007F0E0000}"/>
    <cellStyle name="_Приложение 02 русс на 16.04.2009 г. 1 сессия_Приложение 1-18 рус пост посл_Приложение рус_ноябрь РБ_прил4р_к_Приложение_пост_каз_авг_Приложение_рус _2012-2014_29,30" xfId="1644" xr:uid="{00000000-0005-0000-0000-0000800E0000}"/>
    <cellStyle name="_Приложение 02 русс на 16.04.2009 г. 1 сессия_Приложение 1-18 рус пост посл_Приложение рус_ноябрь РБ_прил4р_к_Приложение_пост_каз_авг_Приложение_рус _2012-2014_29,30 2" xfId="5072" xr:uid="{00000000-0005-0000-0000-0000810E0000}"/>
    <cellStyle name="_Приложение 02 русс на 16.04.2009 г. 1 сессия_Приложение 1-18 рус пост посл_Приложение рус_ноябрь РБ_прил4р_к_Приложение_пост_каз_авг_приложения 2012 рус" xfId="1645" xr:uid="{00000000-0005-0000-0000-0000820E0000}"/>
    <cellStyle name="_Приложение 02 русс на 16.04.2009 г. 1 сессия_Приложение 1-18 рус пост посл_Приложение рус_ноябрь РБ_прил4р_к_Приложение_пост_каз_авг_приложения 2012 рус 2" xfId="5073" xr:uid="{00000000-0005-0000-0000-0000830E0000}"/>
    <cellStyle name="_Приложение 02 русс на 16.04.2009 г. 1 сессия_Приложение 1-18 рус пост посл_Приложение рус_ноябрь РБ_прил4р_к_Приложение_пост_рус_авг" xfId="1646" xr:uid="{00000000-0005-0000-0000-0000840E0000}"/>
    <cellStyle name="_Приложение 02 русс на 16.04.2009 г. 1 сессия_Приложение 1-18 рус пост посл_Приложение рус_ноябрь РБ_прил4р_к_Приложение_пост_рус_авг 2" xfId="5074" xr:uid="{00000000-0005-0000-0000-0000850E0000}"/>
    <cellStyle name="_Приложение 02 русс на 16.04.2009 г. 1 сессия_Приложение 1-18 рус пост посл_Приложение рус_ноябрь РБ_прил4р_к_Приложение_пост_рус_авг_Анализ" xfId="1647" xr:uid="{00000000-0005-0000-0000-0000860E0000}"/>
    <cellStyle name="_Приложение 02 русс на 16.04.2009 г. 1 сессия_Приложение 1-18 рус пост посл_Приложение рус_ноябрь РБ_прил4р_к_Приложение_пост_рус_авг_Анализ 2" xfId="5075" xr:uid="{00000000-0005-0000-0000-0000870E0000}"/>
    <cellStyle name="_Приложение 02 русс на 16.04.2009 г. 1 сессия_Приложение 1-18 рус пост посл_Приложение рус_ноябрь РБ_прил4р_к_Приложение_пост_рус_авг_Анализ 3.03.2011г." xfId="3113" xr:uid="{00000000-0005-0000-0000-0000880E0000}"/>
    <cellStyle name="_Приложение 02 русс на 16.04.2009 г. 1 сессия_Приложение 1-18 рус пост посл_Приложение рус_ноябрь РБ_прил4р_к_Приложение_пост_рус_авг_Анализ 6.03.2011г." xfId="3114" xr:uid="{00000000-0005-0000-0000-0000890E0000}"/>
    <cellStyle name="_Приложение 02 русс на 16.04.2009 г. 1 сессия_Приложение 1-18 рус пост посл_Приложение рус_ноябрь РБ_прил4р_к_Приложение_пост_рус_авг_Анализ 9.03.2011г." xfId="3115" xr:uid="{00000000-0005-0000-0000-00008A0E0000}"/>
    <cellStyle name="_Приложение 02 русс на 16.04.2009 г. 1 сессия_Приложение 1-18 рус пост посл_Приложение рус_ноябрь РБ_прил4р_к_Приложение_пост_рус_авг_Анализ_Приложение_рус _2012-2014_29,30" xfId="1648" xr:uid="{00000000-0005-0000-0000-00008B0E0000}"/>
    <cellStyle name="_Приложение 02 русс на 16.04.2009 г. 1 сессия_Приложение 1-18 рус пост посл_Приложение рус_ноябрь РБ_прил4р_к_Приложение_пост_рус_авг_Анализ_Приложение_рус _2012-2014_29,30 2" xfId="5076" xr:uid="{00000000-0005-0000-0000-00008C0E0000}"/>
    <cellStyle name="_Приложение 02 русс на 16.04.2009 г. 1 сессия_Приложение 1-18 рус пост посл_Приложение рус_ноябрь РБ_прил4р_к_Приложение_пост_рус_авг_Пр 4     11.05.11. ИКС" xfId="1649" xr:uid="{00000000-0005-0000-0000-00008D0E0000}"/>
    <cellStyle name="_Приложение 02 русс на 16.04.2009 г. 1 сессия_Приложение 1-18 рус пост посл_Приложение рус_ноябрь РБ_прил4р_к_Приложение_пост_рус_авг_Пр 4     11.05.11. ИКС 2" xfId="5077" xr:uid="{00000000-0005-0000-0000-00008E0E0000}"/>
    <cellStyle name="_Приложение 02 русс на 16.04.2009 г. 1 сессия_Приложение 1-18 рус пост посл_Приложение рус_ноябрь РБ_прил4р_к_Приложение_пост_рус_авг_Пр 4     11.05.11. ИКС_Приложение_рус _2012-2014_29,30" xfId="1650" xr:uid="{00000000-0005-0000-0000-00008F0E0000}"/>
    <cellStyle name="_Приложение 02 русс на 16.04.2009 г. 1 сессия_Приложение 1-18 рус пост посл_Приложение рус_ноябрь РБ_прил4р_к_Приложение_пост_рус_авг_Пр 4     11.05.11. ИКС_Приложение_рус _2012-2014_29,30 2" xfId="5078" xr:uid="{00000000-0005-0000-0000-0000900E0000}"/>
    <cellStyle name="_Приложение 02 русс на 16.04.2009 г. 1 сессия_Приложение 1-18 рус пост посл_Приложение рус_ноябрь РБ_прил4р_к_Приложение_пост_рус_авг_Приложение 4 русс,каз 16.03.11. посл" xfId="1651" xr:uid="{00000000-0005-0000-0000-0000910E0000}"/>
    <cellStyle name="_Приложение 02 русс на 16.04.2009 г. 1 сессия_Приложение 1-18 рус пост посл_Приложение рус_ноябрь РБ_прил4р_к_Приложение_пост_рус_авг_Приложение 4 русс,каз 16.03.11. посл 2" xfId="5079" xr:uid="{00000000-0005-0000-0000-0000920E0000}"/>
    <cellStyle name="_Приложение 02 русс на 16.04.2009 г. 1 сессия_Приложение 1-18 рус пост посл_Приложение рус_ноябрь РБ_прил4р_к_Приложение_пост_рус_авг_Приложение 4 русс,каз 16.03.11. посл_Приложение_рус _2012-2014_29,30" xfId="1652" xr:uid="{00000000-0005-0000-0000-0000930E0000}"/>
    <cellStyle name="_Приложение 02 русс на 16.04.2009 г. 1 сессия_Приложение 1-18 рус пост посл_Приложение рус_ноябрь РБ_прил4р_к_Приложение_пост_рус_авг_Приложение 4 русс,каз 16.03.11. посл_Приложение_рус _2012-2014_29,30 2" xfId="5080" xr:uid="{00000000-0005-0000-0000-0000940E0000}"/>
    <cellStyle name="_Приложение 02 русс на 16.04.2009 г. 1 сессия_Приложение 1-18 рус пост посл_Приложение рус_ноябрь РБ_прил4р_к_Приложение_пост_рус_авг_Приложение_реал_рус 2011-2013 Уточнение" xfId="1653" xr:uid="{00000000-0005-0000-0000-0000950E0000}"/>
    <cellStyle name="_Приложение 02 русс на 16.04.2009 г. 1 сессия_Приложение 1-18 рус пост посл_Приложение рус_ноябрь РБ_прил4р_к_Приложение_пост_рус_авг_Приложение_реал_рус 2011-2013 Уточнение 2" xfId="5081" xr:uid="{00000000-0005-0000-0000-0000960E0000}"/>
    <cellStyle name="_Приложение 02 русс на 16.04.2009 г. 1 сессия_Приложение 1-18 рус пост посл_Приложение рус_ноябрь РБ_прил4р_к_Приложение_пост_рус_авг_Приложение_реал_рус 2011-2013 Уточнение_Приложение_рус _2012-2014_29,30" xfId="1654" xr:uid="{00000000-0005-0000-0000-0000970E0000}"/>
    <cellStyle name="_Приложение 02 русс на 16.04.2009 г. 1 сессия_Приложение 1-18 рус пост посл_Приложение рус_ноябрь РБ_прил4р_к_Приложение_пост_рус_авг_Приложение_реал_рус 2011-2013 Уточнение_Приложение_рус _2012-2014_29,30 2" xfId="5082" xr:uid="{00000000-0005-0000-0000-0000980E0000}"/>
    <cellStyle name="_Приложение 02 русс на 16.04.2009 г. 1 сессия_Приложение 1-18 рус пост посл_Приложение рус_ноябрь РБ_прил4р_к_Приложение_пост_рус_авг_Приложение_рус _2012-2014_29,30" xfId="1655" xr:uid="{00000000-0005-0000-0000-0000990E0000}"/>
    <cellStyle name="_Приложение 02 русс на 16.04.2009 г. 1 сессия_Приложение 1-18 рус пост посл_Приложение рус_ноябрь РБ_прил4р_к_Приложение_пост_рус_авг_Приложение_рус _2012-2014_29,30 2" xfId="5083" xr:uid="{00000000-0005-0000-0000-00009A0E0000}"/>
    <cellStyle name="_Приложение 02 русс на 16.04.2009 г. 1 сессия_Приложение 1-18 рус пост посл_Приложение рус_ноябрь РБ_прил4р_к_Приложение_пост_рус_авг_приложения 2012 рус" xfId="1656" xr:uid="{00000000-0005-0000-0000-00009B0E0000}"/>
    <cellStyle name="_Приложение 02 русс на 16.04.2009 г. 1 сессия_Приложение 1-18 рус пост посл_Приложение рус_ноябрь РБ_прил4р_к_Приложение_пост_рус_авг_приложения 2012 рус 2" xfId="5084" xr:uid="{00000000-0005-0000-0000-00009C0E0000}"/>
    <cellStyle name="_Приложение 02 русс на 16.04.2009 г. 1 сессия_Приложение 1-18 рус пост посл_Приложение рус_ноябрь РБ_прил4р_к_Приложение_реал_рус 2011-2013 Уточнение" xfId="1657" xr:uid="{00000000-0005-0000-0000-00009D0E0000}"/>
    <cellStyle name="_Приложение 02 русс на 16.04.2009 г. 1 сессия_Приложение 1-18 рус пост посл_Приложение рус_ноябрь РБ_прил4р_к_Приложение_реал_рус 2011-2013 Уточнение 2" xfId="5085" xr:uid="{00000000-0005-0000-0000-00009E0E0000}"/>
    <cellStyle name="_Приложение 02 русс на 16.04.2009 г. 1 сессия_Приложение 1-18 рус пост посл_Приложение рус_ноябрь РБ_прил4р_к_Приложение_реал_рус 2011-2013 Уточнение_Приложение_рус _2012-2014_29,30" xfId="1658" xr:uid="{00000000-0005-0000-0000-00009F0E0000}"/>
    <cellStyle name="_Приложение 02 русс на 16.04.2009 г. 1 сессия_Приложение 1-18 рус пост посл_Приложение рус_ноябрь РБ_прил4р_к_Приложение_реал_рус 2011-2013 Уточнение_Приложение_рус _2012-2014_29,30 2" xfId="5086" xr:uid="{00000000-0005-0000-0000-0000A00E0000}"/>
    <cellStyle name="_Приложение 02 русс на 16.04.2009 г. 1 сессия_Приложение 1-18 рус пост посл_Приложение рус_ноябрь РБ_прил4р_к_Приложение_рус _2012-2014_29,30" xfId="1659" xr:uid="{00000000-0005-0000-0000-0000A10E0000}"/>
    <cellStyle name="_Приложение 02 русс на 16.04.2009 г. 1 сессия_Приложение 1-18 рус пост посл_Приложение рус_ноябрь РБ_прил4р_к_Приложение_рус _2012-2014_29,30 2" xfId="5087" xr:uid="{00000000-0005-0000-0000-0000A20E0000}"/>
    <cellStyle name="_Приложение 02 русс на 16.04.2009 г. 1 сессия_Приложение 1-18 рус пост посл_Приложение рус_ноябрь РБ_прил4р_к_приложения 2012 рус" xfId="1660" xr:uid="{00000000-0005-0000-0000-0000A30E0000}"/>
    <cellStyle name="_Приложение 02 русс на 16.04.2009 г. 1 сессия_Приложение 1-18 рус пост посл_Приложение рус_ноябрь РБ_прил4р_к_приложения 2012 рус 2" xfId="5088" xr:uid="{00000000-0005-0000-0000-0000A40E0000}"/>
    <cellStyle name="_Приложение 02 русс на 16.04.2009 г. 1 сессия_Приложение 1-18 рус пост посл_Приложение рус_ноябрь РБ_Приложение 4 русс,каз 16.03.11. посл" xfId="1661" xr:uid="{00000000-0005-0000-0000-0000A50E0000}"/>
    <cellStyle name="_Приложение 02 русс на 16.04.2009 г. 1 сессия_Приложение 1-18 рус пост посл_Приложение рус_ноябрь РБ_Приложение 4 русс,каз 16.03.11. посл 2" xfId="5089" xr:uid="{00000000-0005-0000-0000-0000A60E0000}"/>
    <cellStyle name="_Приложение 02 русс на 16.04.2009 г. 1 сессия_Приложение 1-18 рус пост посл_Приложение рус_ноябрь РБ_Приложение 4 русс,каз 16.03.11. посл_Приложение_рус _2012-2014_29,30" xfId="1662" xr:uid="{00000000-0005-0000-0000-0000A70E0000}"/>
    <cellStyle name="_Приложение 02 русс на 16.04.2009 г. 1 сессия_Приложение 1-18 рус пост посл_Приложение рус_ноябрь РБ_Приложение 4 русс,каз 16.03.11. посл_Приложение_рус _2012-2014_29,30 2" xfId="5090" xr:uid="{00000000-0005-0000-0000-0000A80E0000}"/>
    <cellStyle name="_Приложение 02 русс на 16.04.2009 г. 1 сессия_Приложение 1-18 рус пост посл_Приложение рус_ноябрь РБ_Приложение_2010-2012 каз 04.08.10_ДК-2020" xfId="1663" xr:uid="{00000000-0005-0000-0000-0000A90E0000}"/>
    <cellStyle name="_Приложение 02 русс на 16.04.2009 г. 1 сессия_Приложение 1-18 рус пост посл_Приложение рус_ноябрь РБ_Приложение_2010-2012 каз 04.08.10_ДК-2020 2" xfId="5091" xr:uid="{00000000-0005-0000-0000-0000AA0E0000}"/>
    <cellStyle name="_Приложение 02 русс на 16.04.2009 г. 1 сессия_Приложение 1-18 рус пост посл_Приложение рус_ноябрь РБ_Приложение_2010-2012 каз 04.08.10_ДК-2020_Анализ" xfId="1664" xr:uid="{00000000-0005-0000-0000-0000AB0E0000}"/>
    <cellStyle name="_Приложение 02 русс на 16.04.2009 г. 1 сессия_Приложение 1-18 рус пост посл_Приложение рус_ноябрь РБ_Приложение_2010-2012 каз 04.08.10_ДК-2020_Анализ 2" xfId="5092" xr:uid="{00000000-0005-0000-0000-0000AC0E0000}"/>
    <cellStyle name="_Приложение 02 русс на 16.04.2009 г. 1 сессия_Приложение 1-18 рус пост посл_Приложение рус_ноябрь РБ_Приложение_2010-2012 каз 04.08.10_ДК-2020_Анализ 3.03.2011г." xfId="3116" xr:uid="{00000000-0005-0000-0000-0000AD0E0000}"/>
    <cellStyle name="_Приложение 02 русс на 16.04.2009 г. 1 сессия_Приложение 1-18 рус пост посл_Приложение рус_ноябрь РБ_Приложение_2010-2012 каз 04.08.10_ДК-2020_Анализ 6.03.2011г." xfId="3117" xr:uid="{00000000-0005-0000-0000-0000AE0E0000}"/>
    <cellStyle name="_Приложение 02 русс на 16.04.2009 г. 1 сессия_Приложение 1-18 рус пост посл_Приложение рус_ноябрь РБ_Приложение_2010-2012 каз 04.08.10_ДК-2020_Анализ 9.03.2011г." xfId="3118" xr:uid="{00000000-0005-0000-0000-0000AF0E0000}"/>
    <cellStyle name="_Приложение 02 русс на 16.04.2009 г. 1 сессия_Приложение 1-18 рус пост посл_Приложение рус_ноябрь РБ_Приложение_2010-2012 каз 04.08.10_ДК-2020_Анализ_Приложение_рус _2012-2014_29,30" xfId="1665" xr:uid="{00000000-0005-0000-0000-0000B00E0000}"/>
    <cellStyle name="_Приложение 02 русс на 16.04.2009 г. 1 сессия_Приложение 1-18 рус пост посл_Приложение рус_ноябрь РБ_Приложение_2010-2012 каз 04.08.10_ДК-2020_Анализ_Приложение_рус _2012-2014_29,30 2" xfId="5093" xr:uid="{00000000-0005-0000-0000-0000B10E0000}"/>
    <cellStyle name="_Приложение 02 русс на 16.04.2009 г. 1 сессия_Приложение 1-18 рус пост посл_Приложение рус_ноябрь РБ_Приложение_2010-2012 каз 04.08.10_ДК-2020_Пр 4     11.05.11. ИКС" xfId="1666" xr:uid="{00000000-0005-0000-0000-0000B20E0000}"/>
    <cellStyle name="_Приложение 02 русс на 16.04.2009 г. 1 сессия_Приложение 1-18 рус пост посл_Приложение рус_ноябрь РБ_Приложение_2010-2012 каз 04.08.10_ДК-2020_Пр 4     11.05.11. ИКС 2" xfId="5094" xr:uid="{00000000-0005-0000-0000-0000B30E0000}"/>
    <cellStyle name="_Приложение 02 русс на 16.04.2009 г. 1 сессия_Приложение 1-18 рус пост посл_Приложение рус_ноябрь РБ_Приложение_2010-2012 каз 04.08.10_ДК-2020_Пр 4     11.05.11. ИКС_Приложение_рус _2012-2014_29,30" xfId="1667" xr:uid="{00000000-0005-0000-0000-0000B40E0000}"/>
    <cellStyle name="_Приложение 02 русс на 16.04.2009 г. 1 сессия_Приложение 1-18 рус пост посл_Приложение рус_ноябрь РБ_Приложение_2010-2012 каз 04.08.10_ДК-2020_Пр 4     11.05.11. ИКС_Приложение_рус _2012-2014_29,30 2" xfId="5095" xr:uid="{00000000-0005-0000-0000-0000B50E0000}"/>
    <cellStyle name="_Приложение 02 русс на 16.04.2009 г. 1 сессия_Приложение 1-18 рус пост посл_Приложение рус_ноябрь РБ_Приложение_2010-2012 каз 04.08.10_ДК-2020_Приложение 4 русс,каз 16.03.11. посл" xfId="1668" xr:uid="{00000000-0005-0000-0000-0000B60E0000}"/>
    <cellStyle name="_Приложение 02 русс на 16.04.2009 г. 1 сессия_Приложение 1-18 рус пост посл_Приложение рус_ноябрь РБ_Приложение_2010-2012 каз 04.08.10_ДК-2020_Приложение 4 русс,каз 16.03.11. посл 2" xfId="5096" xr:uid="{00000000-0005-0000-0000-0000B70E0000}"/>
    <cellStyle name="_Приложение 02 русс на 16.04.2009 г. 1 сессия_Приложение 1-18 рус пост посл_Приложение рус_ноябрь РБ_Приложение_2010-2012 каз 04.08.10_ДК-2020_Приложение 4 русс,каз 16.03.11. посл_Приложение_рус _2012-2014_29,30" xfId="1669" xr:uid="{00000000-0005-0000-0000-0000B80E0000}"/>
    <cellStyle name="_Приложение 02 русс на 16.04.2009 г. 1 сессия_Приложение 1-18 рус пост посл_Приложение рус_ноябрь РБ_Приложение_2010-2012 каз 04.08.10_ДК-2020_Приложение 4 русс,каз 16.03.11. посл_Приложение_рус _2012-2014_29,30 2" xfId="5097" xr:uid="{00000000-0005-0000-0000-0000B90E0000}"/>
    <cellStyle name="_Приложение 02 русс на 16.04.2009 г. 1 сессия_Приложение 1-18 рус пост посл_Приложение рус_ноябрь РБ_Приложение_2010-2012 каз 04.08.10_ДК-2020_Приложение_реал_рус 2011-2013 Уточнение" xfId="1670" xr:uid="{00000000-0005-0000-0000-0000BA0E0000}"/>
    <cellStyle name="_Приложение 02 русс на 16.04.2009 г. 1 сессия_Приложение 1-18 рус пост посл_Приложение рус_ноябрь РБ_Приложение_2010-2012 каз 04.08.10_ДК-2020_Приложение_реал_рус 2011-2013 Уточнение 2" xfId="5098" xr:uid="{00000000-0005-0000-0000-0000BB0E0000}"/>
    <cellStyle name="_Приложение 02 русс на 16.04.2009 г. 1 сессия_Приложение 1-18 рус пост посл_Приложение рус_ноябрь РБ_Приложение_2010-2012 каз 04.08.10_ДК-2020_Приложение_реал_рус 2011-2013 Уточнение_Приложение_рус _2012-2014_29,30" xfId="1671" xr:uid="{00000000-0005-0000-0000-0000BC0E0000}"/>
    <cellStyle name="_Приложение 02 русс на 16.04.2009 г. 1 сессия_Приложение 1-18 рус пост посл_Приложение рус_ноябрь РБ_Приложение_2010-2012 каз 04.08.10_ДК-2020_Приложение_реал_рус 2011-2013 Уточнение_Приложение_рус _2012-2014_29,30 2" xfId="5099" xr:uid="{00000000-0005-0000-0000-0000BD0E0000}"/>
    <cellStyle name="_Приложение 02 русс на 16.04.2009 г. 1 сессия_Приложение 1-18 рус пост посл_Приложение рус_ноябрь РБ_Приложение_2010-2012 каз 04.08.10_ДК-2020_Приложение_рус _2012-2014_29,30" xfId="1672" xr:uid="{00000000-0005-0000-0000-0000BE0E0000}"/>
    <cellStyle name="_Приложение 02 русс на 16.04.2009 г. 1 сессия_Приложение 1-18 рус пост посл_Приложение рус_ноябрь РБ_Приложение_2010-2012 каз 04.08.10_ДК-2020_Приложение_рус _2012-2014_29,30 2" xfId="5100" xr:uid="{00000000-0005-0000-0000-0000BF0E0000}"/>
    <cellStyle name="_Приложение 02 русс на 16.04.2009 г. 1 сессия_Приложение 1-18 рус пост посл_Приложение рус_ноябрь РБ_Приложение_2010-2012 каз 04.08.10_ДК-2020_приложения 2012 рус" xfId="1673" xr:uid="{00000000-0005-0000-0000-0000C00E0000}"/>
    <cellStyle name="_Приложение 02 русс на 16.04.2009 г. 1 сессия_Приложение 1-18 рус пост посл_Приложение рус_ноябрь РБ_Приложение_2010-2012 каз 04.08.10_ДК-2020_приложения 2012 рус 2" xfId="5101" xr:uid="{00000000-0005-0000-0000-0000C10E0000}"/>
    <cellStyle name="_Приложение 02 русс на 16.04.2009 г. 1 сессия_Приложение 1-18 рус пост посл_Приложение рус_ноябрь РБ_Приложение_2010-2012 каз_март" xfId="1674" xr:uid="{00000000-0005-0000-0000-0000C20E0000}"/>
    <cellStyle name="_Приложение 02 русс на 16.04.2009 г. 1 сессия_Приложение 1-18 рус пост посл_Приложение рус_ноябрь РБ_Приложение_2010-2012 каз_март 2" xfId="1675" xr:uid="{00000000-0005-0000-0000-0000C30E0000}"/>
    <cellStyle name="_Приложение 02 русс на 16.04.2009 г. 1 сессия_Приложение 1-18 рус пост посл_Приложение рус_ноябрь РБ_Приложение_2010-2012 каз_март 2 2" xfId="5103" xr:uid="{00000000-0005-0000-0000-0000C40E0000}"/>
    <cellStyle name="_Приложение 02 русс на 16.04.2009 г. 1 сессия_Приложение 1-18 рус пост посл_Приложение рус_ноябрь РБ_Приложение_2010-2012 каз_март 3" xfId="5102" xr:uid="{00000000-0005-0000-0000-0000C50E0000}"/>
    <cellStyle name="_Приложение 02 русс на 16.04.2009 г. 1 сессия_Приложение 1-18 рус пост посл_Приложение рус_ноябрь РБ_Приложение_2010-2012 каз_март_Анализ" xfId="1676" xr:uid="{00000000-0005-0000-0000-0000C60E0000}"/>
    <cellStyle name="_Приложение 02 русс на 16.04.2009 г. 1 сессия_Приложение 1-18 рус пост посл_Приложение рус_ноябрь РБ_Приложение_2010-2012 каз_март_Анализ 2" xfId="5104" xr:uid="{00000000-0005-0000-0000-0000C70E0000}"/>
    <cellStyle name="_Приложение 02 русс на 16.04.2009 г. 1 сессия_Приложение 1-18 рус пост посл_Приложение рус_ноябрь РБ_Приложение_2010-2012 каз_март_Анализ 3.03.2011г." xfId="3119" xr:uid="{00000000-0005-0000-0000-0000C80E0000}"/>
    <cellStyle name="_Приложение 02 русс на 16.04.2009 г. 1 сессия_Приложение 1-18 рус пост посл_Приложение рус_ноябрь РБ_Приложение_2010-2012 каз_март_Анализ 6.03.2011г." xfId="3120" xr:uid="{00000000-0005-0000-0000-0000C90E0000}"/>
    <cellStyle name="_Приложение 02 русс на 16.04.2009 г. 1 сессия_Приложение 1-18 рус пост посл_Приложение рус_ноябрь РБ_Приложение_2010-2012 каз_март_Анализ 9.03.2011г." xfId="3121" xr:uid="{00000000-0005-0000-0000-0000CA0E0000}"/>
    <cellStyle name="_Приложение 02 русс на 16.04.2009 г. 1 сессия_Приложение 1-18 рус пост посл_Приложение рус_ноябрь РБ_Приложение_2010-2012 каз_март_Анализ_Приложение_рус _2012-2014_29,30" xfId="1677" xr:uid="{00000000-0005-0000-0000-0000CB0E0000}"/>
    <cellStyle name="_Приложение 02 русс на 16.04.2009 г. 1 сессия_Приложение 1-18 рус пост посл_Приложение рус_ноябрь РБ_Приложение_2010-2012 каз_март_Анализ_Приложение_рус _2012-2014_29,30 2" xfId="5105" xr:uid="{00000000-0005-0000-0000-0000CC0E0000}"/>
    <cellStyle name="_Приложение 02 русс на 16.04.2009 г. 1 сессия_Приложение 1-18 рус пост посл_Приложение рус_ноябрь РБ_Приложение_2010-2012 каз_март_Пр 4     11.05.11. ИКС" xfId="1678" xr:uid="{00000000-0005-0000-0000-0000CD0E0000}"/>
    <cellStyle name="_Приложение 02 русс на 16.04.2009 г. 1 сессия_Приложение 1-18 рус пост посл_Приложение рус_ноябрь РБ_Приложение_2010-2012 каз_март_Пр 4     11.05.11. ИКС 2" xfId="5106" xr:uid="{00000000-0005-0000-0000-0000CE0E0000}"/>
    <cellStyle name="_Приложение 02 русс на 16.04.2009 г. 1 сессия_Приложение 1-18 рус пост посл_Приложение рус_ноябрь РБ_Приложение_2010-2012 каз_март_Пр 4     11.05.11. ИКС_Приложение_рус _2012-2014_29,30" xfId="1679" xr:uid="{00000000-0005-0000-0000-0000CF0E0000}"/>
    <cellStyle name="_Приложение 02 русс на 16.04.2009 г. 1 сессия_Приложение 1-18 рус пост посл_Приложение рус_ноябрь РБ_Приложение_2010-2012 каз_март_Пр 4     11.05.11. ИКС_Приложение_рус _2012-2014_29,30 2" xfId="5107" xr:uid="{00000000-0005-0000-0000-0000D00E0000}"/>
    <cellStyle name="_Приложение 02 русс на 16.04.2009 г. 1 сессия_Приложение 1-18 рус пост посл_Приложение рус_ноябрь РБ_Приложение_2010-2012 каз_март_Приложение 4 русс,каз 16.03.11. посл" xfId="1680" xr:uid="{00000000-0005-0000-0000-0000D10E0000}"/>
    <cellStyle name="_Приложение 02 русс на 16.04.2009 г. 1 сессия_Приложение 1-18 рус пост посл_Приложение рус_ноябрь РБ_Приложение_2010-2012 каз_март_Приложение 4 русс,каз 16.03.11. посл 2" xfId="5108" xr:uid="{00000000-0005-0000-0000-0000D20E0000}"/>
    <cellStyle name="_Приложение 02 русс на 16.04.2009 г. 1 сессия_Приложение 1-18 рус пост посл_Приложение рус_ноябрь РБ_Приложение_2010-2012 каз_март_Приложение 4 русс,каз 16.03.11. посл_Приложение_рус _2012-2014_29,30" xfId="1681" xr:uid="{00000000-0005-0000-0000-0000D30E0000}"/>
    <cellStyle name="_Приложение 02 русс на 16.04.2009 г. 1 сессия_Приложение 1-18 рус пост посл_Приложение рус_ноябрь РБ_Приложение_2010-2012 каз_март_Приложение 4 русс,каз 16.03.11. посл_Приложение_рус _2012-2014_29,30 2" xfId="5109" xr:uid="{00000000-0005-0000-0000-0000D4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" xfId="1682" xr:uid="{00000000-0005-0000-0000-0000D5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 2" xfId="5110" xr:uid="{00000000-0005-0000-0000-0000D6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" xfId="1683" xr:uid="{00000000-0005-0000-0000-0000D7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 2" xfId="5111" xr:uid="{00000000-0005-0000-0000-0000D8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 3.03.2011г." xfId="3122" xr:uid="{00000000-0005-0000-0000-0000D9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 6.03.2011г." xfId="3123" xr:uid="{00000000-0005-0000-0000-0000DA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 9.03.2011г." xfId="3124" xr:uid="{00000000-0005-0000-0000-0000DB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_Приложение_рус _2012-2014_29,30" xfId="1684" xr:uid="{00000000-0005-0000-0000-0000DC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_Приложение_рус _2012-2014_29,30 2" xfId="5112" xr:uid="{00000000-0005-0000-0000-0000DD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 4     11.05.11. ИКС" xfId="1685" xr:uid="{00000000-0005-0000-0000-0000DE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 4     11.05.11. ИКС 2" xfId="5113" xr:uid="{00000000-0005-0000-0000-0000DF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 4     11.05.11. ИКС_Приложение_рус _2012-2014_29,30" xfId="1686" xr:uid="{00000000-0005-0000-0000-0000E0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 4     11.05.11. ИКС_Приложение_рус _2012-2014_29,30 2" xfId="5114" xr:uid="{00000000-0005-0000-0000-0000E1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 4 русс,каз 16.03.11. посл" xfId="1687" xr:uid="{00000000-0005-0000-0000-0000E2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 4 русс,каз 16.03.11. посл 2" xfId="5115" xr:uid="{00000000-0005-0000-0000-0000E3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 4 русс,каз 16.03.11. посл_Приложение_рус _2012-2014_29,30" xfId="1688" xr:uid="{00000000-0005-0000-0000-0000E4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 4 русс,каз 16.03.11. посл_Приложение_рус _2012-2014_29,30 2" xfId="5116" xr:uid="{00000000-0005-0000-0000-0000E5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еал_рус 2011-2013 Уточнение" xfId="1689" xr:uid="{00000000-0005-0000-0000-0000E6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еал_рус 2011-2013 Уточнение 2" xfId="5117" xr:uid="{00000000-0005-0000-0000-0000E7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еал_рус 2011-2013 Уточнение_Приложение_рус _2012-2014_29,30" xfId="1690" xr:uid="{00000000-0005-0000-0000-0000E8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еал_рус 2011-2013 Уточнение_Приложение_рус _2012-2014_29,30 2" xfId="5118" xr:uid="{00000000-0005-0000-0000-0000E9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ус _2012-2014_29,30" xfId="1691" xr:uid="{00000000-0005-0000-0000-0000EA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ус _2012-2014_29,30 2" xfId="5119" xr:uid="{00000000-0005-0000-0000-0000EB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я 2012 рус" xfId="1692" xr:uid="{00000000-0005-0000-0000-0000EC0E0000}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я 2012 рус 2" xfId="5120" xr:uid="{00000000-0005-0000-0000-0000ED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" xfId="1693" xr:uid="{00000000-0005-0000-0000-0000EE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 2" xfId="5121" xr:uid="{00000000-0005-0000-0000-0000EF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" xfId="1694" xr:uid="{00000000-0005-0000-0000-0000F0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 2" xfId="5122" xr:uid="{00000000-0005-0000-0000-0000F1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 3.03.2011г." xfId="3125" xr:uid="{00000000-0005-0000-0000-0000F2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 6.03.2011г." xfId="3126" xr:uid="{00000000-0005-0000-0000-0000F3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 9.03.2011г." xfId="3127" xr:uid="{00000000-0005-0000-0000-0000F4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_Приложение_рус _2012-2014_29,30" xfId="1695" xr:uid="{00000000-0005-0000-0000-0000F5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_Приложение_рус _2012-2014_29,30 2" xfId="5123" xr:uid="{00000000-0005-0000-0000-0000F6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 4     11.05.11. ИКС" xfId="1696" xr:uid="{00000000-0005-0000-0000-0000F7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 4     11.05.11. ИКС 2" xfId="5124" xr:uid="{00000000-0005-0000-0000-0000F8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 4     11.05.11. ИКС_Приложение_рус _2012-2014_29,30" xfId="1697" xr:uid="{00000000-0005-0000-0000-0000F9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 4     11.05.11. ИКС_Приложение_рус _2012-2014_29,30 2" xfId="5125" xr:uid="{00000000-0005-0000-0000-0000FA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 4 русс,каз 16.03.11. посл" xfId="1698" xr:uid="{00000000-0005-0000-0000-0000FB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 4 русс,каз 16.03.11. посл 2" xfId="5126" xr:uid="{00000000-0005-0000-0000-0000FC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 4 русс,каз 16.03.11. посл_Приложение_рус _2012-2014_29,30" xfId="1699" xr:uid="{00000000-0005-0000-0000-0000FD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 4 русс,каз 16.03.11. посл_Приложение_рус _2012-2014_29,30 2" xfId="5127" xr:uid="{00000000-0005-0000-0000-0000FE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еал_рус 2011-2013 Уточнение" xfId="1700" xr:uid="{00000000-0005-0000-0000-0000FF0E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еал_рус 2011-2013 Уточнение 2" xfId="5128" xr:uid="{00000000-0005-0000-0000-0000000F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еал_рус 2011-2013 Уточнение_Приложение_рус _2012-2014_29,30" xfId="1701" xr:uid="{00000000-0005-0000-0000-0000010F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еал_рус 2011-2013 Уточнение_Приложение_рус _2012-2014_29,30 2" xfId="5129" xr:uid="{00000000-0005-0000-0000-0000020F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ус _2012-2014_29,30" xfId="1702" xr:uid="{00000000-0005-0000-0000-0000030F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ус _2012-2014_29,30 2" xfId="5130" xr:uid="{00000000-0005-0000-0000-0000040F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я 2012 рус" xfId="1703" xr:uid="{00000000-0005-0000-0000-0000050F0000}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я 2012 рус 2" xfId="5131" xr:uid="{00000000-0005-0000-0000-0000060F0000}"/>
    <cellStyle name="_Приложение 02 русс на 16.04.2009 г. 1 сессия_Приложение 1-18 рус пост посл_Приложение рус_ноябрь РБ_Приложение_2010-2012 каз_март_Приложение_реал_рус 2011-2013 Уточнение" xfId="1704" xr:uid="{00000000-0005-0000-0000-0000070F0000}"/>
    <cellStyle name="_Приложение 02 русс на 16.04.2009 г. 1 сессия_Приложение 1-18 рус пост посл_Приложение рус_ноябрь РБ_Приложение_2010-2012 каз_март_Приложение_реал_рус 2011-2013 Уточнение 2" xfId="5132" xr:uid="{00000000-0005-0000-0000-0000080F0000}"/>
    <cellStyle name="_Приложение 02 русс на 16.04.2009 г. 1 сессия_Приложение 1-18 рус пост посл_Приложение рус_ноябрь РБ_Приложение_2010-2012 каз_март_Приложение_реал_рус 2011-2013 Уточнение_Приложение_рус _2012-2014_29,30" xfId="1705" xr:uid="{00000000-0005-0000-0000-0000090F0000}"/>
    <cellStyle name="_Приложение 02 русс на 16.04.2009 г. 1 сессия_Приложение 1-18 рус пост посл_Приложение рус_ноябрь РБ_Приложение_2010-2012 каз_март_Приложение_реал_рус 2011-2013 Уточнение_Приложение_рус _2012-2014_29,30 2" xfId="5133" xr:uid="{00000000-0005-0000-0000-00000A0F0000}"/>
    <cellStyle name="_Приложение 02 русс на 16.04.2009 г. 1 сессия_Приложение 1-18 рус пост посл_Приложение рус_ноябрь РБ_Приложение_2010-2012 каз_март_Приложение_рус _2012-2014_29,30" xfId="1706" xr:uid="{00000000-0005-0000-0000-00000B0F0000}"/>
    <cellStyle name="_Приложение 02 русс на 16.04.2009 г. 1 сессия_Приложение 1-18 рус пост посл_Приложение рус_ноябрь РБ_Приложение_2010-2012 каз_март_Приложение_рус _2012-2014_29,30 2" xfId="5134" xr:uid="{00000000-0005-0000-0000-00000C0F0000}"/>
    <cellStyle name="_Приложение 02 русс на 16.04.2009 г. 1 сессия_Приложение 1-18 рус пост посл_Приложение рус_ноябрь РБ_Приложение_2010-2012 каз_март_приложения 2012 рус" xfId="1707" xr:uid="{00000000-0005-0000-0000-00000D0F0000}"/>
    <cellStyle name="_Приложение 02 русс на 16.04.2009 г. 1 сессия_Приложение 1-18 рус пост посл_Приложение рус_ноябрь РБ_Приложение_2010-2012 каз_март_приложения 2012 рус 2" xfId="5135" xr:uid="{00000000-0005-0000-0000-00000E0F0000}"/>
    <cellStyle name="_Приложение 02 русс на 16.04.2009 г. 1 сессия_Приложение 1-18 рус пост посл_Приложение рус_ноябрь РБ_Приложение_2010-2012 рус  КОРРЕКТИРОВКА" xfId="1708" xr:uid="{00000000-0005-0000-0000-00000F0F0000}"/>
    <cellStyle name="_Приложение 02 русс на 16.04.2009 г. 1 сессия_Приложение 1-18 рус пост посл_Приложение рус_ноябрь РБ_Приложение_2010-2012 рус  КОРРЕКТИРОВКА 2" xfId="5136" xr:uid="{00000000-0005-0000-0000-0000100F0000}"/>
    <cellStyle name="_Приложение 02 русс на 16.04.2009 г. 1 сессия_Приложение 1-18 рус пост посл_Приложение рус_ноябрь РБ_Приложение_2010-2012 рус  КОРРЕКТИРОВКА_Анализ" xfId="1709" xr:uid="{00000000-0005-0000-0000-0000110F0000}"/>
    <cellStyle name="_Приложение 02 русс на 16.04.2009 г. 1 сессия_Приложение 1-18 рус пост посл_Приложение рус_ноябрь РБ_Приложение_2010-2012 рус  КОРРЕКТИРОВКА_Анализ 2" xfId="5137" xr:uid="{00000000-0005-0000-0000-0000120F0000}"/>
    <cellStyle name="_Приложение 02 русс на 16.04.2009 г. 1 сессия_Приложение 1-18 рус пост посл_Приложение рус_ноябрь РБ_Приложение_2010-2012 рус  КОРРЕКТИРОВКА_Анализ 3.03.2011г." xfId="3128" xr:uid="{00000000-0005-0000-0000-0000130F0000}"/>
    <cellStyle name="_Приложение 02 русс на 16.04.2009 г. 1 сессия_Приложение 1-18 рус пост посл_Приложение рус_ноябрь РБ_Приложение_2010-2012 рус  КОРРЕКТИРОВКА_Анализ 6.03.2011г." xfId="3129" xr:uid="{00000000-0005-0000-0000-0000140F0000}"/>
    <cellStyle name="_Приложение 02 русс на 16.04.2009 г. 1 сессия_Приложение 1-18 рус пост посл_Приложение рус_ноябрь РБ_Приложение_2010-2012 рус  КОРРЕКТИРОВКА_Анализ 9.03.2011г." xfId="3130" xr:uid="{00000000-0005-0000-0000-0000150F0000}"/>
    <cellStyle name="_Приложение 02 русс на 16.04.2009 г. 1 сессия_Приложение 1-18 рус пост посл_Приложение рус_ноябрь РБ_Приложение_2010-2012 рус  КОРРЕКТИРОВКА_Анализ_Приложение_рус _2012-2014_29,30" xfId="1710" xr:uid="{00000000-0005-0000-0000-0000160F0000}"/>
    <cellStyle name="_Приложение 02 русс на 16.04.2009 г. 1 сессия_Приложение 1-18 рус пост посл_Приложение рус_ноябрь РБ_Приложение_2010-2012 рус  КОРРЕКТИРОВКА_Анализ_Приложение_рус _2012-2014_29,30 2" xfId="5138" xr:uid="{00000000-0005-0000-0000-0000170F0000}"/>
    <cellStyle name="_Приложение 02 русс на 16.04.2009 г. 1 сессия_Приложение 1-18 рус пост посл_Приложение рус_ноябрь РБ_Приложение_2010-2012 рус  КОРРЕКТИРОВКА_Пр 4     11.05.11. ИКС" xfId="1711" xr:uid="{00000000-0005-0000-0000-0000180F0000}"/>
    <cellStyle name="_Приложение 02 русс на 16.04.2009 г. 1 сессия_Приложение 1-18 рус пост посл_Приложение рус_ноябрь РБ_Приложение_2010-2012 рус  КОРРЕКТИРОВКА_Пр 4     11.05.11. ИКС 2" xfId="5139" xr:uid="{00000000-0005-0000-0000-0000190F0000}"/>
    <cellStyle name="_Приложение 02 русс на 16.04.2009 г. 1 сессия_Приложение 1-18 рус пост посл_Приложение рус_ноябрь РБ_Приложение_2010-2012 рус  КОРРЕКТИРОВКА_Пр 4     11.05.11. ИКС_Приложение_рус _2012-2014_29,30" xfId="1712" xr:uid="{00000000-0005-0000-0000-00001A0F0000}"/>
    <cellStyle name="_Приложение 02 русс на 16.04.2009 г. 1 сессия_Приложение 1-18 рус пост посл_Приложение рус_ноябрь РБ_Приложение_2010-2012 рус  КОРРЕКТИРОВКА_Пр 4     11.05.11. ИКС_Приложение_рус _2012-2014_29,30 2" xfId="5140" xr:uid="{00000000-0005-0000-0000-00001B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 4 русс,каз 16.03.11. посл" xfId="1713" xr:uid="{00000000-0005-0000-0000-00001C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 4 русс,каз 16.03.11. посл 2" xfId="5141" xr:uid="{00000000-0005-0000-0000-00001D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 4 русс,каз 16.03.11. посл_Приложение_рус _2012-2014_29,30" xfId="1714" xr:uid="{00000000-0005-0000-0000-00001E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 4 русс,каз 16.03.11. посл_Приложение_рус _2012-2014_29,30 2" xfId="5142" xr:uid="{00000000-0005-0000-0000-00001F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" xfId="1715" xr:uid="{00000000-0005-0000-0000-000020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 2" xfId="5143" xr:uid="{00000000-0005-0000-0000-000021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" xfId="1716" xr:uid="{00000000-0005-0000-0000-000022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 2" xfId="5144" xr:uid="{00000000-0005-0000-0000-000023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 3.03.2011г." xfId="3131" xr:uid="{00000000-0005-0000-0000-000024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 6.03.2011г." xfId="3132" xr:uid="{00000000-0005-0000-0000-000025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 9.03.2011г." xfId="3133" xr:uid="{00000000-0005-0000-0000-000026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_Приложение_рус _2012-2014_29,30" xfId="1717" xr:uid="{00000000-0005-0000-0000-000027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_Приложение_рус _2012-2014_29,30 2" xfId="5145" xr:uid="{00000000-0005-0000-0000-000028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 4     11.05.11. ИКС" xfId="1718" xr:uid="{00000000-0005-0000-0000-000029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 4     11.05.11. ИКС 2" xfId="5146" xr:uid="{00000000-0005-0000-0000-00002A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 4     11.05.11. ИКС_Приложение_рус _2012-2014_29,30" xfId="1719" xr:uid="{00000000-0005-0000-0000-00002B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 4     11.05.11. ИКС_Приложение_рус _2012-2014_29,30 2" xfId="5147" xr:uid="{00000000-0005-0000-0000-00002C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 4 русс,каз 16.03.11. посл" xfId="1720" xr:uid="{00000000-0005-0000-0000-00002D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 4 русс,каз 16.03.11. посл 2" xfId="5148" xr:uid="{00000000-0005-0000-0000-00002E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 4 русс,каз 16.03.11. посл_Приложение_рус _2012-2014_29,30" xfId="1721" xr:uid="{00000000-0005-0000-0000-00002F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 4 русс,каз 16.03.11. посл_Приложение_рус _2012-2014_29,30 2" xfId="5149" xr:uid="{00000000-0005-0000-0000-000030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еал_рус 2011-2013 Уточнение" xfId="1722" xr:uid="{00000000-0005-0000-0000-000031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еал_рус 2011-2013 Уточнение 2" xfId="5150" xr:uid="{00000000-0005-0000-0000-000032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еал_рус 2011-2013 Уточнение_Приложение_рус _2012-2014_29,30" xfId="1723" xr:uid="{00000000-0005-0000-0000-000033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еал_рус 2011-2013 Уточнение_Приложение_рус _2012-2014_29,30 2" xfId="5151" xr:uid="{00000000-0005-0000-0000-000034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ус _2012-2014_29,30" xfId="1724" xr:uid="{00000000-0005-0000-0000-000035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ус _2012-2014_29,30 2" xfId="5152" xr:uid="{00000000-0005-0000-0000-000036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я 2012 рус" xfId="1725" xr:uid="{00000000-0005-0000-0000-000037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я 2012 рус 2" xfId="5153" xr:uid="{00000000-0005-0000-0000-000038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" xfId="1726" xr:uid="{00000000-0005-0000-0000-000039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 2" xfId="5154" xr:uid="{00000000-0005-0000-0000-00003A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" xfId="1727" xr:uid="{00000000-0005-0000-0000-00003B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 2" xfId="5155" xr:uid="{00000000-0005-0000-0000-00003C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 3.03.2011г." xfId="3134" xr:uid="{00000000-0005-0000-0000-00003D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 6.03.2011г." xfId="3135" xr:uid="{00000000-0005-0000-0000-00003E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 9.03.2011г." xfId="3136" xr:uid="{00000000-0005-0000-0000-00003F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_Приложение_рус _2012-2014_29,30" xfId="1728" xr:uid="{00000000-0005-0000-0000-000040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_Приложение_рус _2012-2014_29,30 2" xfId="5156" xr:uid="{00000000-0005-0000-0000-000041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 4     11.05.11. ИКС" xfId="1729" xr:uid="{00000000-0005-0000-0000-000042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 4     11.05.11. ИКС 2" xfId="5157" xr:uid="{00000000-0005-0000-0000-000043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 4     11.05.11. ИКС_Приложение_рус _2012-2014_29,30" xfId="1730" xr:uid="{00000000-0005-0000-0000-000044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 4     11.05.11. ИКС_Приложение_рус _2012-2014_29,30 2" xfId="5158" xr:uid="{00000000-0005-0000-0000-000045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 4 русс,каз 16.03.11. посл" xfId="1731" xr:uid="{00000000-0005-0000-0000-000046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 4 русс,каз 16.03.11. посл 2" xfId="5159" xr:uid="{00000000-0005-0000-0000-000047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 4 русс,каз 16.03.11. посл_Приложение_рус _2012-2014_29,30" xfId="1732" xr:uid="{00000000-0005-0000-0000-000048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 4 русс,каз 16.03.11. посл_Приложение_рус _2012-2014_29,30 2" xfId="5160" xr:uid="{00000000-0005-0000-0000-000049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еал_рус 2011-2013 Уточнение" xfId="1733" xr:uid="{00000000-0005-0000-0000-00004A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еал_рус 2011-2013 Уточнение 2" xfId="5161" xr:uid="{00000000-0005-0000-0000-00004B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еал_рус 2011-2013 Уточнение_Приложение_рус _2012-2014_29,30" xfId="1734" xr:uid="{00000000-0005-0000-0000-00004C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еал_рус 2011-2013 Уточнение_Приложение_рус _2012-2014_29,30 2" xfId="5162" xr:uid="{00000000-0005-0000-0000-00004D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ус _2012-2014_29,30" xfId="1735" xr:uid="{00000000-0005-0000-0000-00004E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ус _2012-2014_29,30 2" xfId="5163" xr:uid="{00000000-0005-0000-0000-00004F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я 2012 рус" xfId="1736" xr:uid="{00000000-0005-0000-0000-000050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я 2012 рус 2" xfId="5164" xr:uid="{00000000-0005-0000-0000-000051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еал_рус 2011-2013 Уточнение" xfId="1737" xr:uid="{00000000-0005-0000-0000-000052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еал_рус 2011-2013 Уточнение 2" xfId="5165" xr:uid="{00000000-0005-0000-0000-000053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еал_рус 2011-2013 Уточнение_Приложение_рус _2012-2014_29,30" xfId="1738" xr:uid="{00000000-0005-0000-0000-000054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еал_рус 2011-2013 Уточнение_Приложение_рус _2012-2014_29,30 2" xfId="5166" xr:uid="{00000000-0005-0000-0000-000055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ус _2012-2014_29,30" xfId="1739" xr:uid="{00000000-0005-0000-0000-000056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ус _2012-2014_29,30 2" xfId="5167" xr:uid="{00000000-0005-0000-0000-000057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я 2012 рус" xfId="1740" xr:uid="{00000000-0005-0000-0000-0000580F0000}"/>
    <cellStyle name="_Приложение 02 русс на 16.04.2009 г. 1 сессия_Приложение 1-18 рус пост посл_Приложение рус_ноябрь РБ_Приложение_2010-2012 рус  КОРРЕКТИРОВКА_приложения 2012 рус 2" xfId="5168" xr:uid="{00000000-0005-0000-0000-0000590F0000}"/>
    <cellStyle name="_Приложение 02 русс на 16.04.2009 г. 1 сессия_Приложение 1-18 рус пост посл_Приложение рус_ноябрь РБ_Приложение_2010-2012 рус 04.08.10" xfId="1741" xr:uid="{00000000-0005-0000-0000-00005A0F0000}"/>
    <cellStyle name="_Приложение 02 русс на 16.04.2009 г. 1 сессия_Приложение 1-18 рус пост посл_Приложение рус_ноябрь РБ_Приложение_2010-2012 рус 04.08.10 2" xfId="5169" xr:uid="{00000000-0005-0000-0000-00005B0F0000}"/>
    <cellStyle name="_Приложение 02 русс на 16.04.2009 г. 1 сессия_Приложение 1-18 рус пост посл_Приложение рус_ноябрь РБ_Приложение_2010-2012 рус 04.08.10_Анализ" xfId="1742" xr:uid="{00000000-0005-0000-0000-00005C0F0000}"/>
    <cellStyle name="_Приложение 02 русс на 16.04.2009 г. 1 сессия_Приложение 1-18 рус пост посл_Приложение рус_ноябрь РБ_Приложение_2010-2012 рус 04.08.10_Анализ 2" xfId="5170" xr:uid="{00000000-0005-0000-0000-00005D0F0000}"/>
    <cellStyle name="_Приложение 02 русс на 16.04.2009 г. 1 сессия_Приложение 1-18 рус пост посл_Приложение рус_ноябрь РБ_Приложение_2010-2012 рус 04.08.10_Анализ 3.03.2011г." xfId="3137" xr:uid="{00000000-0005-0000-0000-00005E0F0000}"/>
    <cellStyle name="_Приложение 02 русс на 16.04.2009 г. 1 сессия_Приложение 1-18 рус пост посл_Приложение рус_ноябрь РБ_Приложение_2010-2012 рус 04.08.10_Анализ 6.03.2011г." xfId="3138" xr:uid="{00000000-0005-0000-0000-00005F0F0000}"/>
    <cellStyle name="_Приложение 02 русс на 16.04.2009 г. 1 сессия_Приложение 1-18 рус пост посл_Приложение рус_ноябрь РБ_Приложение_2010-2012 рус 04.08.10_Анализ 9.03.2011г." xfId="3139" xr:uid="{00000000-0005-0000-0000-0000600F0000}"/>
    <cellStyle name="_Приложение 02 русс на 16.04.2009 г. 1 сессия_Приложение 1-18 рус пост посл_Приложение рус_ноябрь РБ_Приложение_2010-2012 рус 04.08.10_Анализ_Приложение_рус _2012-2014_29,30" xfId="1743" xr:uid="{00000000-0005-0000-0000-0000610F0000}"/>
    <cellStyle name="_Приложение 02 русс на 16.04.2009 г. 1 сессия_Приложение 1-18 рус пост посл_Приложение рус_ноябрь РБ_Приложение_2010-2012 рус 04.08.10_Анализ_Приложение_рус _2012-2014_29,30 2" xfId="5171" xr:uid="{00000000-0005-0000-0000-0000620F0000}"/>
    <cellStyle name="_Приложение 02 русс на 16.04.2009 г. 1 сессия_Приложение 1-18 рус пост посл_Приложение рус_ноябрь РБ_Приложение_2010-2012 рус 04.08.10_Пр 4     11.05.11. ИКС" xfId="1744" xr:uid="{00000000-0005-0000-0000-0000630F0000}"/>
    <cellStyle name="_Приложение 02 русс на 16.04.2009 г. 1 сессия_Приложение 1-18 рус пост посл_Приложение рус_ноябрь РБ_Приложение_2010-2012 рус 04.08.10_Пр 4     11.05.11. ИКС 2" xfId="5172" xr:uid="{00000000-0005-0000-0000-0000640F0000}"/>
    <cellStyle name="_Приложение 02 русс на 16.04.2009 г. 1 сессия_Приложение 1-18 рус пост посл_Приложение рус_ноябрь РБ_Приложение_2010-2012 рус 04.08.10_Пр 4     11.05.11. ИКС_Приложение_рус _2012-2014_29,30" xfId="1745" xr:uid="{00000000-0005-0000-0000-0000650F0000}"/>
    <cellStyle name="_Приложение 02 русс на 16.04.2009 г. 1 сессия_Приложение 1-18 рус пост посл_Приложение рус_ноябрь РБ_Приложение_2010-2012 рус 04.08.10_Пр 4     11.05.11. ИКС_Приложение_рус _2012-2014_29,30 2" xfId="5173" xr:uid="{00000000-0005-0000-0000-0000660F0000}"/>
    <cellStyle name="_Приложение 02 русс на 16.04.2009 г. 1 сессия_Приложение 1-18 рус пост посл_Приложение рус_ноябрь РБ_Приложение_2010-2012 рус 04.08.10_Приложение 4 русс,каз 16.03.11. посл" xfId="1746" xr:uid="{00000000-0005-0000-0000-0000670F0000}"/>
    <cellStyle name="_Приложение 02 русс на 16.04.2009 г. 1 сессия_Приложение 1-18 рус пост посл_Приложение рус_ноябрь РБ_Приложение_2010-2012 рус 04.08.10_Приложение 4 русс,каз 16.03.11. посл 2" xfId="5174" xr:uid="{00000000-0005-0000-0000-0000680F0000}"/>
    <cellStyle name="_Приложение 02 русс на 16.04.2009 г. 1 сессия_Приложение 1-18 рус пост посл_Приложение рус_ноябрь РБ_Приложение_2010-2012 рус 04.08.10_Приложение 4 русс,каз 16.03.11. посл_Приложение_рус _2012-2014_29,30" xfId="1747" xr:uid="{00000000-0005-0000-0000-0000690F0000}"/>
    <cellStyle name="_Приложение 02 русс на 16.04.2009 г. 1 сессия_Приложение 1-18 рус пост посл_Приложение рус_ноябрь РБ_Приложение_2010-2012 рус 04.08.10_Приложение 4 русс,каз 16.03.11. посл_Приложение_рус _2012-2014_29,30 2" xfId="5175" xr:uid="{00000000-0005-0000-0000-00006A0F0000}"/>
    <cellStyle name="_Приложение 02 русс на 16.04.2009 г. 1 сессия_Приложение 1-18 рус пост посл_Приложение рус_ноябрь РБ_Приложение_2010-2012 рус 04.08.10_Приложение_реал_рус 2011-2013 Уточнение" xfId="1748" xr:uid="{00000000-0005-0000-0000-00006B0F0000}"/>
    <cellStyle name="_Приложение 02 русс на 16.04.2009 г. 1 сессия_Приложение 1-18 рус пост посл_Приложение рус_ноябрь РБ_Приложение_2010-2012 рус 04.08.10_Приложение_реал_рус 2011-2013 Уточнение 2" xfId="5176" xr:uid="{00000000-0005-0000-0000-00006C0F0000}"/>
    <cellStyle name="_Приложение 02 русс на 16.04.2009 г. 1 сессия_Приложение 1-18 рус пост посл_Приложение рус_ноябрь РБ_Приложение_2010-2012 рус 04.08.10_Приложение_реал_рус 2011-2013 Уточнение_Приложение_рус _2012-2014_29,30" xfId="1749" xr:uid="{00000000-0005-0000-0000-00006D0F0000}"/>
    <cellStyle name="_Приложение 02 русс на 16.04.2009 г. 1 сессия_Приложение 1-18 рус пост посл_Приложение рус_ноябрь РБ_Приложение_2010-2012 рус 04.08.10_Приложение_реал_рус 2011-2013 Уточнение_Приложение_рус _2012-2014_29,30 2" xfId="5177" xr:uid="{00000000-0005-0000-0000-00006E0F0000}"/>
    <cellStyle name="_Приложение 02 русс на 16.04.2009 г. 1 сессия_Приложение 1-18 рус пост посл_Приложение рус_ноябрь РБ_Приложение_2010-2012 рус 04.08.10_Приложение_рус _2012-2014_29,30" xfId="1750" xr:uid="{00000000-0005-0000-0000-00006F0F0000}"/>
    <cellStyle name="_Приложение 02 русс на 16.04.2009 г. 1 сессия_Приложение 1-18 рус пост посл_Приложение рус_ноябрь РБ_Приложение_2010-2012 рус 04.08.10_Приложение_рус _2012-2014_29,30 2" xfId="5178" xr:uid="{00000000-0005-0000-0000-0000700F0000}"/>
    <cellStyle name="_Приложение 02 русс на 16.04.2009 г. 1 сессия_Приложение 1-18 рус пост посл_Приложение рус_ноябрь РБ_Приложение_2010-2012 рус 04.08.10_приложения 2012 рус" xfId="1751" xr:uid="{00000000-0005-0000-0000-0000710F0000}"/>
    <cellStyle name="_Приложение 02 русс на 16.04.2009 г. 1 сессия_Приложение 1-18 рус пост посл_Приложение рус_ноябрь РБ_Приложение_2010-2012 рус 04.08.10_приложения 2012 рус 2" xfId="5179" xr:uid="{00000000-0005-0000-0000-0000720F0000}"/>
    <cellStyle name="_Приложение 02 русс на 16.04.2009 г. 1 сессия_Приложение 1-18 рус пост посл_Приложение рус_ноябрь РБ_Приложение_2010-2012 рус март" xfId="1752" xr:uid="{00000000-0005-0000-0000-0000730F0000}"/>
    <cellStyle name="_Приложение 02 русс на 16.04.2009 г. 1 сессия_Приложение 1-18 рус пост посл_Приложение рус_ноябрь РБ_Приложение_2010-2012 рус март 2" xfId="5180" xr:uid="{00000000-0005-0000-0000-0000740F0000}"/>
    <cellStyle name="_Приложение 02 русс на 16.04.2009 г. 1 сессия_Приложение 1-18 рус пост посл_Приложение рус_ноябрь РБ_Приложение_2010-2012 рус март_Анализ" xfId="1753" xr:uid="{00000000-0005-0000-0000-0000750F0000}"/>
    <cellStyle name="_Приложение 02 русс на 16.04.2009 г. 1 сессия_Приложение 1-18 рус пост посл_Приложение рус_ноябрь РБ_Приложение_2010-2012 рус март_Анализ 2" xfId="5181" xr:uid="{00000000-0005-0000-0000-0000760F0000}"/>
    <cellStyle name="_Приложение 02 русс на 16.04.2009 г. 1 сессия_Приложение 1-18 рус пост посл_Приложение рус_ноябрь РБ_Приложение_2010-2012 рус март_Анализ 3.03.2011г." xfId="3140" xr:uid="{00000000-0005-0000-0000-0000770F0000}"/>
    <cellStyle name="_Приложение 02 русс на 16.04.2009 г. 1 сессия_Приложение 1-18 рус пост посл_Приложение рус_ноябрь РБ_Приложение_2010-2012 рус март_Анализ 6.03.2011г." xfId="3141" xr:uid="{00000000-0005-0000-0000-0000780F0000}"/>
    <cellStyle name="_Приложение 02 русс на 16.04.2009 г. 1 сессия_Приложение 1-18 рус пост посл_Приложение рус_ноябрь РБ_Приложение_2010-2012 рус март_Анализ 9.03.2011г." xfId="3142" xr:uid="{00000000-0005-0000-0000-0000790F0000}"/>
    <cellStyle name="_Приложение 02 русс на 16.04.2009 г. 1 сессия_Приложение 1-18 рус пост посл_Приложение рус_ноябрь РБ_Приложение_2010-2012 рус март_Анализ_Приложение_рус _2012-2014_29,30" xfId="1754" xr:uid="{00000000-0005-0000-0000-00007A0F0000}"/>
    <cellStyle name="_Приложение 02 русс на 16.04.2009 г. 1 сессия_Приложение 1-18 рус пост посл_Приложение рус_ноябрь РБ_Приложение_2010-2012 рус март_Анализ_Приложение_рус _2012-2014_29,30 2" xfId="5182" xr:uid="{00000000-0005-0000-0000-00007B0F0000}"/>
    <cellStyle name="_Приложение 02 русс на 16.04.2009 г. 1 сессия_Приложение 1-18 рус пост посл_Приложение рус_ноябрь РБ_Приложение_2010-2012 рус март_Пр 4     11.05.11. ИКС" xfId="1755" xr:uid="{00000000-0005-0000-0000-00007C0F0000}"/>
    <cellStyle name="_Приложение 02 русс на 16.04.2009 г. 1 сессия_Приложение 1-18 рус пост посл_Приложение рус_ноябрь РБ_Приложение_2010-2012 рус март_Пр 4     11.05.11. ИКС 2" xfId="5183" xr:uid="{00000000-0005-0000-0000-00007D0F0000}"/>
    <cellStyle name="_Приложение 02 русс на 16.04.2009 г. 1 сессия_Приложение 1-18 рус пост посл_Приложение рус_ноябрь РБ_Приложение_2010-2012 рус март_Пр 4     11.05.11. ИКС_Приложение_рус _2012-2014_29,30" xfId="1756" xr:uid="{00000000-0005-0000-0000-00007E0F0000}"/>
    <cellStyle name="_Приложение 02 русс на 16.04.2009 г. 1 сессия_Приложение 1-18 рус пост посл_Приложение рус_ноябрь РБ_Приложение_2010-2012 рус март_Пр 4     11.05.11. ИКС_Приложение_рус _2012-2014_29,30 2" xfId="5184" xr:uid="{00000000-0005-0000-0000-00007F0F0000}"/>
    <cellStyle name="_Приложение 02 русс на 16.04.2009 г. 1 сессия_Приложение 1-18 рус пост посл_Приложение рус_ноябрь РБ_Приложение_2010-2012 рус март_Приложение 4 русс,каз 16.03.11. посл" xfId="1757" xr:uid="{00000000-0005-0000-0000-0000800F0000}"/>
    <cellStyle name="_Приложение 02 русс на 16.04.2009 г. 1 сессия_Приложение 1-18 рус пост посл_Приложение рус_ноябрь РБ_Приложение_2010-2012 рус март_Приложение 4 русс,каз 16.03.11. посл 2" xfId="5185" xr:uid="{00000000-0005-0000-0000-0000810F0000}"/>
    <cellStyle name="_Приложение 02 русс на 16.04.2009 г. 1 сессия_Приложение 1-18 рус пост посл_Приложение рус_ноябрь РБ_Приложение_2010-2012 рус март_Приложение 4 русс,каз 16.03.11. посл_Приложение_рус _2012-2014_29,30" xfId="1758" xr:uid="{00000000-0005-0000-0000-0000820F0000}"/>
    <cellStyle name="_Приложение 02 русс на 16.04.2009 г. 1 сессия_Приложение 1-18 рус пост посл_Приложение рус_ноябрь РБ_Приложение_2010-2012 рус март_Приложение 4 русс,каз 16.03.11. посл_Приложение_рус _2012-2014_29,30 2" xfId="5186" xr:uid="{00000000-0005-0000-0000-000083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" xfId="1759" xr:uid="{00000000-0005-0000-0000-000084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 2" xfId="5187" xr:uid="{00000000-0005-0000-0000-000085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" xfId="1760" xr:uid="{00000000-0005-0000-0000-000086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 2" xfId="5188" xr:uid="{00000000-0005-0000-0000-000087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 3.03.2011г." xfId="3143" xr:uid="{00000000-0005-0000-0000-000088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 6.03.2011г." xfId="3144" xr:uid="{00000000-0005-0000-0000-000089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 9.03.2011г." xfId="3145" xr:uid="{00000000-0005-0000-0000-00008A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_Приложение_рус _2012-2014_29,30" xfId="1761" xr:uid="{00000000-0005-0000-0000-00008B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_Приложение_рус _2012-2014_29,30 2" xfId="5189" xr:uid="{00000000-0005-0000-0000-00008C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 4     11.05.11. ИКС" xfId="1762" xr:uid="{00000000-0005-0000-0000-00008D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 4     11.05.11. ИКС 2" xfId="5190" xr:uid="{00000000-0005-0000-0000-00008E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 4     11.05.11. ИКС_Приложение_рус _2012-2014_29,30" xfId="1763" xr:uid="{00000000-0005-0000-0000-00008F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 4     11.05.11. ИКС_Приложение_рус _2012-2014_29,30 2" xfId="5191" xr:uid="{00000000-0005-0000-0000-000090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 4 русс,каз 16.03.11. посл" xfId="1764" xr:uid="{00000000-0005-0000-0000-000091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 4 русс,каз 16.03.11. посл 2" xfId="5192" xr:uid="{00000000-0005-0000-0000-000092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 4 русс,каз 16.03.11. посл_Приложение_рус _2012-2014_29,30" xfId="1765" xr:uid="{00000000-0005-0000-0000-000093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 4 русс,каз 16.03.11. посл_Приложение_рус _2012-2014_29,30 2" xfId="5193" xr:uid="{00000000-0005-0000-0000-000094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еал_рус 2011-2013 Уточнение" xfId="1766" xr:uid="{00000000-0005-0000-0000-000095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еал_рус 2011-2013 Уточнение 2" xfId="5194" xr:uid="{00000000-0005-0000-0000-000096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еал_рус 2011-2013 Уточнение_Приложение_рус _2012-2014_29,30" xfId="1767" xr:uid="{00000000-0005-0000-0000-000097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еал_рус 2011-2013 Уточнение_Приложение_рус _2012-2014_29,30 2" xfId="5195" xr:uid="{00000000-0005-0000-0000-000098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ус _2012-2014_29,30" xfId="1768" xr:uid="{00000000-0005-0000-0000-000099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ус _2012-2014_29,30 2" xfId="5196" xr:uid="{00000000-0005-0000-0000-00009A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я 2012 рус" xfId="1769" xr:uid="{00000000-0005-0000-0000-00009B0F0000}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я 2012 рус 2" xfId="5197" xr:uid="{00000000-0005-0000-0000-00009C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" xfId="1770" xr:uid="{00000000-0005-0000-0000-00009D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 2" xfId="5198" xr:uid="{00000000-0005-0000-0000-00009E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" xfId="1771" xr:uid="{00000000-0005-0000-0000-00009F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 2" xfId="5199" xr:uid="{00000000-0005-0000-0000-0000A0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 3.03.2011г." xfId="3146" xr:uid="{00000000-0005-0000-0000-0000A1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 6.03.2011г." xfId="3147" xr:uid="{00000000-0005-0000-0000-0000A2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 9.03.2011г." xfId="3148" xr:uid="{00000000-0005-0000-0000-0000A3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_Приложение_рус _2012-2014_29,30" xfId="1772" xr:uid="{00000000-0005-0000-0000-0000A4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_Приложение_рус _2012-2014_29,30 2" xfId="5200" xr:uid="{00000000-0005-0000-0000-0000A5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 4     11.05.11. ИКС" xfId="1773" xr:uid="{00000000-0005-0000-0000-0000A6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 4     11.05.11. ИКС 2" xfId="5201" xr:uid="{00000000-0005-0000-0000-0000A7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 4     11.05.11. ИКС_Приложение_рус _2012-2014_29,30" xfId="1774" xr:uid="{00000000-0005-0000-0000-0000A8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 4     11.05.11. ИКС_Приложение_рус _2012-2014_29,30 2" xfId="5202" xr:uid="{00000000-0005-0000-0000-0000A9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 4 русс,каз 16.03.11. посл" xfId="1775" xr:uid="{00000000-0005-0000-0000-0000AA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 4 русс,каз 16.03.11. посл 2" xfId="5203" xr:uid="{00000000-0005-0000-0000-0000AB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 4 русс,каз 16.03.11. посл_Приложение_рус _2012-2014_29,30" xfId="1776" xr:uid="{00000000-0005-0000-0000-0000AC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 4 русс,каз 16.03.11. посл_Приложение_рус _2012-2014_29,30 2" xfId="5204" xr:uid="{00000000-0005-0000-0000-0000AD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еал_рус 2011-2013 Уточнение" xfId="1777" xr:uid="{00000000-0005-0000-0000-0000AE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еал_рус 2011-2013 Уточнение 2" xfId="5205" xr:uid="{00000000-0005-0000-0000-0000AF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еал_рус 2011-2013 Уточнение_Приложение_рус _2012-2014_29,30" xfId="1778" xr:uid="{00000000-0005-0000-0000-0000B0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еал_рус 2011-2013 Уточнение_Приложение_рус _2012-2014_29,30 2" xfId="5206" xr:uid="{00000000-0005-0000-0000-0000B1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ус _2012-2014_29,30" xfId="1779" xr:uid="{00000000-0005-0000-0000-0000B2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ус _2012-2014_29,30 2" xfId="5207" xr:uid="{00000000-0005-0000-0000-0000B3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я 2012 рус" xfId="1780" xr:uid="{00000000-0005-0000-0000-0000B40F0000}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я 2012 рус 2" xfId="5208" xr:uid="{00000000-0005-0000-0000-0000B50F0000}"/>
    <cellStyle name="_Приложение 02 русс на 16.04.2009 г. 1 сессия_Приложение 1-18 рус пост посл_Приложение рус_ноябрь РБ_Приложение_2010-2012 рус март_Приложение_реал_рус 2011-2013 Уточнение" xfId="1781" xr:uid="{00000000-0005-0000-0000-0000B60F0000}"/>
    <cellStyle name="_Приложение 02 русс на 16.04.2009 г. 1 сессия_Приложение 1-18 рус пост посл_Приложение рус_ноябрь РБ_Приложение_2010-2012 рус март_Приложение_реал_рус 2011-2013 Уточнение 2" xfId="5209" xr:uid="{00000000-0005-0000-0000-0000B70F0000}"/>
    <cellStyle name="_Приложение 02 русс на 16.04.2009 г. 1 сессия_Приложение 1-18 рус пост посл_Приложение рус_ноябрь РБ_Приложение_2010-2012 рус март_Приложение_реал_рус 2011-2013 Уточнение_Приложение_рус _2012-2014_29,30" xfId="1782" xr:uid="{00000000-0005-0000-0000-0000B80F0000}"/>
    <cellStyle name="_Приложение 02 русс на 16.04.2009 г. 1 сессия_Приложение 1-18 рус пост посл_Приложение рус_ноябрь РБ_Приложение_2010-2012 рус март_Приложение_реал_рус 2011-2013 Уточнение_Приложение_рус _2012-2014_29,30 2" xfId="5210" xr:uid="{00000000-0005-0000-0000-0000B90F0000}"/>
    <cellStyle name="_Приложение 02 русс на 16.04.2009 г. 1 сессия_Приложение 1-18 рус пост посл_Приложение рус_ноябрь РБ_Приложение_2010-2012 рус март_Приложение_рус _2012-2014_29,30" xfId="1783" xr:uid="{00000000-0005-0000-0000-0000BA0F0000}"/>
    <cellStyle name="_Приложение 02 русс на 16.04.2009 г. 1 сессия_Приложение 1-18 рус пост посл_Приложение рус_ноябрь РБ_Приложение_2010-2012 рус март_Приложение_рус _2012-2014_29,30 2" xfId="5211" xr:uid="{00000000-0005-0000-0000-0000BB0F0000}"/>
    <cellStyle name="_Приложение 02 русс на 16.04.2009 г. 1 сессия_Приложение 1-18 рус пост посл_Приложение рус_ноябрь РБ_Приложение_2010-2012 рус март_приложения 2012 рус" xfId="1784" xr:uid="{00000000-0005-0000-0000-0000BC0F0000}"/>
    <cellStyle name="_Приложение 02 русс на 16.04.2009 г. 1 сессия_Приложение 1-18 рус пост посл_Приложение рус_ноябрь РБ_Приложение_2010-2012 рус март_приложения 2012 рус 2" xfId="5212" xr:uid="{00000000-0005-0000-0000-0000BD0F0000}"/>
    <cellStyle name="_Приложение 02 русс на 16.04.2009 г. 1 сессия_Приложение 1-18 рус пост посл_Приложение рус_ноябрь РБ_Приложение_пост_каз_авг" xfId="1785" xr:uid="{00000000-0005-0000-0000-0000BE0F0000}"/>
    <cellStyle name="_Приложение 02 русс на 16.04.2009 г. 1 сессия_Приложение 1-18 рус пост посл_Приложение рус_ноябрь РБ_Приложение_пост_каз_авг 2" xfId="5213" xr:uid="{00000000-0005-0000-0000-0000BF0F0000}"/>
    <cellStyle name="_Приложение 02 русс на 16.04.2009 г. 1 сессия_Приложение 1-18 рус пост посл_Приложение рус_ноябрь РБ_Приложение_пост_каз_авг_Анализ" xfId="1786" xr:uid="{00000000-0005-0000-0000-0000C00F0000}"/>
    <cellStyle name="_Приложение 02 русс на 16.04.2009 г. 1 сессия_Приложение 1-18 рус пост посл_Приложение рус_ноябрь РБ_Приложение_пост_каз_авг_Анализ 2" xfId="5214" xr:uid="{00000000-0005-0000-0000-0000C10F0000}"/>
    <cellStyle name="_Приложение 02 русс на 16.04.2009 г. 1 сессия_Приложение 1-18 рус пост посл_Приложение рус_ноябрь РБ_Приложение_пост_каз_авг_Анализ 3.03.2011г." xfId="3149" xr:uid="{00000000-0005-0000-0000-0000C20F0000}"/>
    <cellStyle name="_Приложение 02 русс на 16.04.2009 г. 1 сессия_Приложение 1-18 рус пост посл_Приложение рус_ноябрь РБ_Приложение_пост_каз_авг_Анализ 6.03.2011г." xfId="3150" xr:uid="{00000000-0005-0000-0000-0000C30F0000}"/>
    <cellStyle name="_Приложение 02 русс на 16.04.2009 г. 1 сессия_Приложение 1-18 рус пост посл_Приложение рус_ноябрь РБ_Приложение_пост_каз_авг_Анализ 9.03.2011г." xfId="3151" xr:uid="{00000000-0005-0000-0000-0000C40F0000}"/>
    <cellStyle name="_Приложение 02 русс на 16.04.2009 г. 1 сессия_Приложение 1-18 рус пост посл_Приложение рус_ноябрь РБ_Приложение_пост_каз_авг_Анализ_Приложение_рус _2012-2014_29,30" xfId="1787" xr:uid="{00000000-0005-0000-0000-0000C50F0000}"/>
    <cellStyle name="_Приложение 02 русс на 16.04.2009 г. 1 сессия_Приложение 1-18 рус пост посл_Приложение рус_ноябрь РБ_Приложение_пост_каз_авг_Анализ_Приложение_рус _2012-2014_29,30 2" xfId="5215" xr:uid="{00000000-0005-0000-0000-0000C60F0000}"/>
    <cellStyle name="_Приложение 02 русс на 16.04.2009 г. 1 сессия_Приложение 1-18 рус пост посл_Приложение рус_ноябрь РБ_Приложение_пост_каз_авг_Пр 4     11.05.11. ИКС" xfId="1788" xr:uid="{00000000-0005-0000-0000-0000C70F0000}"/>
    <cellStyle name="_Приложение 02 русс на 16.04.2009 г. 1 сессия_Приложение 1-18 рус пост посл_Приложение рус_ноябрь РБ_Приложение_пост_каз_авг_Пр 4     11.05.11. ИКС 2" xfId="5216" xr:uid="{00000000-0005-0000-0000-0000C80F0000}"/>
    <cellStyle name="_Приложение 02 русс на 16.04.2009 г. 1 сессия_Приложение 1-18 рус пост посл_Приложение рус_ноябрь РБ_Приложение_пост_каз_авг_Пр 4     11.05.11. ИКС_Приложение_рус _2012-2014_29,30" xfId="1789" xr:uid="{00000000-0005-0000-0000-0000C90F0000}"/>
    <cellStyle name="_Приложение 02 русс на 16.04.2009 г. 1 сессия_Приложение 1-18 рус пост посл_Приложение рус_ноябрь РБ_Приложение_пост_каз_авг_Пр 4     11.05.11. ИКС_Приложение_рус _2012-2014_29,30 2" xfId="5217" xr:uid="{00000000-0005-0000-0000-0000CA0F0000}"/>
    <cellStyle name="_Приложение 02 русс на 16.04.2009 г. 1 сессия_Приложение 1-18 рус пост посл_Приложение рус_ноябрь РБ_Приложение_пост_каз_авг_Приложение 4 русс,каз 16.03.11. посл" xfId="1790" xr:uid="{00000000-0005-0000-0000-0000CB0F0000}"/>
    <cellStyle name="_Приложение 02 русс на 16.04.2009 г. 1 сессия_Приложение 1-18 рус пост посл_Приложение рус_ноябрь РБ_Приложение_пост_каз_авг_Приложение 4 русс,каз 16.03.11. посл 2" xfId="5218" xr:uid="{00000000-0005-0000-0000-0000CC0F0000}"/>
    <cellStyle name="_Приложение 02 русс на 16.04.2009 г. 1 сессия_Приложение 1-18 рус пост посл_Приложение рус_ноябрь РБ_Приложение_пост_каз_авг_Приложение 4 русс,каз 16.03.11. посл_Приложение_рус _2012-2014_29,30" xfId="1791" xr:uid="{00000000-0005-0000-0000-0000CD0F0000}"/>
    <cellStyle name="_Приложение 02 русс на 16.04.2009 г. 1 сессия_Приложение 1-18 рус пост посл_Приложение рус_ноябрь РБ_Приложение_пост_каз_авг_Приложение 4 русс,каз 16.03.11. посл_Приложение_рус _2012-2014_29,30 2" xfId="5219" xr:uid="{00000000-0005-0000-0000-0000CE0F0000}"/>
    <cellStyle name="_Приложение 02 русс на 16.04.2009 г. 1 сессия_Приложение 1-18 рус пост посл_Приложение рус_ноябрь РБ_Приложение_пост_каз_авг_Приложение_реал_рус 2011-2013 Уточнение" xfId="1792" xr:uid="{00000000-0005-0000-0000-0000CF0F0000}"/>
    <cellStyle name="_Приложение 02 русс на 16.04.2009 г. 1 сессия_Приложение 1-18 рус пост посл_Приложение рус_ноябрь РБ_Приложение_пост_каз_авг_Приложение_реал_рус 2011-2013 Уточнение 2" xfId="5220" xr:uid="{00000000-0005-0000-0000-0000D00F0000}"/>
    <cellStyle name="_Приложение 02 русс на 16.04.2009 г. 1 сессия_Приложение 1-18 рус пост посл_Приложение рус_ноябрь РБ_Приложение_пост_каз_авг_Приложение_реал_рус 2011-2013 Уточнение_Приложение_рус _2012-2014_29,30" xfId="1793" xr:uid="{00000000-0005-0000-0000-0000D10F0000}"/>
    <cellStyle name="_Приложение 02 русс на 16.04.2009 г. 1 сессия_Приложение 1-18 рус пост посл_Приложение рус_ноябрь РБ_Приложение_пост_каз_авг_Приложение_реал_рус 2011-2013 Уточнение_Приложение_рус _2012-2014_29,30 2" xfId="5221" xr:uid="{00000000-0005-0000-0000-0000D20F0000}"/>
    <cellStyle name="_Приложение 02 русс на 16.04.2009 г. 1 сессия_Приложение 1-18 рус пост посл_Приложение рус_ноябрь РБ_Приложение_пост_каз_авг_Приложение_рус _2012-2014_29,30" xfId="1794" xr:uid="{00000000-0005-0000-0000-0000D30F0000}"/>
    <cellStyle name="_Приложение 02 русс на 16.04.2009 г. 1 сессия_Приложение 1-18 рус пост посл_Приложение рус_ноябрь РБ_Приложение_пост_каз_авг_Приложение_рус _2012-2014_29,30 2" xfId="5222" xr:uid="{00000000-0005-0000-0000-0000D40F0000}"/>
    <cellStyle name="_Приложение 02 русс на 16.04.2009 г. 1 сессия_Приложение 1-18 рус пост посл_Приложение рус_ноябрь РБ_Приложение_пост_каз_авг_приложения 2012 рус" xfId="1795" xr:uid="{00000000-0005-0000-0000-0000D50F0000}"/>
    <cellStyle name="_Приложение 02 русс на 16.04.2009 г. 1 сессия_Приложение 1-18 рус пост посл_Приложение рус_ноябрь РБ_Приложение_пост_каз_авг_приложения 2012 рус 2" xfId="5223" xr:uid="{00000000-0005-0000-0000-0000D60F0000}"/>
    <cellStyle name="_Приложение 02 русс на 16.04.2009 г. 1 сессия_Приложение 1-18 рус пост посл_Приложение рус_ноябрь РБ_Приложение_пост_рус_авг" xfId="1796" xr:uid="{00000000-0005-0000-0000-0000D70F0000}"/>
    <cellStyle name="_Приложение 02 русс на 16.04.2009 г. 1 сессия_Приложение 1-18 рус пост посл_Приложение рус_ноябрь РБ_Приложение_пост_рус_авг 2" xfId="5224" xr:uid="{00000000-0005-0000-0000-0000D80F0000}"/>
    <cellStyle name="_Приложение 02 русс на 16.04.2009 г. 1 сессия_Приложение 1-18 рус пост посл_Приложение рус_ноябрь РБ_Приложение_пост_рус_авг_Анализ" xfId="1797" xr:uid="{00000000-0005-0000-0000-0000D90F0000}"/>
    <cellStyle name="_Приложение 02 русс на 16.04.2009 г. 1 сессия_Приложение 1-18 рус пост посл_Приложение рус_ноябрь РБ_Приложение_пост_рус_авг_Анализ 2" xfId="5225" xr:uid="{00000000-0005-0000-0000-0000DA0F0000}"/>
    <cellStyle name="_Приложение 02 русс на 16.04.2009 г. 1 сессия_Приложение 1-18 рус пост посл_Приложение рус_ноябрь РБ_Приложение_пост_рус_авг_Анализ 3.03.2011г." xfId="3152" xr:uid="{00000000-0005-0000-0000-0000DB0F0000}"/>
    <cellStyle name="_Приложение 02 русс на 16.04.2009 г. 1 сессия_Приложение 1-18 рус пост посл_Приложение рус_ноябрь РБ_Приложение_пост_рус_авг_Анализ 6.03.2011г." xfId="3153" xr:uid="{00000000-0005-0000-0000-0000DC0F0000}"/>
    <cellStyle name="_Приложение 02 русс на 16.04.2009 г. 1 сессия_Приложение 1-18 рус пост посл_Приложение рус_ноябрь РБ_Приложение_пост_рус_авг_Анализ 9.03.2011г." xfId="3154" xr:uid="{00000000-0005-0000-0000-0000DD0F0000}"/>
    <cellStyle name="_Приложение 02 русс на 16.04.2009 г. 1 сессия_Приложение 1-18 рус пост посл_Приложение рус_ноябрь РБ_Приложение_пост_рус_авг_Анализ_Приложение_рус _2012-2014_29,30" xfId="1798" xr:uid="{00000000-0005-0000-0000-0000DE0F0000}"/>
    <cellStyle name="_Приложение 02 русс на 16.04.2009 г. 1 сессия_Приложение 1-18 рус пост посл_Приложение рус_ноябрь РБ_Приложение_пост_рус_авг_Анализ_Приложение_рус _2012-2014_29,30 2" xfId="5226" xr:uid="{00000000-0005-0000-0000-0000DF0F0000}"/>
    <cellStyle name="_Приложение 02 русс на 16.04.2009 г. 1 сессия_Приложение 1-18 рус пост посл_Приложение рус_ноябрь РБ_Приложение_пост_рус_авг_Пр 4     11.05.11. ИКС" xfId="1799" xr:uid="{00000000-0005-0000-0000-0000E00F0000}"/>
    <cellStyle name="_Приложение 02 русс на 16.04.2009 г. 1 сессия_Приложение 1-18 рус пост посл_Приложение рус_ноябрь РБ_Приложение_пост_рус_авг_Пр 4     11.05.11. ИКС 2" xfId="5227" xr:uid="{00000000-0005-0000-0000-0000E10F0000}"/>
    <cellStyle name="_Приложение 02 русс на 16.04.2009 г. 1 сессия_Приложение 1-18 рус пост посл_Приложение рус_ноябрь РБ_Приложение_пост_рус_авг_Пр 4     11.05.11. ИКС_Приложение_рус _2012-2014_29,30" xfId="1800" xr:uid="{00000000-0005-0000-0000-0000E20F0000}"/>
    <cellStyle name="_Приложение 02 русс на 16.04.2009 г. 1 сессия_Приложение 1-18 рус пост посл_Приложение рус_ноябрь РБ_Приложение_пост_рус_авг_Пр 4     11.05.11. ИКС_Приложение_рус _2012-2014_29,30 2" xfId="5228" xr:uid="{00000000-0005-0000-0000-0000E30F0000}"/>
    <cellStyle name="_Приложение 02 русс на 16.04.2009 г. 1 сессия_Приложение 1-18 рус пост посл_Приложение рус_ноябрь РБ_Приложение_пост_рус_авг_Приложение 4 русс,каз 16.03.11. посл" xfId="1801" xr:uid="{00000000-0005-0000-0000-0000E40F0000}"/>
    <cellStyle name="_Приложение 02 русс на 16.04.2009 г. 1 сессия_Приложение 1-18 рус пост посл_Приложение рус_ноябрь РБ_Приложение_пост_рус_авг_Приложение 4 русс,каз 16.03.11. посл 2" xfId="5229" xr:uid="{00000000-0005-0000-0000-0000E50F0000}"/>
    <cellStyle name="_Приложение 02 русс на 16.04.2009 г. 1 сессия_Приложение 1-18 рус пост посл_Приложение рус_ноябрь РБ_Приложение_пост_рус_авг_Приложение 4 русс,каз 16.03.11. посл_Приложение_рус _2012-2014_29,30" xfId="1802" xr:uid="{00000000-0005-0000-0000-0000E60F0000}"/>
    <cellStyle name="_Приложение 02 русс на 16.04.2009 г. 1 сессия_Приложение 1-18 рус пост посл_Приложение рус_ноябрь РБ_Приложение_пост_рус_авг_Приложение 4 русс,каз 16.03.11. посл_Приложение_рус _2012-2014_29,30 2" xfId="5230" xr:uid="{00000000-0005-0000-0000-0000E70F0000}"/>
    <cellStyle name="_Приложение 02 русс на 16.04.2009 г. 1 сессия_Приложение 1-18 рус пост посл_Приложение рус_ноябрь РБ_Приложение_пост_рус_авг_Приложение_реал_рус 2011-2013 Уточнение" xfId="1803" xr:uid="{00000000-0005-0000-0000-0000E80F0000}"/>
    <cellStyle name="_Приложение 02 русс на 16.04.2009 г. 1 сессия_Приложение 1-18 рус пост посл_Приложение рус_ноябрь РБ_Приложение_пост_рус_авг_Приложение_реал_рус 2011-2013 Уточнение 2" xfId="5231" xr:uid="{00000000-0005-0000-0000-0000E90F0000}"/>
    <cellStyle name="_Приложение 02 русс на 16.04.2009 г. 1 сессия_Приложение 1-18 рус пост посл_Приложение рус_ноябрь РБ_Приложение_пост_рус_авг_Приложение_реал_рус 2011-2013 Уточнение_Приложение_рус _2012-2014_29,30" xfId="1804" xr:uid="{00000000-0005-0000-0000-0000EA0F0000}"/>
    <cellStyle name="_Приложение 02 русс на 16.04.2009 г. 1 сессия_Приложение 1-18 рус пост посл_Приложение рус_ноябрь РБ_Приложение_пост_рус_авг_Приложение_реал_рус 2011-2013 Уточнение_Приложение_рус _2012-2014_29,30 2" xfId="5232" xr:uid="{00000000-0005-0000-0000-0000EB0F0000}"/>
    <cellStyle name="_Приложение 02 русс на 16.04.2009 г. 1 сессия_Приложение 1-18 рус пост посл_Приложение рус_ноябрь РБ_Приложение_пост_рус_авг_Приложение_рус _2012-2014_29,30" xfId="1805" xr:uid="{00000000-0005-0000-0000-0000EC0F0000}"/>
    <cellStyle name="_Приложение 02 русс на 16.04.2009 г. 1 сессия_Приложение 1-18 рус пост посл_Приложение рус_ноябрь РБ_Приложение_пост_рус_авг_Приложение_рус _2012-2014_29,30 2" xfId="5233" xr:uid="{00000000-0005-0000-0000-0000ED0F0000}"/>
    <cellStyle name="_Приложение 02 русс на 16.04.2009 г. 1 сессия_Приложение 1-18 рус пост посл_Приложение рус_ноябрь РБ_Приложение_пост_рус_авг_приложения 2012 рус" xfId="1806" xr:uid="{00000000-0005-0000-0000-0000EE0F0000}"/>
    <cellStyle name="_Приложение 02 русс на 16.04.2009 г. 1 сессия_Приложение 1-18 рус пост посл_Приложение рус_ноябрь РБ_Приложение_пост_рус_авг_приложения 2012 рус 2" xfId="5234" xr:uid="{00000000-0005-0000-0000-0000EF0F0000}"/>
    <cellStyle name="_Приложение 02 русс на 16.04.2009 г. 1 сессия_Приложение 1-18 рус пост посл_Приложение рус_ноябрь РБ_Приложение_реал_рус 2011-2013 Уточнение" xfId="1807" xr:uid="{00000000-0005-0000-0000-0000F00F0000}"/>
    <cellStyle name="_Приложение 02 русс на 16.04.2009 г. 1 сессия_Приложение 1-18 рус пост посл_Приложение рус_ноябрь РБ_Приложение_реал_рус 2011-2013 Уточнение 2" xfId="5235" xr:uid="{00000000-0005-0000-0000-0000F10F0000}"/>
    <cellStyle name="_Приложение 02 русс на 16.04.2009 г. 1 сессия_Приложение 1-18 рус пост посл_Приложение рус_ноябрь РБ_Приложение_реал_рус 2011-2013 Уточнение_Приложение_рус _2012-2014_29,30" xfId="1808" xr:uid="{00000000-0005-0000-0000-0000F20F0000}"/>
    <cellStyle name="_Приложение 02 русс на 16.04.2009 г. 1 сессия_Приложение 1-18 рус пост посл_Приложение рус_ноябрь РБ_Приложение_реал_рус 2011-2013 Уточнение_Приложение_рус _2012-2014_29,30 2" xfId="5236" xr:uid="{00000000-0005-0000-0000-0000F30F0000}"/>
    <cellStyle name="_Приложение 02 русс на 16.04.2009 г. 1 сессия_Приложение 1-18 рус пост посл_Приложение рус_ноябрь РБ_Приложение_рус _2012-2014_29,30" xfId="1809" xr:uid="{00000000-0005-0000-0000-0000F40F0000}"/>
    <cellStyle name="_Приложение 02 русс на 16.04.2009 г. 1 сессия_Приложение 1-18 рус пост посл_Приложение рус_ноябрь РБ_Приложение_рус _2012-2014_29,30 2" xfId="5237" xr:uid="{00000000-0005-0000-0000-0000F50F0000}"/>
    <cellStyle name="_Приложение 02 русс на 16.04.2009 г. 1 сессия_Приложение 1-18 рус пост посл_Приложение рус_ноябрь РБ_приложения 2012 рус" xfId="1810" xr:uid="{00000000-0005-0000-0000-0000F60F0000}"/>
    <cellStyle name="_Приложение 02 русс на 16.04.2009 г. 1 сессия_Приложение 1-18 рус пост посл_Приложение рус_ноябрь РБ_приложения 2012 рус 2" xfId="5238" xr:uid="{00000000-0005-0000-0000-0000F70F0000}"/>
    <cellStyle name="_Приложение 02 русс на 16.04.2009 г. 1 сессия_Приложение 1-18 рус пост посл_Приложение_2010-2012 каз 04.08.10_ДК-2020" xfId="1811" xr:uid="{00000000-0005-0000-0000-0000F80F0000}"/>
    <cellStyle name="_Приложение 02 русс на 16.04.2009 г. 1 сессия_Приложение 1-18 рус пост посл_Приложение_2010-2012 каз 04.08.10_ДК-2020 2" xfId="5239" xr:uid="{00000000-0005-0000-0000-0000F90F0000}"/>
    <cellStyle name="_Приложение 02 русс на 16.04.2009 г. 1 сессия_Приложение 1-18 рус пост посл_Приложение_2010-2012 каз 04.08.10_ДК-2020_Анализ" xfId="1812" xr:uid="{00000000-0005-0000-0000-0000FA0F0000}"/>
    <cellStyle name="_Приложение 02 русс на 16.04.2009 г. 1 сессия_Приложение 1-18 рус пост посл_Приложение_2010-2012 каз 04.08.10_ДК-2020_Анализ 2" xfId="5240" xr:uid="{00000000-0005-0000-0000-0000FB0F0000}"/>
    <cellStyle name="_Приложение 02 русс на 16.04.2009 г. 1 сессия_Приложение 1-18 рус пост посл_Приложение_2010-2012 каз 04.08.10_ДК-2020_Анализ 3.03.2011г." xfId="3155" xr:uid="{00000000-0005-0000-0000-0000FC0F0000}"/>
    <cellStyle name="_Приложение 02 русс на 16.04.2009 г. 1 сессия_Приложение 1-18 рус пост посл_Приложение_2010-2012 каз 04.08.10_ДК-2020_Анализ 6.03.2011г." xfId="3156" xr:uid="{00000000-0005-0000-0000-0000FD0F0000}"/>
    <cellStyle name="_Приложение 02 русс на 16.04.2009 г. 1 сессия_Приложение 1-18 рус пост посл_Приложение_2010-2012 каз 04.08.10_ДК-2020_Анализ 9.03.2011г." xfId="3157" xr:uid="{00000000-0005-0000-0000-0000FE0F0000}"/>
    <cellStyle name="_Приложение 02 русс на 16.04.2009 г. 1 сессия_Приложение 1-18 рус пост посл_Приложение_2010-2012 каз 04.08.10_ДК-2020_Анализ_Приложение_рус _2012-2014_29,30" xfId="1813" xr:uid="{00000000-0005-0000-0000-0000FF0F0000}"/>
    <cellStyle name="_Приложение 02 русс на 16.04.2009 г. 1 сессия_Приложение 1-18 рус пост посл_Приложение_2010-2012 каз 04.08.10_ДК-2020_Анализ_Приложение_рус _2012-2014_29,30 2" xfId="5241" xr:uid="{00000000-0005-0000-0000-000000100000}"/>
    <cellStyle name="_Приложение 02 русс на 16.04.2009 г. 1 сессия_Приложение 1-18 рус пост посл_Приложение_2010-2012 каз 04.08.10_ДК-2020_Пр 4     11.05.11. ИКС" xfId="1814" xr:uid="{00000000-0005-0000-0000-000001100000}"/>
    <cellStyle name="_Приложение 02 русс на 16.04.2009 г. 1 сессия_Приложение 1-18 рус пост посл_Приложение_2010-2012 каз 04.08.10_ДК-2020_Пр 4     11.05.11. ИКС 2" xfId="5242" xr:uid="{00000000-0005-0000-0000-000002100000}"/>
    <cellStyle name="_Приложение 02 русс на 16.04.2009 г. 1 сессия_Приложение 1-18 рус пост посл_Приложение_2010-2012 каз 04.08.10_ДК-2020_Пр 4     11.05.11. ИКС_Приложение_рус _2012-2014_29,30" xfId="1815" xr:uid="{00000000-0005-0000-0000-000003100000}"/>
    <cellStyle name="_Приложение 02 русс на 16.04.2009 г. 1 сессия_Приложение 1-18 рус пост посл_Приложение_2010-2012 каз 04.08.10_ДК-2020_Пр 4     11.05.11. ИКС_Приложение_рус _2012-2014_29,30 2" xfId="5243" xr:uid="{00000000-0005-0000-0000-000004100000}"/>
    <cellStyle name="_Приложение 02 русс на 16.04.2009 г. 1 сессия_Приложение 1-18 рус пост посл_Приложение_2010-2012 каз 04.08.10_ДК-2020_Приложение 4 русс,каз 16.03.11. посл" xfId="1816" xr:uid="{00000000-0005-0000-0000-000005100000}"/>
    <cellStyle name="_Приложение 02 русс на 16.04.2009 г. 1 сессия_Приложение 1-18 рус пост посл_Приложение_2010-2012 каз 04.08.10_ДК-2020_Приложение 4 русс,каз 16.03.11. посл 2" xfId="5244" xr:uid="{00000000-0005-0000-0000-000006100000}"/>
    <cellStyle name="_Приложение 02 русс на 16.04.2009 г. 1 сессия_Приложение 1-18 рус пост посл_Приложение_2010-2012 каз 04.08.10_ДК-2020_Приложение 4 русс,каз 16.03.11. посл_Приложение_рус _2012-2014_29,30" xfId="1817" xr:uid="{00000000-0005-0000-0000-000007100000}"/>
    <cellStyle name="_Приложение 02 русс на 16.04.2009 г. 1 сессия_Приложение 1-18 рус пост посл_Приложение_2010-2012 каз 04.08.10_ДК-2020_Приложение 4 русс,каз 16.03.11. посл_Приложение_рус _2012-2014_29,30 2" xfId="5245" xr:uid="{00000000-0005-0000-0000-000008100000}"/>
    <cellStyle name="_Приложение 02 русс на 16.04.2009 г. 1 сессия_Приложение 1-18 рус пост посл_Приложение_2010-2012 каз 04.08.10_ДК-2020_Приложение_реал_рус 2011-2013 Уточнение" xfId="1818" xr:uid="{00000000-0005-0000-0000-000009100000}"/>
    <cellStyle name="_Приложение 02 русс на 16.04.2009 г. 1 сессия_Приложение 1-18 рус пост посл_Приложение_2010-2012 каз 04.08.10_ДК-2020_Приложение_реал_рус 2011-2013 Уточнение 2" xfId="5246" xr:uid="{00000000-0005-0000-0000-00000A100000}"/>
    <cellStyle name="_Приложение 02 русс на 16.04.2009 г. 1 сессия_Приложение 1-18 рус пост посл_Приложение_2010-2012 каз 04.08.10_ДК-2020_Приложение_реал_рус 2011-2013 Уточнение_Приложение_рус _2012-2014_29,30" xfId="1819" xr:uid="{00000000-0005-0000-0000-00000B100000}"/>
    <cellStyle name="_Приложение 02 русс на 16.04.2009 г. 1 сессия_Приложение 1-18 рус пост посл_Приложение_2010-2012 каз 04.08.10_ДК-2020_Приложение_реал_рус 2011-2013 Уточнение_Приложение_рус _2012-2014_29,30 2" xfId="5247" xr:uid="{00000000-0005-0000-0000-00000C100000}"/>
    <cellStyle name="_Приложение 02 русс на 16.04.2009 г. 1 сессия_Приложение 1-18 рус пост посл_Приложение_2010-2012 каз 04.08.10_ДК-2020_Приложение_рус _2012-2014_29,30" xfId="1820" xr:uid="{00000000-0005-0000-0000-00000D100000}"/>
    <cellStyle name="_Приложение 02 русс на 16.04.2009 г. 1 сессия_Приложение 1-18 рус пост посл_Приложение_2010-2012 каз 04.08.10_ДК-2020_Приложение_рус _2012-2014_29,30 2" xfId="5248" xr:uid="{00000000-0005-0000-0000-00000E100000}"/>
    <cellStyle name="_Приложение 02 русс на 16.04.2009 г. 1 сессия_Приложение 1-18 рус пост посл_Приложение_2010-2012 каз 04.08.10_ДК-2020_приложения 2012 рус" xfId="1821" xr:uid="{00000000-0005-0000-0000-00000F100000}"/>
    <cellStyle name="_Приложение 02 русс на 16.04.2009 г. 1 сессия_Приложение 1-18 рус пост посл_Приложение_2010-2012 каз 04.08.10_ДК-2020_приложения 2012 рус 2" xfId="5249" xr:uid="{00000000-0005-0000-0000-000010100000}"/>
    <cellStyle name="_Приложение 02 русс на 16.04.2009 г. 1 сессия_Приложение 1-18 рус пост посл_Приложение_2010-2012 каз_март" xfId="1822" xr:uid="{00000000-0005-0000-0000-000011100000}"/>
    <cellStyle name="_Приложение 02 русс на 16.04.2009 г. 1 сессия_Приложение 1-18 рус пост посл_Приложение_2010-2012 каз_март 2" xfId="1823" xr:uid="{00000000-0005-0000-0000-000012100000}"/>
    <cellStyle name="_Приложение 02 русс на 16.04.2009 г. 1 сессия_Приложение 1-18 рус пост посл_Приложение_2010-2012 каз_март 2 2" xfId="5251" xr:uid="{00000000-0005-0000-0000-000013100000}"/>
    <cellStyle name="_Приложение 02 русс на 16.04.2009 г. 1 сессия_Приложение 1-18 рус пост посл_Приложение_2010-2012 каз_март 3" xfId="5250" xr:uid="{00000000-0005-0000-0000-000014100000}"/>
    <cellStyle name="_Приложение 02 русс на 16.04.2009 г. 1 сессия_Приложение 1-18 рус пост посл_Приложение_2010-2012 каз_март_Анализ" xfId="1824" xr:uid="{00000000-0005-0000-0000-000015100000}"/>
    <cellStyle name="_Приложение 02 русс на 16.04.2009 г. 1 сессия_Приложение 1-18 рус пост посл_Приложение_2010-2012 каз_март_Анализ 2" xfId="5252" xr:uid="{00000000-0005-0000-0000-000016100000}"/>
    <cellStyle name="_Приложение 02 русс на 16.04.2009 г. 1 сессия_Приложение 1-18 рус пост посл_Приложение_2010-2012 каз_март_Анализ 3.03.2011г." xfId="3158" xr:uid="{00000000-0005-0000-0000-000017100000}"/>
    <cellStyle name="_Приложение 02 русс на 16.04.2009 г. 1 сессия_Приложение 1-18 рус пост посл_Приложение_2010-2012 каз_март_Анализ 6.03.2011г." xfId="3159" xr:uid="{00000000-0005-0000-0000-000018100000}"/>
    <cellStyle name="_Приложение 02 русс на 16.04.2009 г. 1 сессия_Приложение 1-18 рус пост посл_Приложение_2010-2012 каз_март_Анализ 9.03.2011г." xfId="3160" xr:uid="{00000000-0005-0000-0000-000019100000}"/>
    <cellStyle name="_Приложение 02 русс на 16.04.2009 г. 1 сессия_Приложение 1-18 рус пост посл_Приложение_2010-2012 каз_март_Анализ_Приложение_рус _2012-2014_29,30" xfId="1825" xr:uid="{00000000-0005-0000-0000-00001A100000}"/>
    <cellStyle name="_Приложение 02 русс на 16.04.2009 г. 1 сессия_Приложение 1-18 рус пост посл_Приложение_2010-2012 каз_март_Анализ_Приложение_рус _2012-2014_29,30 2" xfId="5253" xr:uid="{00000000-0005-0000-0000-00001B100000}"/>
    <cellStyle name="_Приложение 02 русс на 16.04.2009 г. 1 сессия_Приложение 1-18 рус пост посл_Приложение_2010-2012 каз_март_Пр 4     11.05.11. ИКС" xfId="1826" xr:uid="{00000000-0005-0000-0000-00001C100000}"/>
    <cellStyle name="_Приложение 02 русс на 16.04.2009 г. 1 сессия_Приложение 1-18 рус пост посл_Приложение_2010-2012 каз_март_Пр 4     11.05.11. ИКС 2" xfId="5254" xr:uid="{00000000-0005-0000-0000-00001D100000}"/>
    <cellStyle name="_Приложение 02 русс на 16.04.2009 г. 1 сессия_Приложение 1-18 рус пост посл_Приложение_2010-2012 каз_март_Пр 4     11.05.11. ИКС_Приложение_рус _2012-2014_29,30" xfId="1827" xr:uid="{00000000-0005-0000-0000-00001E100000}"/>
    <cellStyle name="_Приложение 02 русс на 16.04.2009 г. 1 сессия_Приложение 1-18 рус пост посл_Приложение_2010-2012 каз_март_Пр 4     11.05.11. ИКС_Приложение_рус _2012-2014_29,30 2" xfId="5255" xr:uid="{00000000-0005-0000-0000-00001F100000}"/>
    <cellStyle name="_Приложение 02 русс на 16.04.2009 г. 1 сессия_Приложение 1-18 рус пост посл_Приложение_2010-2012 каз_март_Приложение 4 русс,каз 16.03.11. посл" xfId="1828" xr:uid="{00000000-0005-0000-0000-000020100000}"/>
    <cellStyle name="_Приложение 02 русс на 16.04.2009 г. 1 сессия_Приложение 1-18 рус пост посл_Приложение_2010-2012 каз_март_Приложение 4 русс,каз 16.03.11. посл 2" xfId="5256" xr:uid="{00000000-0005-0000-0000-000021100000}"/>
    <cellStyle name="_Приложение 02 русс на 16.04.2009 г. 1 сессия_Приложение 1-18 рус пост посл_Приложение_2010-2012 каз_март_Приложение 4 русс,каз 16.03.11. посл_Приложение_рус _2012-2014_29,30" xfId="1829" xr:uid="{00000000-0005-0000-0000-000022100000}"/>
    <cellStyle name="_Приложение 02 русс на 16.04.2009 г. 1 сессия_Приложение 1-18 рус пост посл_Приложение_2010-2012 каз_март_Приложение 4 русс,каз 16.03.11. посл_Приложение_рус _2012-2014_29,30 2" xfId="5257" xr:uid="{00000000-0005-0000-0000-000023100000}"/>
    <cellStyle name="_Приложение 02 русс на 16.04.2009 г. 1 сессия_Приложение 1-18 рус пост посл_Приложение_2010-2012 каз_март_Приложение_пост_каз_авг" xfId="1830" xr:uid="{00000000-0005-0000-0000-000024100000}"/>
    <cellStyle name="_Приложение 02 русс на 16.04.2009 г. 1 сессия_Приложение 1-18 рус пост посл_Приложение_2010-2012 каз_март_Приложение_пост_каз_авг 2" xfId="5258" xr:uid="{00000000-0005-0000-0000-000025100000}"/>
    <cellStyle name="_Приложение 02 русс на 16.04.2009 г. 1 сессия_Приложение 1-18 рус пост посл_Приложение_2010-2012 каз_март_Приложение_пост_каз_авг_Анализ" xfId="1831" xr:uid="{00000000-0005-0000-0000-000026100000}"/>
    <cellStyle name="_Приложение 02 русс на 16.04.2009 г. 1 сессия_Приложение 1-18 рус пост посл_Приложение_2010-2012 каз_март_Приложение_пост_каз_авг_Анализ 2" xfId="5259" xr:uid="{00000000-0005-0000-0000-000027100000}"/>
    <cellStyle name="_Приложение 02 русс на 16.04.2009 г. 1 сессия_Приложение 1-18 рус пост посл_Приложение_2010-2012 каз_март_Приложение_пост_каз_авг_Анализ 3.03.2011г." xfId="3161" xr:uid="{00000000-0005-0000-0000-000028100000}"/>
    <cellStyle name="_Приложение 02 русс на 16.04.2009 г. 1 сессия_Приложение 1-18 рус пост посл_Приложение_2010-2012 каз_март_Приложение_пост_каз_авг_Анализ 6.03.2011г." xfId="3162" xr:uid="{00000000-0005-0000-0000-000029100000}"/>
    <cellStyle name="_Приложение 02 русс на 16.04.2009 г. 1 сессия_Приложение 1-18 рус пост посл_Приложение_2010-2012 каз_март_Приложение_пост_каз_авг_Анализ 9.03.2011г." xfId="3163" xr:uid="{00000000-0005-0000-0000-00002A100000}"/>
    <cellStyle name="_Приложение 02 русс на 16.04.2009 г. 1 сессия_Приложение 1-18 рус пост посл_Приложение_2010-2012 каз_март_Приложение_пост_каз_авг_Анализ_Приложение_рус _2012-2014_29,30" xfId="1832" xr:uid="{00000000-0005-0000-0000-00002B100000}"/>
    <cellStyle name="_Приложение 02 русс на 16.04.2009 г. 1 сессия_Приложение 1-18 рус пост посл_Приложение_2010-2012 каз_март_Приложение_пост_каз_авг_Анализ_Приложение_рус _2012-2014_29,30 2" xfId="5260" xr:uid="{00000000-0005-0000-0000-00002C100000}"/>
    <cellStyle name="_Приложение 02 русс на 16.04.2009 г. 1 сессия_Приложение 1-18 рус пост посл_Приложение_2010-2012 каз_март_Приложение_пост_каз_авг_Пр 4     11.05.11. ИКС" xfId="1833" xr:uid="{00000000-0005-0000-0000-00002D100000}"/>
    <cellStyle name="_Приложение 02 русс на 16.04.2009 г. 1 сессия_Приложение 1-18 рус пост посл_Приложение_2010-2012 каз_март_Приложение_пост_каз_авг_Пр 4     11.05.11. ИКС 2" xfId="5261" xr:uid="{00000000-0005-0000-0000-00002E100000}"/>
    <cellStyle name="_Приложение 02 русс на 16.04.2009 г. 1 сессия_Приложение 1-18 рус пост посл_Приложение_2010-2012 каз_март_Приложение_пост_каз_авг_Пр 4     11.05.11. ИКС_Приложение_рус _2012-2014_29,30" xfId="1834" xr:uid="{00000000-0005-0000-0000-00002F100000}"/>
    <cellStyle name="_Приложение 02 русс на 16.04.2009 г. 1 сессия_Приложение 1-18 рус пост посл_Приложение_2010-2012 каз_март_Приложение_пост_каз_авг_Пр 4     11.05.11. ИКС_Приложение_рус _2012-2014_29,30 2" xfId="5262" xr:uid="{00000000-0005-0000-0000-000030100000}"/>
    <cellStyle name="_Приложение 02 русс на 16.04.2009 г. 1 сессия_Приложение 1-18 рус пост посл_Приложение_2010-2012 каз_март_Приложение_пост_каз_авг_Приложение 4 русс,каз 16.03.11. посл" xfId="1835" xr:uid="{00000000-0005-0000-0000-000031100000}"/>
    <cellStyle name="_Приложение 02 русс на 16.04.2009 г. 1 сессия_Приложение 1-18 рус пост посл_Приложение_2010-2012 каз_март_Приложение_пост_каз_авг_Приложение 4 русс,каз 16.03.11. посл 2" xfId="5263" xr:uid="{00000000-0005-0000-0000-000032100000}"/>
    <cellStyle name="_Приложение 02 русс на 16.04.2009 г. 1 сессия_Приложение 1-18 рус пост посл_Приложение_2010-2012 каз_март_Приложение_пост_каз_авг_Приложение 4 русс,каз 16.03.11. посл_Приложение_рус _2012-2014_29,30" xfId="1836" xr:uid="{00000000-0005-0000-0000-000033100000}"/>
    <cellStyle name="_Приложение 02 русс на 16.04.2009 г. 1 сессия_Приложение 1-18 рус пост посл_Приложение_2010-2012 каз_март_Приложение_пост_каз_авг_Приложение 4 русс,каз 16.03.11. посл_Приложение_рус _2012-2014_29,30 2" xfId="5264" xr:uid="{00000000-0005-0000-0000-000034100000}"/>
    <cellStyle name="_Приложение 02 русс на 16.04.2009 г. 1 сессия_Приложение 1-18 рус пост посл_Приложение_2010-2012 каз_март_Приложение_пост_каз_авг_Приложение_реал_рус 2011-2013 Уточнение" xfId="1837" xr:uid="{00000000-0005-0000-0000-000035100000}"/>
    <cellStyle name="_Приложение 02 русс на 16.04.2009 г. 1 сессия_Приложение 1-18 рус пост посл_Приложение_2010-2012 каз_март_Приложение_пост_каз_авг_Приложение_реал_рус 2011-2013 Уточнение 2" xfId="5265" xr:uid="{00000000-0005-0000-0000-000036100000}"/>
    <cellStyle name="_Приложение 02 русс на 16.04.2009 г. 1 сессия_Приложение 1-18 рус пост посл_Приложение_2010-2012 каз_март_Приложение_пост_каз_авг_Приложение_реал_рус 2011-2013 Уточнение_Приложение_рус _2012-2014_29,30" xfId="1838" xr:uid="{00000000-0005-0000-0000-000037100000}"/>
    <cellStyle name="_Приложение 02 русс на 16.04.2009 г. 1 сессия_Приложение 1-18 рус пост посл_Приложение_2010-2012 каз_март_Приложение_пост_каз_авг_Приложение_реал_рус 2011-2013 Уточнение_Приложение_рус _2012-2014_29,30 2" xfId="5266" xr:uid="{00000000-0005-0000-0000-000038100000}"/>
    <cellStyle name="_Приложение 02 русс на 16.04.2009 г. 1 сессия_Приложение 1-18 рус пост посл_Приложение_2010-2012 каз_март_Приложение_пост_каз_авг_Приложение_рус _2012-2014_29,30" xfId="1839" xr:uid="{00000000-0005-0000-0000-000039100000}"/>
    <cellStyle name="_Приложение 02 русс на 16.04.2009 г. 1 сессия_Приложение 1-18 рус пост посл_Приложение_2010-2012 каз_март_Приложение_пост_каз_авг_Приложение_рус _2012-2014_29,30 2" xfId="5267" xr:uid="{00000000-0005-0000-0000-00003A100000}"/>
    <cellStyle name="_Приложение 02 русс на 16.04.2009 г. 1 сессия_Приложение 1-18 рус пост посл_Приложение_2010-2012 каз_март_Приложение_пост_каз_авг_приложения 2012 рус" xfId="1840" xr:uid="{00000000-0005-0000-0000-00003B100000}"/>
    <cellStyle name="_Приложение 02 русс на 16.04.2009 г. 1 сессия_Приложение 1-18 рус пост посл_Приложение_2010-2012 каз_март_Приложение_пост_каз_авг_приложения 2012 рус 2" xfId="5268" xr:uid="{00000000-0005-0000-0000-00003C100000}"/>
    <cellStyle name="_Приложение 02 русс на 16.04.2009 г. 1 сессия_Приложение 1-18 рус пост посл_Приложение_2010-2012 каз_март_Приложение_пост_рус_авг" xfId="1841" xr:uid="{00000000-0005-0000-0000-00003D100000}"/>
    <cellStyle name="_Приложение 02 русс на 16.04.2009 г. 1 сессия_Приложение 1-18 рус пост посл_Приложение_2010-2012 каз_март_Приложение_пост_рус_авг 2" xfId="5269" xr:uid="{00000000-0005-0000-0000-00003E100000}"/>
    <cellStyle name="_Приложение 02 русс на 16.04.2009 г. 1 сессия_Приложение 1-18 рус пост посл_Приложение_2010-2012 каз_март_Приложение_пост_рус_авг_Анализ" xfId="1842" xr:uid="{00000000-0005-0000-0000-00003F100000}"/>
    <cellStyle name="_Приложение 02 русс на 16.04.2009 г. 1 сессия_Приложение 1-18 рус пост посл_Приложение_2010-2012 каз_март_Приложение_пост_рус_авг_Анализ 2" xfId="5270" xr:uid="{00000000-0005-0000-0000-000040100000}"/>
    <cellStyle name="_Приложение 02 русс на 16.04.2009 г. 1 сессия_Приложение 1-18 рус пост посл_Приложение_2010-2012 каз_март_Приложение_пост_рус_авг_Анализ 3.03.2011г." xfId="3164" xr:uid="{00000000-0005-0000-0000-000041100000}"/>
    <cellStyle name="_Приложение 02 русс на 16.04.2009 г. 1 сессия_Приложение 1-18 рус пост посл_Приложение_2010-2012 каз_март_Приложение_пост_рус_авг_Анализ 6.03.2011г." xfId="3165" xr:uid="{00000000-0005-0000-0000-000042100000}"/>
    <cellStyle name="_Приложение 02 русс на 16.04.2009 г. 1 сессия_Приложение 1-18 рус пост посл_Приложение_2010-2012 каз_март_Приложение_пост_рус_авг_Анализ 9.03.2011г." xfId="3166" xr:uid="{00000000-0005-0000-0000-000043100000}"/>
    <cellStyle name="_Приложение 02 русс на 16.04.2009 г. 1 сессия_Приложение 1-18 рус пост посл_Приложение_2010-2012 каз_март_Приложение_пост_рус_авг_Анализ_Приложение_рус _2012-2014_29,30" xfId="1843" xr:uid="{00000000-0005-0000-0000-000044100000}"/>
    <cellStyle name="_Приложение 02 русс на 16.04.2009 г. 1 сессия_Приложение 1-18 рус пост посл_Приложение_2010-2012 каз_март_Приложение_пост_рус_авг_Анализ_Приложение_рус _2012-2014_29,30 2" xfId="5271" xr:uid="{00000000-0005-0000-0000-000045100000}"/>
    <cellStyle name="_Приложение 02 русс на 16.04.2009 г. 1 сессия_Приложение 1-18 рус пост посл_Приложение_2010-2012 каз_март_Приложение_пост_рус_авг_Пр 4     11.05.11. ИКС" xfId="1844" xr:uid="{00000000-0005-0000-0000-000046100000}"/>
    <cellStyle name="_Приложение 02 русс на 16.04.2009 г. 1 сессия_Приложение 1-18 рус пост посл_Приложение_2010-2012 каз_март_Приложение_пост_рус_авг_Пр 4     11.05.11. ИКС 2" xfId="5272" xr:uid="{00000000-0005-0000-0000-000047100000}"/>
    <cellStyle name="_Приложение 02 русс на 16.04.2009 г. 1 сессия_Приложение 1-18 рус пост посл_Приложение_2010-2012 каз_март_Приложение_пост_рус_авг_Пр 4     11.05.11. ИКС_Приложение_рус _2012-2014_29,30" xfId="1845" xr:uid="{00000000-0005-0000-0000-000048100000}"/>
    <cellStyle name="_Приложение 02 русс на 16.04.2009 г. 1 сессия_Приложение 1-18 рус пост посл_Приложение_2010-2012 каз_март_Приложение_пост_рус_авг_Пр 4     11.05.11. ИКС_Приложение_рус _2012-2014_29,30 2" xfId="5273" xr:uid="{00000000-0005-0000-0000-000049100000}"/>
    <cellStyle name="_Приложение 02 русс на 16.04.2009 г. 1 сессия_Приложение 1-18 рус пост посл_Приложение_2010-2012 каз_март_Приложение_пост_рус_авг_Приложение 4 русс,каз 16.03.11. посл" xfId="1846" xr:uid="{00000000-0005-0000-0000-00004A100000}"/>
    <cellStyle name="_Приложение 02 русс на 16.04.2009 г. 1 сессия_Приложение 1-18 рус пост посл_Приложение_2010-2012 каз_март_Приложение_пост_рус_авг_Приложение 4 русс,каз 16.03.11. посл 2" xfId="5274" xr:uid="{00000000-0005-0000-0000-00004B100000}"/>
    <cellStyle name="_Приложение 02 русс на 16.04.2009 г. 1 сессия_Приложение 1-18 рус пост посл_Приложение_2010-2012 каз_март_Приложение_пост_рус_авг_Приложение 4 русс,каз 16.03.11. посл_Приложение_рус _2012-2014_29,30" xfId="1847" xr:uid="{00000000-0005-0000-0000-00004C100000}"/>
    <cellStyle name="_Приложение 02 русс на 16.04.2009 г. 1 сессия_Приложение 1-18 рус пост посл_Приложение_2010-2012 каз_март_Приложение_пост_рус_авг_Приложение 4 русс,каз 16.03.11. посл_Приложение_рус _2012-2014_29,30 2" xfId="5275" xr:uid="{00000000-0005-0000-0000-00004D100000}"/>
    <cellStyle name="_Приложение 02 русс на 16.04.2009 г. 1 сессия_Приложение 1-18 рус пост посл_Приложение_2010-2012 каз_март_Приложение_пост_рус_авг_Приложение_реал_рус 2011-2013 Уточнение" xfId="1848" xr:uid="{00000000-0005-0000-0000-00004E100000}"/>
    <cellStyle name="_Приложение 02 русс на 16.04.2009 г. 1 сессия_Приложение 1-18 рус пост посл_Приложение_2010-2012 каз_март_Приложение_пост_рус_авг_Приложение_реал_рус 2011-2013 Уточнение 2" xfId="5276" xr:uid="{00000000-0005-0000-0000-00004F100000}"/>
    <cellStyle name="_Приложение 02 русс на 16.04.2009 г. 1 сессия_Приложение 1-18 рус пост посл_Приложение_2010-2012 каз_март_Приложение_пост_рус_авг_Приложение_реал_рус 2011-2013 Уточнение_Приложение_рус _2012-2014_29,30" xfId="1849" xr:uid="{00000000-0005-0000-0000-000050100000}"/>
    <cellStyle name="_Приложение 02 русс на 16.04.2009 г. 1 сессия_Приложение 1-18 рус пост посл_Приложение_2010-2012 каз_март_Приложение_пост_рус_авг_Приложение_реал_рус 2011-2013 Уточнение_Приложение_рус _2012-2014_29,30 2" xfId="5277" xr:uid="{00000000-0005-0000-0000-000051100000}"/>
    <cellStyle name="_Приложение 02 русс на 16.04.2009 г. 1 сессия_Приложение 1-18 рус пост посл_Приложение_2010-2012 каз_март_Приложение_пост_рус_авг_Приложение_рус _2012-2014_29,30" xfId="1850" xr:uid="{00000000-0005-0000-0000-000052100000}"/>
    <cellStyle name="_Приложение 02 русс на 16.04.2009 г. 1 сессия_Приложение 1-18 рус пост посл_Приложение_2010-2012 каз_март_Приложение_пост_рус_авг_Приложение_рус _2012-2014_29,30 2" xfId="5278" xr:uid="{00000000-0005-0000-0000-000053100000}"/>
    <cellStyle name="_Приложение 02 русс на 16.04.2009 г. 1 сессия_Приложение 1-18 рус пост посл_Приложение_2010-2012 каз_март_Приложение_пост_рус_авг_приложения 2012 рус" xfId="1851" xr:uid="{00000000-0005-0000-0000-000054100000}"/>
    <cellStyle name="_Приложение 02 русс на 16.04.2009 г. 1 сессия_Приложение 1-18 рус пост посл_Приложение_2010-2012 каз_март_Приложение_пост_рус_авг_приложения 2012 рус 2" xfId="5279" xr:uid="{00000000-0005-0000-0000-000055100000}"/>
    <cellStyle name="_Приложение 02 русс на 16.04.2009 г. 1 сессия_Приложение 1-18 рус пост посл_Приложение_2010-2012 каз_март_Приложение_реал_рус 2011-2013 Уточнение" xfId="1852" xr:uid="{00000000-0005-0000-0000-000056100000}"/>
    <cellStyle name="_Приложение 02 русс на 16.04.2009 г. 1 сессия_Приложение 1-18 рус пост посл_Приложение_2010-2012 каз_март_Приложение_реал_рус 2011-2013 Уточнение 2" xfId="5280" xr:uid="{00000000-0005-0000-0000-000057100000}"/>
    <cellStyle name="_Приложение 02 русс на 16.04.2009 г. 1 сессия_Приложение 1-18 рус пост посл_Приложение_2010-2012 каз_март_Приложение_реал_рус 2011-2013 Уточнение_Приложение_рус _2012-2014_29,30" xfId="1853" xr:uid="{00000000-0005-0000-0000-000058100000}"/>
    <cellStyle name="_Приложение 02 русс на 16.04.2009 г. 1 сессия_Приложение 1-18 рус пост посл_Приложение_2010-2012 каз_март_Приложение_реал_рус 2011-2013 Уточнение_Приложение_рус _2012-2014_29,30 2" xfId="5281" xr:uid="{00000000-0005-0000-0000-000059100000}"/>
    <cellStyle name="_Приложение 02 русс на 16.04.2009 г. 1 сессия_Приложение 1-18 рус пост посл_Приложение_2010-2012 каз_март_Приложение_рус _2012-2014_29,30" xfId="1854" xr:uid="{00000000-0005-0000-0000-00005A100000}"/>
    <cellStyle name="_Приложение 02 русс на 16.04.2009 г. 1 сессия_Приложение 1-18 рус пост посл_Приложение_2010-2012 каз_март_Приложение_рус _2012-2014_29,30 2" xfId="5282" xr:uid="{00000000-0005-0000-0000-00005B100000}"/>
    <cellStyle name="_Приложение 02 русс на 16.04.2009 г. 1 сессия_Приложение 1-18 рус пост посл_Приложение_2010-2012 каз_март_приложения 2012 рус" xfId="1855" xr:uid="{00000000-0005-0000-0000-00005C100000}"/>
    <cellStyle name="_Приложение 02 русс на 16.04.2009 г. 1 сессия_Приложение 1-18 рус пост посл_Приложение_2010-2012 каз_март_приложения 2012 рус 2" xfId="5283" xr:uid="{00000000-0005-0000-0000-00005D100000}"/>
    <cellStyle name="_Приложение 02 русс на 16.04.2009 г. 1 сессия_Приложение 1-18 рус пост посл_Приложение_2010-2012 рус  КОРРЕКТИРОВКА" xfId="1856" xr:uid="{00000000-0005-0000-0000-00005E100000}"/>
    <cellStyle name="_Приложение 02 русс на 16.04.2009 г. 1 сессия_Приложение 1-18 рус пост посл_Приложение_2010-2012 рус  КОРРЕКТИРОВКА 2" xfId="5284" xr:uid="{00000000-0005-0000-0000-00005F100000}"/>
    <cellStyle name="_Приложение 02 русс на 16.04.2009 г. 1 сессия_Приложение 1-18 рус пост посл_Приложение_2010-2012 рус  КОРРЕКТИРОВКА_Анализ" xfId="1857" xr:uid="{00000000-0005-0000-0000-000060100000}"/>
    <cellStyle name="_Приложение 02 русс на 16.04.2009 г. 1 сессия_Приложение 1-18 рус пост посл_Приложение_2010-2012 рус  КОРРЕКТИРОВКА_Анализ 2" xfId="5285" xr:uid="{00000000-0005-0000-0000-000061100000}"/>
    <cellStyle name="_Приложение 02 русс на 16.04.2009 г. 1 сессия_Приложение 1-18 рус пост посл_Приложение_2010-2012 рус  КОРРЕКТИРОВКА_Анализ 3.03.2011г." xfId="3167" xr:uid="{00000000-0005-0000-0000-000062100000}"/>
    <cellStyle name="_Приложение 02 русс на 16.04.2009 г. 1 сессия_Приложение 1-18 рус пост посл_Приложение_2010-2012 рус  КОРРЕКТИРОВКА_Анализ 6.03.2011г." xfId="3168" xr:uid="{00000000-0005-0000-0000-000063100000}"/>
    <cellStyle name="_Приложение 02 русс на 16.04.2009 г. 1 сессия_Приложение 1-18 рус пост посл_Приложение_2010-2012 рус  КОРРЕКТИРОВКА_Анализ 9.03.2011г." xfId="3169" xr:uid="{00000000-0005-0000-0000-000064100000}"/>
    <cellStyle name="_Приложение 02 русс на 16.04.2009 г. 1 сессия_Приложение 1-18 рус пост посл_Приложение_2010-2012 рус  КОРРЕКТИРОВКА_Анализ_Приложение_рус _2012-2014_29,30" xfId="1858" xr:uid="{00000000-0005-0000-0000-000065100000}"/>
    <cellStyle name="_Приложение 02 русс на 16.04.2009 г. 1 сессия_Приложение 1-18 рус пост посл_Приложение_2010-2012 рус  КОРРЕКТИРОВКА_Анализ_Приложение_рус _2012-2014_29,30 2" xfId="5286" xr:uid="{00000000-0005-0000-0000-000066100000}"/>
    <cellStyle name="_Приложение 02 русс на 16.04.2009 г. 1 сессия_Приложение 1-18 рус пост посл_Приложение_2010-2012 рус  КОРРЕКТИРОВКА_Пр 4     11.05.11. ИКС" xfId="1859" xr:uid="{00000000-0005-0000-0000-000067100000}"/>
    <cellStyle name="_Приложение 02 русс на 16.04.2009 г. 1 сессия_Приложение 1-18 рус пост посл_Приложение_2010-2012 рус  КОРРЕКТИРОВКА_Пр 4     11.05.11. ИКС 2" xfId="5287" xr:uid="{00000000-0005-0000-0000-000068100000}"/>
    <cellStyle name="_Приложение 02 русс на 16.04.2009 г. 1 сессия_Приложение 1-18 рус пост посл_Приложение_2010-2012 рус  КОРРЕКТИРОВКА_Пр 4     11.05.11. ИКС_Приложение_рус _2012-2014_29,30" xfId="1860" xr:uid="{00000000-0005-0000-0000-000069100000}"/>
    <cellStyle name="_Приложение 02 русс на 16.04.2009 г. 1 сессия_Приложение 1-18 рус пост посл_Приложение_2010-2012 рус  КОРРЕКТИРОВКА_Пр 4     11.05.11. ИКС_Приложение_рус _2012-2014_29,30 2" xfId="5288" xr:uid="{00000000-0005-0000-0000-00006A100000}"/>
    <cellStyle name="_Приложение 02 русс на 16.04.2009 г. 1 сессия_Приложение 1-18 рус пост посл_Приложение_2010-2012 рус  КОРРЕКТИРОВКА_Приложение 4 русс,каз 16.03.11. посл" xfId="1861" xr:uid="{00000000-0005-0000-0000-00006B100000}"/>
    <cellStyle name="_Приложение 02 русс на 16.04.2009 г. 1 сессия_Приложение 1-18 рус пост посл_Приложение_2010-2012 рус  КОРРЕКТИРОВКА_Приложение 4 русс,каз 16.03.11. посл 2" xfId="5289" xr:uid="{00000000-0005-0000-0000-00006C100000}"/>
    <cellStyle name="_Приложение 02 русс на 16.04.2009 г. 1 сессия_Приложение 1-18 рус пост посл_Приложение_2010-2012 рус  КОРРЕКТИРОВКА_Приложение 4 русс,каз 16.03.11. посл_Приложение_рус _2012-2014_29,30" xfId="1862" xr:uid="{00000000-0005-0000-0000-00006D100000}"/>
    <cellStyle name="_Приложение 02 русс на 16.04.2009 г. 1 сессия_Приложение 1-18 рус пост посл_Приложение_2010-2012 рус  КОРРЕКТИРОВКА_Приложение 4 русс,каз 16.03.11. посл_Приложение_рус _2012-2014_29,30 2" xfId="5290" xr:uid="{00000000-0005-0000-0000-00006E100000}"/>
    <cellStyle name="_Приложение 02 русс на 16.04.2009 г. 1 сессия_Приложение 1-18 рус пост посл_Приложение_2010-2012 рус  КОРРЕКТИРОВКА_Приложение_2010-2012 рус 04.08.10" xfId="1863" xr:uid="{00000000-0005-0000-0000-00006F100000}"/>
    <cellStyle name="_Приложение 02 русс на 16.04.2009 г. 1 сессия_Приложение 1-18 рус пост посл_Приложение_2010-2012 рус  КОРРЕКТИРОВКА_Приложение_2010-2012 рус 04.08.10 2" xfId="5291" xr:uid="{00000000-0005-0000-0000-000070100000}"/>
    <cellStyle name="_Приложение 02 русс на 16.04.2009 г. 1 сессия_Приложение 1-18 рус пост посл_Приложение_2010-2012 рус  КОРРЕКТИРОВКА_Приложение_2010-2012 рус 04.08.10_Анализ" xfId="1864" xr:uid="{00000000-0005-0000-0000-000071100000}"/>
    <cellStyle name="_Приложение 02 русс на 16.04.2009 г. 1 сессия_Приложение 1-18 рус пост посл_Приложение_2010-2012 рус  КОРРЕКТИРОВКА_Приложение_2010-2012 рус 04.08.10_Анализ 2" xfId="5292" xr:uid="{00000000-0005-0000-0000-000072100000}"/>
    <cellStyle name="_Приложение 02 русс на 16.04.2009 г. 1 сессия_Приложение 1-18 рус пост посл_Приложение_2010-2012 рус  КОРРЕКТИРОВКА_Приложение_2010-2012 рус 04.08.10_Анализ 3.03.2011г." xfId="3170" xr:uid="{00000000-0005-0000-0000-000073100000}"/>
    <cellStyle name="_Приложение 02 русс на 16.04.2009 г. 1 сессия_Приложение 1-18 рус пост посл_Приложение_2010-2012 рус  КОРРЕКТИРОВКА_Приложение_2010-2012 рус 04.08.10_Анализ 6.03.2011г." xfId="3171" xr:uid="{00000000-0005-0000-0000-000074100000}"/>
    <cellStyle name="_Приложение 02 русс на 16.04.2009 г. 1 сессия_Приложение 1-18 рус пост посл_Приложение_2010-2012 рус  КОРРЕКТИРОВКА_Приложение_2010-2012 рус 04.08.10_Анализ 9.03.2011г." xfId="3172" xr:uid="{00000000-0005-0000-0000-000075100000}"/>
    <cellStyle name="_Приложение 02 русс на 16.04.2009 г. 1 сессия_Приложение 1-18 рус пост посл_Приложение_2010-2012 рус  КОРРЕКТИРОВКА_Приложение_2010-2012 рус 04.08.10_Анализ_Приложение_рус _2012-2014_29,30" xfId="1865" xr:uid="{00000000-0005-0000-0000-000076100000}"/>
    <cellStyle name="_Приложение 02 русс на 16.04.2009 г. 1 сессия_Приложение 1-18 рус пост посл_Приложение_2010-2012 рус  КОРРЕКТИРОВКА_Приложение_2010-2012 рус 04.08.10_Анализ_Приложение_рус _2012-2014_29,30 2" xfId="5293" xr:uid="{00000000-0005-0000-0000-000077100000}"/>
    <cellStyle name="_Приложение 02 русс на 16.04.2009 г. 1 сессия_Приложение 1-18 рус пост посл_Приложение_2010-2012 рус  КОРРЕКТИРОВКА_Приложение_2010-2012 рус 04.08.10_Пр 4     11.05.11. ИКС" xfId="1866" xr:uid="{00000000-0005-0000-0000-000078100000}"/>
    <cellStyle name="_Приложение 02 русс на 16.04.2009 г. 1 сессия_Приложение 1-18 рус пост посл_Приложение_2010-2012 рус  КОРРЕКТИРОВКА_Приложение_2010-2012 рус 04.08.10_Пр 4     11.05.11. ИКС 2" xfId="5294" xr:uid="{00000000-0005-0000-0000-000079100000}"/>
    <cellStyle name="_Приложение 02 русс на 16.04.2009 г. 1 сессия_Приложение 1-18 рус пост посл_Приложение_2010-2012 рус  КОРРЕКТИРОВКА_Приложение_2010-2012 рус 04.08.10_Пр 4     11.05.11. ИКС_Приложение_рус _2012-2014_29,30" xfId="1867" xr:uid="{00000000-0005-0000-0000-00007A100000}"/>
    <cellStyle name="_Приложение 02 русс на 16.04.2009 г. 1 сессия_Приложение 1-18 рус пост посл_Приложение_2010-2012 рус  КОРРЕКТИРОВКА_Приложение_2010-2012 рус 04.08.10_Пр 4     11.05.11. ИКС_Приложение_рус _2012-2014_29,30 2" xfId="5295" xr:uid="{00000000-0005-0000-0000-00007B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е 4 русс,каз 16.03.11. посл" xfId="1868" xr:uid="{00000000-0005-0000-0000-00007C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е 4 русс,каз 16.03.11. посл 2" xfId="5296" xr:uid="{00000000-0005-0000-0000-00007D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е 4 русс,каз 16.03.11. посл_Приложение_рус _2012-2014_29,30" xfId="1869" xr:uid="{00000000-0005-0000-0000-00007E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е 4 русс,каз 16.03.11. посл_Приложение_рус _2012-2014_29,30 2" xfId="5297" xr:uid="{00000000-0005-0000-0000-00007F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еал_рус 2011-2013 Уточнение" xfId="1870" xr:uid="{00000000-0005-0000-0000-000080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еал_рус 2011-2013 Уточнение 2" xfId="5298" xr:uid="{00000000-0005-0000-0000-000081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еал_рус 2011-2013 Уточнение_Приложение_рус _2012-2014_29,30" xfId="1871" xr:uid="{00000000-0005-0000-0000-000082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еал_рус 2011-2013 Уточнение_Приложение_рус _2012-2014_29,30 2" xfId="5299" xr:uid="{00000000-0005-0000-0000-000083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ус _2012-2014_29,30" xfId="1872" xr:uid="{00000000-0005-0000-0000-000084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ус _2012-2014_29,30 2" xfId="5300" xr:uid="{00000000-0005-0000-0000-000085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я 2012 рус" xfId="1873" xr:uid="{00000000-0005-0000-0000-000086100000}"/>
    <cellStyle name="_Приложение 02 русс на 16.04.2009 г. 1 сессия_Приложение 1-18 рус пост посл_Приложение_2010-2012 рус  КОРРЕКТИРОВКА_Приложение_2010-2012 рус 04.08.10_приложения 2012 рус 2" xfId="5301" xr:uid="{00000000-0005-0000-0000-000087100000}"/>
    <cellStyle name="_Приложение 02 русс на 16.04.2009 г. 1 сессия_Приложение 1-18 рус пост посл_Приложение_2010-2012 рус  КОРРЕКТИРОВКА_Приложение_пост_рус_авг" xfId="1874" xr:uid="{00000000-0005-0000-0000-000088100000}"/>
    <cellStyle name="_Приложение 02 русс на 16.04.2009 г. 1 сессия_Приложение 1-18 рус пост посл_Приложение_2010-2012 рус  КОРРЕКТИРОВКА_Приложение_пост_рус_авг 2" xfId="5302" xr:uid="{00000000-0005-0000-0000-000089100000}"/>
    <cellStyle name="_Приложение 02 русс на 16.04.2009 г. 1 сессия_Приложение 1-18 рус пост посл_Приложение_2010-2012 рус  КОРРЕКТИРОВКА_Приложение_пост_рус_авг_Анализ" xfId="1875" xr:uid="{00000000-0005-0000-0000-00008A100000}"/>
    <cellStyle name="_Приложение 02 русс на 16.04.2009 г. 1 сессия_Приложение 1-18 рус пост посл_Приложение_2010-2012 рус  КОРРЕКТИРОВКА_Приложение_пост_рус_авг_Анализ 2" xfId="5303" xr:uid="{00000000-0005-0000-0000-00008B100000}"/>
    <cellStyle name="_Приложение 02 русс на 16.04.2009 г. 1 сессия_Приложение 1-18 рус пост посл_Приложение_2010-2012 рус  КОРРЕКТИРОВКА_Приложение_пост_рус_авг_Анализ 3.03.2011г." xfId="3173" xr:uid="{00000000-0005-0000-0000-00008C100000}"/>
    <cellStyle name="_Приложение 02 русс на 16.04.2009 г. 1 сессия_Приложение 1-18 рус пост посл_Приложение_2010-2012 рус  КОРРЕКТИРОВКА_Приложение_пост_рус_авг_Анализ 6.03.2011г." xfId="3174" xr:uid="{00000000-0005-0000-0000-00008D100000}"/>
    <cellStyle name="_Приложение 02 русс на 16.04.2009 г. 1 сессия_Приложение 1-18 рус пост посл_Приложение_2010-2012 рус  КОРРЕКТИРОВКА_Приложение_пост_рус_авг_Анализ 9.03.2011г." xfId="3175" xr:uid="{00000000-0005-0000-0000-00008E100000}"/>
    <cellStyle name="_Приложение 02 русс на 16.04.2009 г. 1 сессия_Приложение 1-18 рус пост посл_Приложение_2010-2012 рус  КОРРЕКТИРОВКА_Приложение_пост_рус_авг_Анализ_Приложение_рус _2012-2014_29,30" xfId="1876" xr:uid="{00000000-0005-0000-0000-00008F100000}"/>
    <cellStyle name="_Приложение 02 русс на 16.04.2009 г. 1 сессия_Приложение 1-18 рус пост посл_Приложение_2010-2012 рус  КОРРЕКТИРОВКА_Приложение_пост_рус_авг_Анализ_Приложение_рус _2012-2014_29,30 2" xfId="5304" xr:uid="{00000000-0005-0000-0000-000090100000}"/>
    <cellStyle name="_Приложение 02 русс на 16.04.2009 г. 1 сессия_Приложение 1-18 рус пост посл_Приложение_2010-2012 рус  КОРРЕКТИРОВКА_Приложение_пост_рус_авг_Пр 4     11.05.11. ИКС" xfId="1877" xr:uid="{00000000-0005-0000-0000-000091100000}"/>
    <cellStyle name="_Приложение 02 русс на 16.04.2009 г. 1 сессия_Приложение 1-18 рус пост посл_Приложение_2010-2012 рус  КОРРЕКТИРОВКА_Приложение_пост_рус_авг_Пр 4     11.05.11. ИКС 2" xfId="5305" xr:uid="{00000000-0005-0000-0000-000092100000}"/>
    <cellStyle name="_Приложение 02 русс на 16.04.2009 г. 1 сессия_Приложение 1-18 рус пост посл_Приложение_2010-2012 рус  КОРРЕКТИРОВКА_Приложение_пост_рус_авг_Пр 4     11.05.11. ИКС_Приложение_рус _2012-2014_29,30" xfId="1878" xr:uid="{00000000-0005-0000-0000-000093100000}"/>
    <cellStyle name="_Приложение 02 русс на 16.04.2009 г. 1 сессия_Приложение 1-18 рус пост посл_Приложение_2010-2012 рус  КОРРЕКТИРОВКА_Приложение_пост_рус_авг_Пр 4     11.05.11. ИКС_Приложение_рус _2012-2014_29,30 2" xfId="5306" xr:uid="{00000000-0005-0000-0000-000094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е 4 русс,каз 16.03.11. посл" xfId="1879" xr:uid="{00000000-0005-0000-0000-000095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е 4 русс,каз 16.03.11. посл 2" xfId="5307" xr:uid="{00000000-0005-0000-0000-000096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е 4 русс,каз 16.03.11. посл_Приложение_рус _2012-2014_29,30" xfId="1880" xr:uid="{00000000-0005-0000-0000-000097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е 4 русс,каз 16.03.11. посл_Приложение_рус _2012-2014_29,30 2" xfId="5308" xr:uid="{00000000-0005-0000-0000-000098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е_реал_рус 2011-2013 Уточнение" xfId="1881" xr:uid="{00000000-0005-0000-0000-000099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е_реал_рус 2011-2013 Уточнение 2" xfId="5309" xr:uid="{00000000-0005-0000-0000-00009A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е_реал_рус 2011-2013 Уточнение_Приложение_рус _2012-2014_29,30" xfId="1882" xr:uid="{00000000-0005-0000-0000-00009B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е_реал_рус 2011-2013 Уточнение_Приложение_рус _2012-2014_29,30 2" xfId="5310" xr:uid="{00000000-0005-0000-0000-00009C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е_рус _2012-2014_29,30" xfId="1883" xr:uid="{00000000-0005-0000-0000-00009D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е_рус _2012-2014_29,30 2" xfId="5311" xr:uid="{00000000-0005-0000-0000-00009E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я 2012 рус" xfId="1884" xr:uid="{00000000-0005-0000-0000-00009F100000}"/>
    <cellStyle name="_Приложение 02 русс на 16.04.2009 г. 1 сессия_Приложение 1-18 рус пост посл_Приложение_2010-2012 рус  КОРРЕКТИРОВКА_Приложение_пост_рус_авг_приложения 2012 рус 2" xfId="5312" xr:uid="{00000000-0005-0000-0000-0000A0100000}"/>
    <cellStyle name="_Приложение 02 русс на 16.04.2009 г. 1 сессия_Приложение 1-18 рус пост посл_Приложение_2010-2012 рус  КОРРЕКТИРОВКА_Приложение_реал_рус 2011-2013 Уточнение" xfId="1885" xr:uid="{00000000-0005-0000-0000-0000A1100000}"/>
    <cellStyle name="_Приложение 02 русс на 16.04.2009 г. 1 сессия_Приложение 1-18 рус пост посл_Приложение_2010-2012 рус  КОРРЕКТИРОВКА_Приложение_реал_рус 2011-2013 Уточнение 2" xfId="5313" xr:uid="{00000000-0005-0000-0000-0000A2100000}"/>
    <cellStyle name="_Приложение 02 русс на 16.04.2009 г. 1 сессия_Приложение 1-18 рус пост посл_Приложение_2010-2012 рус  КОРРЕКТИРОВКА_Приложение_реал_рус 2011-2013 Уточнение_Приложение_рус _2012-2014_29,30" xfId="1886" xr:uid="{00000000-0005-0000-0000-0000A3100000}"/>
    <cellStyle name="_Приложение 02 русс на 16.04.2009 г. 1 сессия_Приложение 1-18 рус пост посл_Приложение_2010-2012 рус  КОРРЕКТИРОВКА_Приложение_реал_рус 2011-2013 Уточнение_Приложение_рус _2012-2014_29,30 2" xfId="5314" xr:uid="{00000000-0005-0000-0000-0000A4100000}"/>
    <cellStyle name="_Приложение 02 русс на 16.04.2009 г. 1 сессия_Приложение 1-18 рус пост посл_Приложение_2010-2012 рус  КОРРЕКТИРОВКА_Приложение_рус _2012-2014_29,30" xfId="1887" xr:uid="{00000000-0005-0000-0000-0000A5100000}"/>
    <cellStyle name="_Приложение 02 русс на 16.04.2009 г. 1 сессия_Приложение 1-18 рус пост посл_Приложение_2010-2012 рус  КОРРЕКТИРОВКА_Приложение_рус _2012-2014_29,30 2" xfId="5315" xr:uid="{00000000-0005-0000-0000-0000A6100000}"/>
    <cellStyle name="_Приложение 02 русс на 16.04.2009 г. 1 сессия_Приложение 1-18 рус пост посл_Приложение_2010-2012 рус  КОРРЕКТИРОВКА_приложения 2012 рус" xfId="1888" xr:uid="{00000000-0005-0000-0000-0000A7100000}"/>
    <cellStyle name="_Приложение 02 русс на 16.04.2009 г. 1 сессия_Приложение 1-18 рус пост посл_Приложение_2010-2012 рус  КОРРЕКТИРОВКА_приложения 2012 рус 2" xfId="5316" xr:uid="{00000000-0005-0000-0000-0000A8100000}"/>
    <cellStyle name="_Приложение 02 русс на 16.04.2009 г. 1 сессия_Приложение 1-18 рус пост посл_Приложение_2010-2012 рус 04.08.10" xfId="1889" xr:uid="{00000000-0005-0000-0000-0000A9100000}"/>
    <cellStyle name="_Приложение 02 русс на 16.04.2009 г. 1 сессия_Приложение 1-18 рус пост посл_Приложение_2010-2012 рус 04.08.10 2" xfId="5317" xr:uid="{00000000-0005-0000-0000-0000AA100000}"/>
    <cellStyle name="_Приложение 02 русс на 16.04.2009 г. 1 сессия_Приложение 1-18 рус пост посл_Приложение_2010-2012 рус 04.08.10_Анализ" xfId="1890" xr:uid="{00000000-0005-0000-0000-0000AB100000}"/>
    <cellStyle name="_Приложение 02 русс на 16.04.2009 г. 1 сессия_Приложение 1-18 рус пост посл_Приложение_2010-2012 рус 04.08.10_Анализ 2" xfId="5318" xr:uid="{00000000-0005-0000-0000-0000AC100000}"/>
    <cellStyle name="_Приложение 02 русс на 16.04.2009 г. 1 сессия_Приложение 1-18 рус пост посл_Приложение_2010-2012 рус 04.08.10_Анализ 3.03.2011г." xfId="3176" xr:uid="{00000000-0005-0000-0000-0000AD100000}"/>
    <cellStyle name="_Приложение 02 русс на 16.04.2009 г. 1 сессия_Приложение 1-18 рус пост посл_Приложение_2010-2012 рус 04.08.10_Анализ 6.03.2011г." xfId="3177" xr:uid="{00000000-0005-0000-0000-0000AE100000}"/>
    <cellStyle name="_Приложение 02 русс на 16.04.2009 г. 1 сессия_Приложение 1-18 рус пост посл_Приложение_2010-2012 рус 04.08.10_Анализ 9.03.2011г." xfId="3178" xr:uid="{00000000-0005-0000-0000-0000AF100000}"/>
    <cellStyle name="_Приложение 02 русс на 16.04.2009 г. 1 сессия_Приложение 1-18 рус пост посл_Приложение_2010-2012 рус 04.08.10_Анализ_Приложение_рус _2012-2014_29,30" xfId="1891" xr:uid="{00000000-0005-0000-0000-0000B0100000}"/>
    <cellStyle name="_Приложение 02 русс на 16.04.2009 г. 1 сессия_Приложение 1-18 рус пост посл_Приложение_2010-2012 рус 04.08.10_Анализ_Приложение_рус _2012-2014_29,30 2" xfId="5319" xr:uid="{00000000-0005-0000-0000-0000B1100000}"/>
    <cellStyle name="_Приложение 02 русс на 16.04.2009 г. 1 сессия_Приложение 1-18 рус пост посл_Приложение_2010-2012 рус 04.08.10_Пр 4     11.05.11. ИКС" xfId="1892" xr:uid="{00000000-0005-0000-0000-0000B2100000}"/>
    <cellStyle name="_Приложение 02 русс на 16.04.2009 г. 1 сессия_Приложение 1-18 рус пост посл_Приложение_2010-2012 рус 04.08.10_Пр 4     11.05.11. ИКС 2" xfId="5320" xr:uid="{00000000-0005-0000-0000-0000B3100000}"/>
    <cellStyle name="_Приложение 02 русс на 16.04.2009 г. 1 сессия_Приложение 1-18 рус пост посл_Приложение_2010-2012 рус 04.08.10_Пр 4     11.05.11. ИКС_Приложение_рус _2012-2014_29,30" xfId="1893" xr:uid="{00000000-0005-0000-0000-0000B4100000}"/>
    <cellStyle name="_Приложение 02 русс на 16.04.2009 г. 1 сессия_Приложение 1-18 рус пост посл_Приложение_2010-2012 рус 04.08.10_Пр 4     11.05.11. ИКС_Приложение_рус _2012-2014_29,30 2" xfId="5321" xr:uid="{00000000-0005-0000-0000-0000B5100000}"/>
    <cellStyle name="_Приложение 02 русс на 16.04.2009 г. 1 сессия_Приложение 1-18 рус пост посл_Приложение_2010-2012 рус 04.08.10_Приложение 4 русс,каз 16.03.11. посл" xfId="1894" xr:uid="{00000000-0005-0000-0000-0000B6100000}"/>
    <cellStyle name="_Приложение 02 русс на 16.04.2009 г. 1 сессия_Приложение 1-18 рус пост посл_Приложение_2010-2012 рус 04.08.10_Приложение 4 русс,каз 16.03.11. посл 2" xfId="5322" xr:uid="{00000000-0005-0000-0000-0000B7100000}"/>
    <cellStyle name="_Приложение 02 русс на 16.04.2009 г. 1 сессия_Приложение 1-18 рус пост посл_Приложение_2010-2012 рус 04.08.10_Приложение 4 русс,каз 16.03.11. посл_Приложение_рус _2012-2014_29,30" xfId="1895" xr:uid="{00000000-0005-0000-0000-0000B8100000}"/>
    <cellStyle name="_Приложение 02 русс на 16.04.2009 г. 1 сессия_Приложение 1-18 рус пост посл_Приложение_2010-2012 рус 04.08.10_Приложение 4 русс,каз 16.03.11. посл_Приложение_рус _2012-2014_29,30 2" xfId="5323" xr:uid="{00000000-0005-0000-0000-0000B9100000}"/>
    <cellStyle name="_Приложение 02 русс на 16.04.2009 г. 1 сессия_Приложение 1-18 рус пост посл_Приложение_2010-2012 рус 04.08.10_Приложение_реал_рус 2011-2013 Уточнение" xfId="1896" xr:uid="{00000000-0005-0000-0000-0000BA100000}"/>
    <cellStyle name="_Приложение 02 русс на 16.04.2009 г. 1 сессия_Приложение 1-18 рус пост посл_Приложение_2010-2012 рус 04.08.10_Приложение_реал_рус 2011-2013 Уточнение 2" xfId="5324" xr:uid="{00000000-0005-0000-0000-0000BB100000}"/>
    <cellStyle name="_Приложение 02 русс на 16.04.2009 г. 1 сессия_Приложение 1-18 рус пост посл_Приложение_2010-2012 рус 04.08.10_Приложение_реал_рус 2011-2013 Уточнение_Приложение_рус _2012-2014_29,30" xfId="1897" xr:uid="{00000000-0005-0000-0000-0000BC100000}"/>
    <cellStyle name="_Приложение 02 русс на 16.04.2009 г. 1 сессия_Приложение 1-18 рус пост посл_Приложение_2010-2012 рус 04.08.10_Приложение_реал_рус 2011-2013 Уточнение_Приложение_рус _2012-2014_29,30 2" xfId="5325" xr:uid="{00000000-0005-0000-0000-0000BD100000}"/>
    <cellStyle name="_Приложение 02 русс на 16.04.2009 г. 1 сессия_Приложение 1-18 рус пост посл_Приложение_2010-2012 рус 04.08.10_Приложение_рус _2012-2014_29,30" xfId="1898" xr:uid="{00000000-0005-0000-0000-0000BE100000}"/>
    <cellStyle name="_Приложение 02 русс на 16.04.2009 г. 1 сессия_Приложение 1-18 рус пост посл_Приложение_2010-2012 рус 04.08.10_Приложение_рус _2012-2014_29,30 2" xfId="5326" xr:uid="{00000000-0005-0000-0000-0000BF100000}"/>
    <cellStyle name="_Приложение 02 русс на 16.04.2009 г. 1 сессия_Приложение 1-18 рус пост посл_Приложение_2010-2012 рус 04.08.10_приложения 2012 рус" xfId="1899" xr:uid="{00000000-0005-0000-0000-0000C0100000}"/>
    <cellStyle name="_Приложение 02 русс на 16.04.2009 г. 1 сессия_Приложение 1-18 рус пост посл_Приложение_2010-2012 рус 04.08.10_приложения 2012 рус 2" xfId="5327" xr:uid="{00000000-0005-0000-0000-0000C1100000}"/>
    <cellStyle name="_Приложение 02 русс на 16.04.2009 г. 1 сессия_Приложение 1-18 рус пост посл_Приложение_2010-2012 рус март" xfId="1900" xr:uid="{00000000-0005-0000-0000-0000C2100000}"/>
    <cellStyle name="_Приложение 02 русс на 16.04.2009 г. 1 сессия_Приложение 1-18 рус пост посл_Приложение_2010-2012 рус март 2" xfId="5328" xr:uid="{00000000-0005-0000-0000-0000C3100000}"/>
    <cellStyle name="_Приложение 02 русс на 16.04.2009 г. 1 сессия_Приложение 1-18 рус пост посл_Приложение_2010-2012 рус март_Анализ" xfId="1901" xr:uid="{00000000-0005-0000-0000-0000C4100000}"/>
    <cellStyle name="_Приложение 02 русс на 16.04.2009 г. 1 сессия_Приложение 1-18 рус пост посл_Приложение_2010-2012 рус март_Анализ 2" xfId="5329" xr:uid="{00000000-0005-0000-0000-0000C5100000}"/>
    <cellStyle name="_Приложение 02 русс на 16.04.2009 г. 1 сессия_Приложение 1-18 рус пост посл_Приложение_2010-2012 рус март_Анализ 3.03.2011г." xfId="3179" xr:uid="{00000000-0005-0000-0000-0000C6100000}"/>
    <cellStyle name="_Приложение 02 русс на 16.04.2009 г. 1 сессия_Приложение 1-18 рус пост посл_Приложение_2010-2012 рус март_Анализ 6.03.2011г." xfId="3180" xr:uid="{00000000-0005-0000-0000-0000C7100000}"/>
    <cellStyle name="_Приложение 02 русс на 16.04.2009 г. 1 сессия_Приложение 1-18 рус пост посл_Приложение_2010-2012 рус март_Анализ 9.03.2011г." xfId="3181" xr:uid="{00000000-0005-0000-0000-0000C8100000}"/>
    <cellStyle name="_Приложение 02 русс на 16.04.2009 г. 1 сессия_Приложение 1-18 рус пост посл_Приложение_2010-2012 рус март_Анализ_Приложение_рус _2012-2014_29,30" xfId="1902" xr:uid="{00000000-0005-0000-0000-0000C9100000}"/>
    <cellStyle name="_Приложение 02 русс на 16.04.2009 г. 1 сессия_Приложение 1-18 рус пост посл_Приложение_2010-2012 рус март_Анализ_Приложение_рус _2012-2014_29,30 2" xfId="5330" xr:uid="{00000000-0005-0000-0000-0000CA100000}"/>
    <cellStyle name="_Приложение 02 русс на 16.04.2009 г. 1 сессия_Приложение 1-18 рус пост посл_Приложение_2010-2012 рус март_Пр 4     11.05.11. ИКС" xfId="1903" xr:uid="{00000000-0005-0000-0000-0000CB100000}"/>
    <cellStyle name="_Приложение 02 русс на 16.04.2009 г. 1 сессия_Приложение 1-18 рус пост посл_Приложение_2010-2012 рус март_Пр 4     11.05.11. ИКС 2" xfId="5331" xr:uid="{00000000-0005-0000-0000-0000CC100000}"/>
    <cellStyle name="_Приложение 02 русс на 16.04.2009 г. 1 сессия_Приложение 1-18 рус пост посл_Приложение_2010-2012 рус март_Пр 4     11.05.11. ИКС_Приложение_рус _2012-2014_29,30" xfId="1904" xr:uid="{00000000-0005-0000-0000-0000CD100000}"/>
    <cellStyle name="_Приложение 02 русс на 16.04.2009 г. 1 сессия_Приложение 1-18 рус пост посл_Приложение_2010-2012 рус март_Пр 4     11.05.11. ИКС_Приложение_рус _2012-2014_29,30 2" xfId="5332" xr:uid="{00000000-0005-0000-0000-0000CE100000}"/>
    <cellStyle name="_Приложение 02 русс на 16.04.2009 г. 1 сессия_Приложение 1-18 рус пост посл_Приложение_2010-2012 рус март_Приложение 4 русс,каз 16.03.11. посл" xfId="1905" xr:uid="{00000000-0005-0000-0000-0000CF100000}"/>
    <cellStyle name="_Приложение 02 русс на 16.04.2009 г. 1 сессия_Приложение 1-18 рус пост посл_Приложение_2010-2012 рус март_Приложение 4 русс,каз 16.03.11. посл 2" xfId="5333" xr:uid="{00000000-0005-0000-0000-0000D0100000}"/>
    <cellStyle name="_Приложение 02 русс на 16.04.2009 г. 1 сессия_Приложение 1-18 рус пост посл_Приложение_2010-2012 рус март_Приложение 4 русс,каз 16.03.11. посл_Приложение_рус _2012-2014_29,30" xfId="1906" xr:uid="{00000000-0005-0000-0000-0000D1100000}"/>
    <cellStyle name="_Приложение 02 русс на 16.04.2009 г. 1 сессия_Приложение 1-18 рус пост посл_Приложение_2010-2012 рус март_Приложение 4 русс,каз 16.03.11. посл_Приложение_рус _2012-2014_29,30 2" xfId="5334" xr:uid="{00000000-0005-0000-0000-0000D2100000}"/>
    <cellStyle name="_Приложение 02 русс на 16.04.2009 г. 1 сессия_Приложение 1-18 рус пост посл_Приложение_2010-2012 рус март_Приложение_2010-2012 рус 04.08.10" xfId="1907" xr:uid="{00000000-0005-0000-0000-0000D3100000}"/>
    <cellStyle name="_Приложение 02 русс на 16.04.2009 г. 1 сессия_Приложение 1-18 рус пост посл_Приложение_2010-2012 рус март_Приложение_2010-2012 рус 04.08.10 2" xfId="5335" xr:uid="{00000000-0005-0000-0000-0000D4100000}"/>
    <cellStyle name="_Приложение 02 русс на 16.04.2009 г. 1 сессия_Приложение 1-18 рус пост посл_Приложение_2010-2012 рус март_Приложение_2010-2012 рус 04.08.10_Анализ" xfId="1908" xr:uid="{00000000-0005-0000-0000-0000D5100000}"/>
    <cellStyle name="_Приложение 02 русс на 16.04.2009 г. 1 сессия_Приложение 1-18 рус пост посл_Приложение_2010-2012 рус март_Приложение_2010-2012 рус 04.08.10_Анализ 2" xfId="5336" xr:uid="{00000000-0005-0000-0000-0000D6100000}"/>
    <cellStyle name="_Приложение 02 русс на 16.04.2009 г. 1 сессия_Приложение 1-18 рус пост посл_Приложение_2010-2012 рус март_Приложение_2010-2012 рус 04.08.10_Анализ 3.03.2011г." xfId="3182" xr:uid="{00000000-0005-0000-0000-0000D7100000}"/>
    <cellStyle name="_Приложение 02 русс на 16.04.2009 г. 1 сессия_Приложение 1-18 рус пост посл_Приложение_2010-2012 рус март_Приложение_2010-2012 рус 04.08.10_Анализ 6.03.2011г." xfId="3183" xr:uid="{00000000-0005-0000-0000-0000D8100000}"/>
    <cellStyle name="_Приложение 02 русс на 16.04.2009 г. 1 сессия_Приложение 1-18 рус пост посл_Приложение_2010-2012 рус март_Приложение_2010-2012 рус 04.08.10_Анализ 9.03.2011г." xfId="3184" xr:uid="{00000000-0005-0000-0000-0000D9100000}"/>
    <cellStyle name="_Приложение 02 русс на 16.04.2009 г. 1 сессия_Приложение 1-18 рус пост посл_Приложение_2010-2012 рус март_Приложение_2010-2012 рус 04.08.10_Анализ_Приложение_рус _2012-2014_29,30" xfId="1909" xr:uid="{00000000-0005-0000-0000-0000DA100000}"/>
    <cellStyle name="_Приложение 02 русс на 16.04.2009 г. 1 сессия_Приложение 1-18 рус пост посл_Приложение_2010-2012 рус март_Приложение_2010-2012 рус 04.08.10_Анализ_Приложение_рус _2012-2014_29,30 2" xfId="5337" xr:uid="{00000000-0005-0000-0000-0000DB100000}"/>
    <cellStyle name="_Приложение 02 русс на 16.04.2009 г. 1 сессия_Приложение 1-18 рус пост посл_Приложение_2010-2012 рус март_Приложение_2010-2012 рус 04.08.10_Пр 4     11.05.11. ИКС" xfId="1910" xr:uid="{00000000-0005-0000-0000-0000DC100000}"/>
    <cellStyle name="_Приложение 02 русс на 16.04.2009 г. 1 сессия_Приложение 1-18 рус пост посл_Приложение_2010-2012 рус март_Приложение_2010-2012 рус 04.08.10_Пр 4     11.05.11. ИКС 2" xfId="5338" xr:uid="{00000000-0005-0000-0000-0000DD100000}"/>
    <cellStyle name="_Приложение 02 русс на 16.04.2009 г. 1 сессия_Приложение 1-18 рус пост посл_Приложение_2010-2012 рус март_Приложение_2010-2012 рус 04.08.10_Пр 4     11.05.11. ИКС_Приложение_рус _2012-2014_29,30" xfId="1911" xr:uid="{00000000-0005-0000-0000-0000DE100000}"/>
    <cellStyle name="_Приложение 02 русс на 16.04.2009 г. 1 сессия_Приложение 1-18 рус пост посл_Приложение_2010-2012 рус март_Приложение_2010-2012 рус 04.08.10_Пр 4     11.05.11. ИКС_Приложение_рус _2012-2014_29,30 2" xfId="5339" xr:uid="{00000000-0005-0000-0000-0000DF100000}"/>
    <cellStyle name="_Приложение 02 русс на 16.04.2009 г. 1 сессия_Приложение 1-18 рус пост посл_Приложение_2010-2012 рус март_Приложение_2010-2012 рус 04.08.10_Приложение 4 русс,каз 16.03.11. посл" xfId="1912" xr:uid="{00000000-0005-0000-0000-0000E0100000}"/>
    <cellStyle name="_Приложение 02 русс на 16.04.2009 г. 1 сессия_Приложение 1-18 рус пост посл_Приложение_2010-2012 рус март_Приложение_2010-2012 рус 04.08.10_Приложение 4 русс,каз 16.03.11. посл 2" xfId="5340" xr:uid="{00000000-0005-0000-0000-0000E1100000}"/>
    <cellStyle name="_Приложение 02 русс на 16.04.2009 г. 1 сессия_Приложение 1-18 рус пост посл_Приложение_2010-2012 рус март_Приложение_2010-2012 рус 04.08.10_Приложение 4 русс,каз 16.03.11. посл_Приложение_рус _2012-2014_29,30" xfId="1913" xr:uid="{00000000-0005-0000-0000-0000E2100000}"/>
    <cellStyle name="_Приложение 02 русс на 16.04.2009 г. 1 сессия_Приложение 1-18 рус пост посл_Приложение_2010-2012 рус март_Приложение_2010-2012 рус 04.08.10_Приложение 4 русс,каз 16.03.11. посл_Приложение_рус _2012-2014_29,30 2" xfId="5341" xr:uid="{00000000-0005-0000-0000-0000E3100000}"/>
    <cellStyle name="_Приложение 02 русс на 16.04.2009 г. 1 сессия_Приложение 1-18 рус пост посл_Приложение_2010-2012 рус март_Приложение_2010-2012 рус 04.08.10_Приложение_реал_рус 2011-2013 Уточнение" xfId="1914" xr:uid="{00000000-0005-0000-0000-0000E4100000}"/>
    <cellStyle name="_Приложение 02 русс на 16.04.2009 г. 1 сессия_Приложение 1-18 рус пост посл_Приложение_2010-2012 рус март_Приложение_2010-2012 рус 04.08.10_Приложение_реал_рус 2011-2013 Уточнение 2" xfId="5342" xr:uid="{00000000-0005-0000-0000-0000E5100000}"/>
    <cellStyle name="_Приложение 02 русс на 16.04.2009 г. 1 сессия_Приложение 1-18 рус пост посл_Приложение_2010-2012 рус март_Приложение_2010-2012 рус 04.08.10_Приложение_реал_рус 2011-2013 Уточнение_Приложение_рус _2012-2014_29,30" xfId="1915" xr:uid="{00000000-0005-0000-0000-0000E6100000}"/>
    <cellStyle name="_Приложение 02 русс на 16.04.2009 г. 1 сессия_Приложение 1-18 рус пост посл_Приложение_2010-2012 рус март_Приложение_2010-2012 рус 04.08.10_Приложение_реал_рус 2011-2013 Уточнение_Приложение_рус _2012-2014_29,30 2" xfId="5343" xr:uid="{00000000-0005-0000-0000-0000E7100000}"/>
    <cellStyle name="_Приложение 02 русс на 16.04.2009 г. 1 сессия_Приложение 1-18 рус пост посл_Приложение_2010-2012 рус март_Приложение_2010-2012 рус 04.08.10_Приложение_рус _2012-2014_29,30" xfId="1916" xr:uid="{00000000-0005-0000-0000-0000E8100000}"/>
    <cellStyle name="_Приложение 02 русс на 16.04.2009 г. 1 сессия_Приложение 1-18 рус пост посл_Приложение_2010-2012 рус март_Приложение_2010-2012 рус 04.08.10_Приложение_рус _2012-2014_29,30 2" xfId="5344" xr:uid="{00000000-0005-0000-0000-0000E9100000}"/>
    <cellStyle name="_Приложение 02 русс на 16.04.2009 г. 1 сессия_Приложение 1-18 рус пост посл_Приложение_2010-2012 рус март_Приложение_2010-2012 рус 04.08.10_приложения 2012 рус" xfId="1917" xr:uid="{00000000-0005-0000-0000-0000EA100000}"/>
    <cellStyle name="_Приложение 02 русс на 16.04.2009 г. 1 сессия_Приложение 1-18 рус пост посл_Приложение_2010-2012 рус март_Приложение_2010-2012 рус 04.08.10_приложения 2012 рус 2" xfId="5345" xr:uid="{00000000-0005-0000-0000-0000EB100000}"/>
    <cellStyle name="_Приложение 02 русс на 16.04.2009 г. 1 сессия_Приложение 1-18 рус пост посл_Приложение_2010-2012 рус март_Приложение_пост_рус_авг" xfId="1918" xr:uid="{00000000-0005-0000-0000-0000EC100000}"/>
    <cellStyle name="_Приложение 02 русс на 16.04.2009 г. 1 сессия_Приложение 1-18 рус пост посл_Приложение_2010-2012 рус март_Приложение_пост_рус_авг 2" xfId="5346" xr:uid="{00000000-0005-0000-0000-0000ED100000}"/>
    <cellStyle name="_Приложение 02 русс на 16.04.2009 г. 1 сессия_Приложение 1-18 рус пост посл_Приложение_2010-2012 рус март_Приложение_пост_рус_авг_Анализ" xfId="1919" xr:uid="{00000000-0005-0000-0000-0000EE100000}"/>
    <cellStyle name="_Приложение 02 русс на 16.04.2009 г. 1 сессия_Приложение 1-18 рус пост посл_Приложение_2010-2012 рус март_Приложение_пост_рус_авг_Анализ 2" xfId="5347" xr:uid="{00000000-0005-0000-0000-0000EF100000}"/>
    <cellStyle name="_Приложение 02 русс на 16.04.2009 г. 1 сессия_Приложение 1-18 рус пост посл_Приложение_2010-2012 рус март_Приложение_пост_рус_авг_Анализ 3.03.2011г." xfId="3185" xr:uid="{00000000-0005-0000-0000-0000F0100000}"/>
    <cellStyle name="_Приложение 02 русс на 16.04.2009 г. 1 сессия_Приложение 1-18 рус пост посл_Приложение_2010-2012 рус март_Приложение_пост_рус_авг_Анализ 6.03.2011г." xfId="3186" xr:uid="{00000000-0005-0000-0000-0000F1100000}"/>
    <cellStyle name="_Приложение 02 русс на 16.04.2009 г. 1 сессия_Приложение 1-18 рус пост посл_Приложение_2010-2012 рус март_Приложение_пост_рус_авг_Анализ 9.03.2011г." xfId="3187" xr:uid="{00000000-0005-0000-0000-0000F2100000}"/>
    <cellStyle name="_Приложение 02 русс на 16.04.2009 г. 1 сессия_Приложение 1-18 рус пост посл_Приложение_2010-2012 рус март_Приложение_пост_рус_авг_Анализ_Приложение_рус _2012-2014_29,30" xfId="1920" xr:uid="{00000000-0005-0000-0000-0000F3100000}"/>
    <cellStyle name="_Приложение 02 русс на 16.04.2009 г. 1 сессия_Приложение 1-18 рус пост посл_Приложение_2010-2012 рус март_Приложение_пост_рус_авг_Анализ_Приложение_рус _2012-2014_29,30 2" xfId="5348" xr:uid="{00000000-0005-0000-0000-0000F4100000}"/>
    <cellStyle name="_Приложение 02 русс на 16.04.2009 г. 1 сессия_Приложение 1-18 рус пост посл_Приложение_2010-2012 рус март_Приложение_пост_рус_авг_Пр 4     11.05.11. ИКС" xfId="1921" xr:uid="{00000000-0005-0000-0000-0000F5100000}"/>
    <cellStyle name="_Приложение 02 русс на 16.04.2009 г. 1 сессия_Приложение 1-18 рус пост посл_Приложение_2010-2012 рус март_Приложение_пост_рус_авг_Пр 4     11.05.11. ИКС 2" xfId="5349" xr:uid="{00000000-0005-0000-0000-0000F6100000}"/>
    <cellStyle name="_Приложение 02 русс на 16.04.2009 г. 1 сессия_Приложение 1-18 рус пост посл_Приложение_2010-2012 рус март_Приложение_пост_рус_авг_Пр 4     11.05.11. ИКС_Приложение_рус _2012-2014_29,30" xfId="1922" xr:uid="{00000000-0005-0000-0000-0000F7100000}"/>
    <cellStyle name="_Приложение 02 русс на 16.04.2009 г. 1 сессия_Приложение 1-18 рус пост посл_Приложение_2010-2012 рус март_Приложение_пост_рус_авг_Пр 4     11.05.11. ИКС_Приложение_рус _2012-2014_29,30 2" xfId="5350" xr:uid="{00000000-0005-0000-0000-0000F8100000}"/>
    <cellStyle name="_Приложение 02 русс на 16.04.2009 г. 1 сессия_Приложение 1-18 рус пост посл_Приложение_2010-2012 рус март_Приложение_пост_рус_авг_Приложение 4 русс,каз 16.03.11. посл" xfId="1923" xr:uid="{00000000-0005-0000-0000-0000F9100000}"/>
    <cellStyle name="_Приложение 02 русс на 16.04.2009 г. 1 сессия_Приложение 1-18 рус пост посл_Приложение_2010-2012 рус март_Приложение_пост_рус_авг_Приложение 4 русс,каз 16.03.11. посл 2" xfId="5351" xr:uid="{00000000-0005-0000-0000-0000FA100000}"/>
    <cellStyle name="_Приложение 02 русс на 16.04.2009 г. 1 сессия_Приложение 1-18 рус пост посл_Приложение_2010-2012 рус март_Приложение_пост_рус_авг_Приложение 4 русс,каз 16.03.11. посл_Приложение_рус _2012-2014_29,30" xfId="1924" xr:uid="{00000000-0005-0000-0000-0000FB100000}"/>
    <cellStyle name="_Приложение 02 русс на 16.04.2009 г. 1 сессия_Приложение 1-18 рус пост посл_Приложение_2010-2012 рус март_Приложение_пост_рус_авг_Приложение 4 русс,каз 16.03.11. посл_Приложение_рус _2012-2014_29,30 2" xfId="5352" xr:uid="{00000000-0005-0000-0000-0000FC100000}"/>
    <cellStyle name="_Приложение 02 русс на 16.04.2009 г. 1 сессия_Приложение 1-18 рус пост посл_Приложение_2010-2012 рус март_Приложение_пост_рус_авг_Приложение_реал_рус 2011-2013 Уточнение" xfId="1925" xr:uid="{00000000-0005-0000-0000-0000FD100000}"/>
    <cellStyle name="_Приложение 02 русс на 16.04.2009 г. 1 сессия_Приложение 1-18 рус пост посл_Приложение_2010-2012 рус март_Приложение_пост_рус_авг_Приложение_реал_рус 2011-2013 Уточнение 2" xfId="5353" xr:uid="{00000000-0005-0000-0000-0000FE100000}"/>
    <cellStyle name="_Приложение 02 русс на 16.04.2009 г. 1 сессия_Приложение 1-18 рус пост посл_Приложение_2010-2012 рус март_Приложение_пост_рус_авг_Приложение_реал_рус 2011-2013 Уточнение_Приложение_рус _2012-2014_29,30" xfId="1926" xr:uid="{00000000-0005-0000-0000-0000FF100000}"/>
    <cellStyle name="_Приложение 02 русс на 16.04.2009 г. 1 сессия_Приложение 1-18 рус пост посл_Приложение_2010-2012 рус март_Приложение_пост_рус_авг_Приложение_реал_рус 2011-2013 Уточнение_Приложение_рус _2012-2014_29,30 2" xfId="5354" xr:uid="{00000000-0005-0000-0000-000000110000}"/>
    <cellStyle name="_Приложение 02 русс на 16.04.2009 г. 1 сессия_Приложение 1-18 рус пост посл_Приложение_2010-2012 рус март_Приложение_пост_рус_авг_Приложение_рус _2012-2014_29,30" xfId="1927" xr:uid="{00000000-0005-0000-0000-000001110000}"/>
    <cellStyle name="_Приложение 02 русс на 16.04.2009 г. 1 сессия_Приложение 1-18 рус пост посл_Приложение_2010-2012 рус март_Приложение_пост_рус_авг_Приложение_рус _2012-2014_29,30 2" xfId="5355" xr:uid="{00000000-0005-0000-0000-000002110000}"/>
    <cellStyle name="_Приложение 02 русс на 16.04.2009 г. 1 сессия_Приложение 1-18 рус пост посл_Приложение_2010-2012 рус март_Приложение_пост_рус_авг_приложения 2012 рус" xfId="1928" xr:uid="{00000000-0005-0000-0000-000003110000}"/>
    <cellStyle name="_Приложение 02 русс на 16.04.2009 г. 1 сессия_Приложение 1-18 рус пост посл_Приложение_2010-2012 рус март_Приложение_пост_рус_авг_приложения 2012 рус 2" xfId="5356" xr:uid="{00000000-0005-0000-0000-000004110000}"/>
    <cellStyle name="_Приложение 02 русс на 16.04.2009 г. 1 сессия_Приложение 1-18 рус пост посл_Приложение_2010-2012 рус март_Приложение_реал_рус 2011-2013 Уточнение" xfId="1929" xr:uid="{00000000-0005-0000-0000-000005110000}"/>
    <cellStyle name="_Приложение 02 русс на 16.04.2009 г. 1 сессия_Приложение 1-18 рус пост посл_Приложение_2010-2012 рус март_Приложение_реал_рус 2011-2013 Уточнение 2" xfId="5357" xr:uid="{00000000-0005-0000-0000-000006110000}"/>
    <cellStyle name="_Приложение 02 русс на 16.04.2009 г. 1 сессия_Приложение 1-18 рус пост посл_Приложение_2010-2012 рус март_Приложение_реал_рус 2011-2013 Уточнение_Приложение_рус _2012-2014_29,30" xfId="1930" xr:uid="{00000000-0005-0000-0000-000007110000}"/>
    <cellStyle name="_Приложение 02 русс на 16.04.2009 г. 1 сессия_Приложение 1-18 рус пост посл_Приложение_2010-2012 рус март_Приложение_реал_рус 2011-2013 Уточнение_Приложение_рус _2012-2014_29,30 2" xfId="5358" xr:uid="{00000000-0005-0000-0000-000008110000}"/>
    <cellStyle name="_Приложение 02 русс на 16.04.2009 г. 1 сессия_Приложение 1-18 рус пост посл_Приложение_2010-2012 рус март_Приложение_рус _2012-2014_29,30" xfId="1931" xr:uid="{00000000-0005-0000-0000-000009110000}"/>
    <cellStyle name="_Приложение 02 русс на 16.04.2009 г. 1 сессия_Приложение 1-18 рус пост посл_Приложение_2010-2012 рус март_Приложение_рус _2012-2014_29,30 2" xfId="5359" xr:uid="{00000000-0005-0000-0000-00000A110000}"/>
    <cellStyle name="_Приложение 02 русс на 16.04.2009 г. 1 сессия_Приложение 1-18 рус пост посл_Приложение_2010-2012 рус март_приложения 2012 рус" xfId="1932" xr:uid="{00000000-0005-0000-0000-00000B110000}"/>
    <cellStyle name="_Приложение 02 русс на 16.04.2009 г. 1 сессия_Приложение 1-18 рус пост посл_Приложение_2010-2012 рус март_приложения 2012 рус 2" xfId="5360" xr:uid="{00000000-0005-0000-0000-00000C110000}"/>
    <cellStyle name="_Приложение 02 русс на 16.04.2009 г. 1 сессия_Приложение 1-18 рус пост посл_Приложение_пост_каз_авг" xfId="1933" xr:uid="{00000000-0005-0000-0000-00000D110000}"/>
    <cellStyle name="_Приложение 02 русс на 16.04.2009 г. 1 сессия_Приложение 1-18 рус пост посл_Приложение_пост_каз_авг 2" xfId="5361" xr:uid="{00000000-0005-0000-0000-00000E110000}"/>
    <cellStyle name="_Приложение 02 русс на 16.04.2009 г. 1 сессия_Приложение 1-18 рус пост посл_Приложение_пост_каз_авг_Анализ" xfId="1934" xr:uid="{00000000-0005-0000-0000-00000F110000}"/>
    <cellStyle name="_Приложение 02 русс на 16.04.2009 г. 1 сессия_Приложение 1-18 рус пост посл_Приложение_пост_каз_авг_Анализ 2" xfId="5362" xr:uid="{00000000-0005-0000-0000-000010110000}"/>
    <cellStyle name="_Приложение 02 русс на 16.04.2009 г. 1 сессия_Приложение 1-18 рус пост посл_Приложение_пост_каз_авг_Анализ 3.03.2011г." xfId="3188" xr:uid="{00000000-0005-0000-0000-000011110000}"/>
    <cellStyle name="_Приложение 02 русс на 16.04.2009 г. 1 сессия_Приложение 1-18 рус пост посл_Приложение_пост_каз_авг_Анализ 6.03.2011г." xfId="3189" xr:uid="{00000000-0005-0000-0000-000012110000}"/>
    <cellStyle name="_Приложение 02 русс на 16.04.2009 г. 1 сессия_Приложение 1-18 рус пост посл_Приложение_пост_каз_авг_Анализ 9.03.2011г." xfId="3190" xr:uid="{00000000-0005-0000-0000-000013110000}"/>
    <cellStyle name="_Приложение 02 русс на 16.04.2009 г. 1 сессия_Приложение 1-18 рус пост посл_Приложение_пост_каз_авг_Анализ_Приложение_рус _2012-2014_29,30" xfId="1935" xr:uid="{00000000-0005-0000-0000-000014110000}"/>
    <cellStyle name="_Приложение 02 русс на 16.04.2009 г. 1 сессия_Приложение 1-18 рус пост посл_Приложение_пост_каз_авг_Анализ_Приложение_рус _2012-2014_29,30 2" xfId="5363" xr:uid="{00000000-0005-0000-0000-000015110000}"/>
    <cellStyle name="_Приложение 02 русс на 16.04.2009 г. 1 сессия_Приложение 1-18 рус пост посл_Приложение_пост_каз_авг_Пр 4     11.05.11. ИКС" xfId="1936" xr:uid="{00000000-0005-0000-0000-000016110000}"/>
    <cellStyle name="_Приложение 02 русс на 16.04.2009 г. 1 сессия_Приложение 1-18 рус пост посл_Приложение_пост_каз_авг_Пр 4     11.05.11. ИКС 2" xfId="5364" xr:uid="{00000000-0005-0000-0000-000017110000}"/>
    <cellStyle name="_Приложение 02 русс на 16.04.2009 г. 1 сессия_Приложение 1-18 рус пост посл_Приложение_пост_каз_авг_Пр 4     11.05.11. ИКС_Приложение_рус _2012-2014_29,30" xfId="1937" xr:uid="{00000000-0005-0000-0000-000018110000}"/>
    <cellStyle name="_Приложение 02 русс на 16.04.2009 г. 1 сессия_Приложение 1-18 рус пост посл_Приложение_пост_каз_авг_Пр 4     11.05.11. ИКС_Приложение_рус _2012-2014_29,30 2" xfId="5365" xr:uid="{00000000-0005-0000-0000-000019110000}"/>
    <cellStyle name="_Приложение 02 русс на 16.04.2009 г. 1 сессия_Приложение 1-18 рус пост посл_Приложение_пост_каз_авг_Приложение 4 русс,каз 16.03.11. посл" xfId="1938" xr:uid="{00000000-0005-0000-0000-00001A110000}"/>
    <cellStyle name="_Приложение 02 русс на 16.04.2009 г. 1 сессия_Приложение 1-18 рус пост посл_Приложение_пост_каз_авг_Приложение 4 русс,каз 16.03.11. посл 2" xfId="5366" xr:uid="{00000000-0005-0000-0000-00001B110000}"/>
    <cellStyle name="_Приложение 02 русс на 16.04.2009 г. 1 сессия_Приложение 1-18 рус пост посл_Приложение_пост_каз_авг_Приложение 4 русс,каз 16.03.11. посл_Приложение_рус _2012-2014_29,30" xfId="1939" xr:uid="{00000000-0005-0000-0000-00001C110000}"/>
    <cellStyle name="_Приложение 02 русс на 16.04.2009 г. 1 сессия_Приложение 1-18 рус пост посл_Приложение_пост_каз_авг_Приложение 4 русс,каз 16.03.11. посл_Приложение_рус _2012-2014_29,30 2" xfId="5367" xr:uid="{00000000-0005-0000-0000-00001D110000}"/>
    <cellStyle name="_Приложение 02 русс на 16.04.2009 г. 1 сессия_Приложение 1-18 рус пост посл_Приложение_пост_каз_авг_Приложение_реал_рус 2011-2013 Уточнение" xfId="1940" xr:uid="{00000000-0005-0000-0000-00001E110000}"/>
    <cellStyle name="_Приложение 02 русс на 16.04.2009 г. 1 сессия_Приложение 1-18 рус пост посл_Приложение_пост_каз_авг_Приложение_реал_рус 2011-2013 Уточнение 2" xfId="5368" xr:uid="{00000000-0005-0000-0000-00001F110000}"/>
    <cellStyle name="_Приложение 02 русс на 16.04.2009 г. 1 сессия_Приложение 1-18 рус пост посл_Приложение_пост_каз_авг_Приложение_реал_рус 2011-2013 Уточнение_Приложение_рус _2012-2014_29,30" xfId="1941" xr:uid="{00000000-0005-0000-0000-000020110000}"/>
    <cellStyle name="_Приложение 02 русс на 16.04.2009 г. 1 сессия_Приложение 1-18 рус пост посл_Приложение_пост_каз_авг_Приложение_реал_рус 2011-2013 Уточнение_Приложение_рус _2012-2014_29,30 2" xfId="5369" xr:uid="{00000000-0005-0000-0000-000021110000}"/>
    <cellStyle name="_Приложение 02 русс на 16.04.2009 г. 1 сессия_Приложение 1-18 рус пост посл_Приложение_пост_каз_авг_Приложение_рус _2012-2014_29,30" xfId="1942" xr:uid="{00000000-0005-0000-0000-000022110000}"/>
    <cellStyle name="_Приложение 02 русс на 16.04.2009 г. 1 сессия_Приложение 1-18 рус пост посл_Приложение_пост_каз_авг_Приложение_рус _2012-2014_29,30 2" xfId="5370" xr:uid="{00000000-0005-0000-0000-000023110000}"/>
    <cellStyle name="_Приложение 02 русс на 16.04.2009 г. 1 сессия_Приложение 1-18 рус пост посл_Приложение_пост_каз_авг_приложения 2012 рус" xfId="1943" xr:uid="{00000000-0005-0000-0000-000024110000}"/>
    <cellStyle name="_Приложение 02 русс на 16.04.2009 г. 1 сессия_Приложение 1-18 рус пост посл_Приложение_пост_каз_авг_приложения 2012 рус 2" xfId="5371" xr:uid="{00000000-0005-0000-0000-000025110000}"/>
    <cellStyle name="_Приложение 02 русс на 16.04.2009 г. 1 сессия_Приложение 1-18 рус пост посл_Приложение_пост_рус_авг" xfId="1944" xr:uid="{00000000-0005-0000-0000-000026110000}"/>
    <cellStyle name="_Приложение 02 русс на 16.04.2009 г. 1 сессия_Приложение 1-18 рус пост посл_Приложение_пост_рус_авг 2" xfId="5372" xr:uid="{00000000-0005-0000-0000-000027110000}"/>
    <cellStyle name="_Приложение 02 русс на 16.04.2009 г. 1 сессия_Приложение 1-18 рус пост посл_Приложение_пост_рус_авг_Анализ" xfId="1945" xr:uid="{00000000-0005-0000-0000-000028110000}"/>
    <cellStyle name="_Приложение 02 русс на 16.04.2009 г. 1 сессия_Приложение 1-18 рус пост посл_Приложение_пост_рус_авг_Анализ 2" xfId="5373" xr:uid="{00000000-0005-0000-0000-000029110000}"/>
    <cellStyle name="_Приложение 02 русс на 16.04.2009 г. 1 сессия_Приложение 1-18 рус пост посл_Приложение_пост_рус_авг_Анализ 3.03.2011г." xfId="3191" xr:uid="{00000000-0005-0000-0000-00002A110000}"/>
    <cellStyle name="_Приложение 02 русс на 16.04.2009 г. 1 сессия_Приложение 1-18 рус пост посл_Приложение_пост_рус_авг_Анализ 6.03.2011г." xfId="3192" xr:uid="{00000000-0005-0000-0000-00002B110000}"/>
    <cellStyle name="_Приложение 02 русс на 16.04.2009 г. 1 сессия_Приложение 1-18 рус пост посл_Приложение_пост_рус_авг_Анализ 9.03.2011г." xfId="3193" xr:uid="{00000000-0005-0000-0000-00002C110000}"/>
    <cellStyle name="_Приложение 02 русс на 16.04.2009 г. 1 сессия_Приложение 1-18 рус пост посл_Приложение_пост_рус_авг_Анализ_Приложение_рус _2012-2014_29,30" xfId="1946" xr:uid="{00000000-0005-0000-0000-00002D110000}"/>
    <cellStyle name="_Приложение 02 русс на 16.04.2009 г. 1 сессия_Приложение 1-18 рус пост посл_Приложение_пост_рус_авг_Анализ_Приложение_рус _2012-2014_29,30 2" xfId="5374" xr:uid="{00000000-0005-0000-0000-00002E110000}"/>
    <cellStyle name="_Приложение 02 русс на 16.04.2009 г. 1 сессия_Приложение 1-18 рус пост посл_Приложение_пост_рус_авг_Пр 4     11.05.11. ИКС" xfId="1947" xr:uid="{00000000-0005-0000-0000-00002F110000}"/>
    <cellStyle name="_Приложение 02 русс на 16.04.2009 г. 1 сессия_Приложение 1-18 рус пост посл_Приложение_пост_рус_авг_Пр 4     11.05.11. ИКС 2" xfId="5375" xr:uid="{00000000-0005-0000-0000-000030110000}"/>
    <cellStyle name="_Приложение 02 русс на 16.04.2009 г. 1 сессия_Приложение 1-18 рус пост посл_Приложение_пост_рус_авг_Пр 4     11.05.11. ИКС_Приложение_рус _2012-2014_29,30" xfId="1948" xr:uid="{00000000-0005-0000-0000-000031110000}"/>
    <cellStyle name="_Приложение 02 русс на 16.04.2009 г. 1 сессия_Приложение 1-18 рус пост посл_Приложение_пост_рус_авг_Пр 4     11.05.11. ИКС_Приложение_рус _2012-2014_29,30 2" xfId="5376" xr:uid="{00000000-0005-0000-0000-000032110000}"/>
    <cellStyle name="_Приложение 02 русс на 16.04.2009 г. 1 сессия_Приложение 1-18 рус пост посл_Приложение_пост_рус_авг_Приложение 4 русс,каз 16.03.11. посл" xfId="1949" xr:uid="{00000000-0005-0000-0000-000033110000}"/>
    <cellStyle name="_Приложение 02 русс на 16.04.2009 г. 1 сессия_Приложение 1-18 рус пост посл_Приложение_пост_рус_авг_Приложение 4 русс,каз 16.03.11. посл 2" xfId="5377" xr:uid="{00000000-0005-0000-0000-000034110000}"/>
    <cellStyle name="_Приложение 02 русс на 16.04.2009 г. 1 сессия_Приложение 1-18 рус пост посл_Приложение_пост_рус_авг_Приложение 4 русс,каз 16.03.11. посл_Приложение_рус _2012-2014_29,30" xfId="1950" xr:uid="{00000000-0005-0000-0000-000035110000}"/>
    <cellStyle name="_Приложение 02 русс на 16.04.2009 г. 1 сессия_Приложение 1-18 рус пост посл_Приложение_пост_рус_авг_Приложение 4 русс,каз 16.03.11. посл_Приложение_рус _2012-2014_29,30 2" xfId="5378" xr:uid="{00000000-0005-0000-0000-000036110000}"/>
    <cellStyle name="_Приложение 02 русс на 16.04.2009 г. 1 сессия_Приложение 1-18 рус пост посл_Приложение_пост_рус_авг_Приложение_реал_рус 2011-2013 Уточнение" xfId="1951" xr:uid="{00000000-0005-0000-0000-000037110000}"/>
    <cellStyle name="_Приложение 02 русс на 16.04.2009 г. 1 сессия_Приложение 1-18 рус пост посл_Приложение_пост_рус_авг_Приложение_реал_рус 2011-2013 Уточнение 2" xfId="5379" xr:uid="{00000000-0005-0000-0000-000038110000}"/>
    <cellStyle name="_Приложение 02 русс на 16.04.2009 г. 1 сессия_Приложение 1-18 рус пост посл_Приложение_пост_рус_авг_Приложение_реал_рус 2011-2013 Уточнение_Приложение_рус _2012-2014_29,30" xfId="1952" xr:uid="{00000000-0005-0000-0000-000039110000}"/>
    <cellStyle name="_Приложение 02 русс на 16.04.2009 г. 1 сессия_Приложение 1-18 рус пост посл_Приложение_пост_рус_авг_Приложение_реал_рус 2011-2013 Уточнение_Приложение_рус _2012-2014_29,30 2" xfId="5380" xr:uid="{00000000-0005-0000-0000-00003A110000}"/>
    <cellStyle name="_Приложение 02 русс на 16.04.2009 г. 1 сессия_Приложение 1-18 рус пост посл_Приложение_пост_рус_авг_Приложение_рус _2012-2014_29,30" xfId="1953" xr:uid="{00000000-0005-0000-0000-00003B110000}"/>
    <cellStyle name="_Приложение 02 русс на 16.04.2009 г. 1 сессия_Приложение 1-18 рус пост посл_Приложение_пост_рус_авг_Приложение_рус _2012-2014_29,30 2" xfId="5381" xr:uid="{00000000-0005-0000-0000-00003C110000}"/>
    <cellStyle name="_Приложение 02 русс на 16.04.2009 г. 1 сессия_Приложение 1-18 рус пост посл_Приложение_пост_рус_авг_приложения 2012 рус" xfId="1954" xr:uid="{00000000-0005-0000-0000-00003D110000}"/>
    <cellStyle name="_Приложение 02 русс на 16.04.2009 г. 1 сессия_Приложение 1-18 рус пост посл_Приложение_пост_рус_авг_приложения 2012 рус 2" xfId="5382" xr:uid="{00000000-0005-0000-0000-00003E110000}"/>
    <cellStyle name="_Приложение 02 русс на 16.04.2009 г. 1 сессия_Приложение 1-18 рус пост посл_Приложение_реал_рус 2011-2013 Уточнение" xfId="1955" xr:uid="{00000000-0005-0000-0000-00003F110000}"/>
    <cellStyle name="_Приложение 02 русс на 16.04.2009 г. 1 сессия_Приложение 1-18 рус пост посл_Приложение_реал_рус 2011-2013 Уточнение 2" xfId="5383" xr:uid="{00000000-0005-0000-0000-000040110000}"/>
    <cellStyle name="_Приложение 02 русс на 16.04.2009 г. 1 сессия_Приложение 1-18 рус пост посл_Приложение_реал_рус 2011-2013 Уточнение_Приложение_рус _2012-2014_29,30" xfId="1956" xr:uid="{00000000-0005-0000-0000-000041110000}"/>
    <cellStyle name="_Приложение 02 русс на 16.04.2009 г. 1 сессия_Приложение 1-18 рус пост посл_Приложение_реал_рус 2011-2013 Уточнение_Приложение_рус _2012-2014_29,30 2" xfId="5384" xr:uid="{00000000-0005-0000-0000-000042110000}"/>
    <cellStyle name="_Приложение 02 русс на 16.04.2009 г. 1 сессия_Приложение 1-18 рус пост посл_Приложение_рус _2012-2014_29,30" xfId="1957" xr:uid="{00000000-0005-0000-0000-000043110000}"/>
    <cellStyle name="_Приложение 02 русс на 16.04.2009 г. 1 сессия_Приложение 1-18 рус пост посл_Приложение_рус _2012-2014_29,30 2" xfId="5385" xr:uid="{00000000-0005-0000-0000-000044110000}"/>
    <cellStyle name="_Приложение 02 русс на 16.04.2009 г. 1 сессия_Приложение 1-18 рус пост посл_приложения 2012 рус" xfId="1958" xr:uid="{00000000-0005-0000-0000-000045110000}"/>
    <cellStyle name="_Приложение 02 русс на 16.04.2009 г. 1 сессия_Приложение 1-18 рус пост посл_приложения 2012 рус 2" xfId="5386" xr:uid="{00000000-0005-0000-0000-000046110000}"/>
    <cellStyle name="_Приложение 02 русс на 16.04.2009 г. 1 сессия_Приложение 1-18 рус пост_прил4р_к" xfId="1959" xr:uid="{00000000-0005-0000-0000-000047110000}"/>
    <cellStyle name="_Приложение 02 русс на 16.04.2009 г. 1 сессия_Приложение 1-18 рус пост_прил4р_к 2" xfId="1960" xr:uid="{00000000-0005-0000-0000-000048110000}"/>
    <cellStyle name="_Приложение 02 русс на 16.04.2009 г. 1 сессия_Приложение 1-18 рус пост_прил4р_к 2 2" xfId="5388" xr:uid="{00000000-0005-0000-0000-000049110000}"/>
    <cellStyle name="_Приложение 02 русс на 16.04.2009 г. 1 сессия_Приложение 1-18 рус пост_прил4р_к 3" xfId="5387" xr:uid="{00000000-0005-0000-0000-00004A110000}"/>
    <cellStyle name="_Приложение 02 русс на 16.04.2009 г. 1 сессия_Приложение 1-18 рус пост_прил4р_к_Анализ" xfId="1961" xr:uid="{00000000-0005-0000-0000-00004B110000}"/>
    <cellStyle name="_Приложение 02 русс на 16.04.2009 г. 1 сессия_Приложение 1-18 рус пост_прил4р_к_Анализ 2" xfId="5389" xr:uid="{00000000-0005-0000-0000-00004C110000}"/>
    <cellStyle name="_Приложение 02 русс на 16.04.2009 г. 1 сессия_Приложение 1-18 рус пост_прил4р_к_Анализ 3.03.2011г." xfId="3194" xr:uid="{00000000-0005-0000-0000-00004D110000}"/>
    <cellStyle name="_Приложение 02 русс на 16.04.2009 г. 1 сессия_Приложение 1-18 рус пост_прил4р_к_Анализ 6.03.2011г." xfId="3195" xr:uid="{00000000-0005-0000-0000-00004E110000}"/>
    <cellStyle name="_Приложение 02 русс на 16.04.2009 г. 1 сессия_Приложение 1-18 рус пост_прил4р_к_Анализ 9.03.2011г." xfId="3196" xr:uid="{00000000-0005-0000-0000-00004F110000}"/>
    <cellStyle name="_Приложение 02 русс на 16.04.2009 г. 1 сессия_Приложение 1-18 рус пост_прил4р_к_Анализ_Приложение_рус _2012-2014_29,30" xfId="1962" xr:uid="{00000000-0005-0000-0000-000050110000}"/>
    <cellStyle name="_Приложение 02 русс на 16.04.2009 г. 1 сессия_Приложение 1-18 рус пост_прил4р_к_Анализ_Приложение_рус _2012-2014_29,30 2" xfId="5390" xr:uid="{00000000-0005-0000-0000-000051110000}"/>
    <cellStyle name="_Приложение 02 русс на 16.04.2009 г. 1 сессия_Приложение 1-18 рус пост_прил4р_к_Пр 4     11.05.11. ИКС" xfId="1963" xr:uid="{00000000-0005-0000-0000-000052110000}"/>
    <cellStyle name="_Приложение 02 русс на 16.04.2009 г. 1 сессия_Приложение 1-18 рус пост_прил4р_к_Пр 4     11.05.11. ИКС 2" xfId="5391" xr:uid="{00000000-0005-0000-0000-000053110000}"/>
    <cellStyle name="_Приложение 02 русс на 16.04.2009 г. 1 сессия_Приложение 1-18 рус пост_прил4р_к_Пр 4     11.05.11. ИКС_Приложение_рус _2012-2014_29,30" xfId="1964" xr:uid="{00000000-0005-0000-0000-000054110000}"/>
    <cellStyle name="_Приложение 02 русс на 16.04.2009 г. 1 сессия_Приложение 1-18 рус пост_прил4р_к_Пр 4     11.05.11. ИКС_Приложение_рус _2012-2014_29,30 2" xfId="5392" xr:uid="{00000000-0005-0000-0000-000055110000}"/>
    <cellStyle name="_Приложение 02 русс на 16.04.2009 г. 1 сессия_Приложение 1-18 рус пост_прил4р_к_Приложение 4 русс,каз 16.03.11. посл" xfId="1965" xr:uid="{00000000-0005-0000-0000-000056110000}"/>
    <cellStyle name="_Приложение 02 русс на 16.04.2009 г. 1 сессия_Приложение 1-18 рус пост_прил4р_к_Приложение 4 русс,каз 16.03.11. посл 2" xfId="5393" xr:uid="{00000000-0005-0000-0000-000057110000}"/>
    <cellStyle name="_Приложение 02 русс на 16.04.2009 г. 1 сессия_Приложение 1-18 рус пост_прил4р_к_Приложение 4 русс,каз 16.03.11. посл_Приложение_рус _2012-2014_29,30" xfId="1966" xr:uid="{00000000-0005-0000-0000-000058110000}"/>
    <cellStyle name="_Приложение 02 русс на 16.04.2009 г. 1 сессия_Приложение 1-18 рус пост_прил4р_к_Приложение 4 русс,каз 16.03.11. посл_Приложение_рус _2012-2014_29,30 2" xfId="5394" xr:uid="{00000000-0005-0000-0000-000059110000}"/>
    <cellStyle name="_Приложение 02 русс на 16.04.2009 г. 1 сессия_Приложение 1-18 рус пост_прил4р_к_Приложение_пост_каз_авг" xfId="1967" xr:uid="{00000000-0005-0000-0000-00005A110000}"/>
    <cellStyle name="_Приложение 02 русс на 16.04.2009 г. 1 сессия_Приложение 1-18 рус пост_прил4р_к_Приложение_пост_каз_авг 2" xfId="5395" xr:uid="{00000000-0005-0000-0000-00005B110000}"/>
    <cellStyle name="_Приложение 02 русс на 16.04.2009 г. 1 сессия_Приложение 1-18 рус пост_прил4р_к_Приложение_пост_каз_авг_Анализ" xfId="1968" xr:uid="{00000000-0005-0000-0000-00005C110000}"/>
    <cellStyle name="_Приложение 02 русс на 16.04.2009 г. 1 сессия_Приложение 1-18 рус пост_прил4р_к_Приложение_пост_каз_авг_Анализ 2" xfId="5396" xr:uid="{00000000-0005-0000-0000-00005D110000}"/>
    <cellStyle name="_Приложение 02 русс на 16.04.2009 г. 1 сессия_Приложение 1-18 рус пост_прил4р_к_Приложение_пост_каз_авг_Анализ 3.03.2011г." xfId="3197" xr:uid="{00000000-0005-0000-0000-00005E110000}"/>
    <cellStyle name="_Приложение 02 русс на 16.04.2009 г. 1 сессия_Приложение 1-18 рус пост_прил4р_к_Приложение_пост_каз_авг_Анализ 6.03.2011г." xfId="3198" xr:uid="{00000000-0005-0000-0000-00005F110000}"/>
    <cellStyle name="_Приложение 02 русс на 16.04.2009 г. 1 сессия_Приложение 1-18 рус пост_прил4р_к_Приложение_пост_каз_авг_Анализ 9.03.2011г." xfId="3199" xr:uid="{00000000-0005-0000-0000-000060110000}"/>
    <cellStyle name="_Приложение 02 русс на 16.04.2009 г. 1 сессия_Приложение 1-18 рус пост_прил4р_к_Приложение_пост_каз_авг_Анализ_Приложение_рус _2012-2014_29,30" xfId="1969" xr:uid="{00000000-0005-0000-0000-000061110000}"/>
    <cellStyle name="_Приложение 02 русс на 16.04.2009 г. 1 сессия_Приложение 1-18 рус пост_прил4р_к_Приложение_пост_каз_авг_Анализ_Приложение_рус _2012-2014_29,30 2" xfId="5397" xr:uid="{00000000-0005-0000-0000-000062110000}"/>
    <cellStyle name="_Приложение 02 русс на 16.04.2009 г. 1 сессия_Приложение 1-18 рус пост_прил4р_к_Приложение_пост_каз_авг_Пр 4     11.05.11. ИКС" xfId="1970" xr:uid="{00000000-0005-0000-0000-000063110000}"/>
    <cellStyle name="_Приложение 02 русс на 16.04.2009 г. 1 сессия_Приложение 1-18 рус пост_прил4р_к_Приложение_пост_каз_авг_Пр 4     11.05.11. ИКС 2" xfId="5398" xr:uid="{00000000-0005-0000-0000-000064110000}"/>
    <cellStyle name="_Приложение 02 русс на 16.04.2009 г. 1 сессия_Приложение 1-18 рус пост_прил4р_к_Приложение_пост_каз_авг_Пр 4     11.05.11. ИКС_Приложение_рус _2012-2014_29,30" xfId="1971" xr:uid="{00000000-0005-0000-0000-000065110000}"/>
    <cellStyle name="_Приложение 02 русс на 16.04.2009 г. 1 сессия_Приложение 1-18 рус пост_прил4р_к_Приложение_пост_каз_авг_Пр 4     11.05.11. ИКС_Приложение_рус _2012-2014_29,30 2" xfId="5399" xr:uid="{00000000-0005-0000-0000-000066110000}"/>
    <cellStyle name="_Приложение 02 русс на 16.04.2009 г. 1 сессия_Приложение 1-18 рус пост_прил4р_к_Приложение_пост_каз_авг_Приложение 4 русс,каз 16.03.11. посл" xfId="1972" xr:uid="{00000000-0005-0000-0000-000067110000}"/>
    <cellStyle name="_Приложение 02 русс на 16.04.2009 г. 1 сессия_Приложение 1-18 рус пост_прил4р_к_Приложение_пост_каз_авг_Приложение 4 русс,каз 16.03.11. посл 2" xfId="5400" xr:uid="{00000000-0005-0000-0000-000068110000}"/>
    <cellStyle name="_Приложение 02 русс на 16.04.2009 г. 1 сессия_Приложение 1-18 рус пост_прил4р_к_Приложение_пост_каз_авг_Приложение 4 русс,каз 16.03.11. посл_Приложение_рус _2012-2014_29,30" xfId="1973" xr:uid="{00000000-0005-0000-0000-000069110000}"/>
    <cellStyle name="_Приложение 02 русс на 16.04.2009 г. 1 сессия_Приложение 1-18 рус пост_прил4р_к_Приложение_пост_каз_авг_Приложение 4 русс,каз 16.03.11. посл_Приложение_рус _2012-2014_29,30 2" xfId="5401" xr:uid="{00000000-0005-0000-0000-00006A110000}"/>
    <cellStyle name="_Приложение 02 русс на 16.04.2009 г. 1 сессия_Приложение 1-18 рус пост_прил4р_к_Приложение_пост_каз_авг_Приложение_реал_рус 2011-2013 Уточнение" xfId="1974" xr:uid="{00000000-0005-0000-0000-00006B110000}"/>
    <cellStyle name="_Приложение 02 русс на 16.04.2009 г. 1 сессия_Приложение 1-18 рус пост_прил4р_к_Приложение_пост_каз_авг_Приложение_реал_рус 2011-2013 Уточнение 2" xfId="5402" xr:uid="{00000000-0005-0000-0000-00006C110000}"/>
    <cellStyle name="_Приложение 02 русс на 16.04.2009 г. 1 сессия_Приложение 1-18 рус пост_прил4р_к_Приложение_пост_каз_авг_Приложение_реал_рус 2011-2013 Уточнение_Приложение_рус _2012-2014_29,30" xfId="1975" xr:uid="{00000000-0005-0000-0000-00006D110000}"/>
    <cellStyle name="_Приложение 02 русс на 16.04.2009 г. 1 сессия_Приложение 1-18 рус пост_прил4р_к_Приложение_пост_каз_авг_Приложение_реал_рус 2011-2013 Уточнение_Приложение_рус _2012-2014_29,30 2" xfId="5403" xr:uid="{00000000-0005-0000-0000-00006E110000}"/>
    <cellStyle name="_Приложение 02 русс на 16.04.2009 г. 1 сессия_Приложение 1-18 рус пост_прил4р_к_Приложение_пост_каз_авг_Приложение_рус _2012-2014_29,30" xfId="1976" xr:uid="{00000000-0005-0000-0000-00006F110000}"/>
    <cellStyle name="_Приложение 02 русс на 16.04.2009 г. 1 сессия_Приложение 1-18 рус пост_прил4р_к_Приложение_пост_каз_авг_Приложение_рус _2012-2014_29,30 2" xfId="5404" xr:uid="{00000000-0005-0000-0000-000070110000}"/>
    <cellStyle name="_Приложение 02 русс на 16.04.2009 г. 1 сессия_Приложение 1-18 рус пост_прил4р_к_Приложение_пост_каз_авг_приложения 2012 рус" xfId="1977" xr:uid="{00000000-0005-0000-0000-000071110000}"/>
    <cellStyle name="_Приложение 02 русс на 16.04.2009 г. 1 сессия_Приложение 1-18 рус пост_прил4р_к_Приложение_пост_каз_авг_приложения 2012 рус 2" xfId="5405" xr:uid="{00000000-0005-0000-0000-000072110000}"/>
    <cellStyle name="_Приложение 02 русс на 16.04.2009 г. 1 сессия_Приложение 1-18 рус пост_прил4р_к_Приложение_пост_рус_авг" xfId="1978" xr:uid="{00000000-0005-0000-0000-000073110000}"/>
    <cellStyle name="_Приложение 02 русс на 16.04.2009 г. 1 сессия_Приложение 1-18 рус пост_прил4р_к_Приложение_пост_рус_авг 2" xfId="5406" xr:uid="{00000000-0005-0000-0000-000074110000}"/>
    <cellStyle name="_Приложение 02 русс на 16.04.2009 г. 1 сессия_Приложение 1-18 рус пост_прил4р_к_Приложение_пост_рус_авг_Анализ" xfId="1979" xr:uid="{00000000-0005-0000-0000-000075110000}"/>
    <cellStyle name="_Приложение 02 русс на 16.04.2009 г. 1 сессия_Приложение 1-18 рус пост_прил4р_к_Приложение_пост_рус_авг_Анализ 2" xfId="5407" xr:uid="{00000000-0005-0000-0000-000076110000}"/>
    <cellStyle name="_Приложение 02 русс на 16.04.2009 г. 1 сессия_Приложение 1-18 рус пост_прил4р_к_Приложение_пост_рус_авг_Анализ 3.03.2011г." xfId="3200" xr:uid="{00000000-0005-0000-0000-000077110000}"/>
    <cellStyle name="_Приложение 02 русс на 16.04.2009 г. 1 сессия_Приложение 1-18 рус пост_прил4р_к_Приложение_пост_рус_авг_Анализ 6.03.2011г." xfId="3201" xr:uid="{00000000-0005-0000-0000-000078110000}"/>
    <cellStyle name="_Приложение 02 русс на 16.04.2009 г. 1 сессия_Приложение 1-18 рус пост_прил4р_к_Приложение_пост_рус_авг_Анализ 9.03.2011г." xfId="3202" xr:uid="{00000000-0005-0000-0000-000079110000}"/>
    <cellStyle name="_Приложение 02 русс на 16.04.2009 г. 1 сессия_Приложение 1-18 рус пост_прил4р_к_Приложение_пост_рус_авг_Анализ_Приложение_рус _2012-2014_29,30" xfId="1980" xr:uid="{00000000-0005-0000-0000-00007A110000}"/>
    <cellStyle name="_Приложение 02 русс на 16.04.2009 г. 1 сессия_Приложение 1-18 рус пост_прил4р_к_Приложение_пост_рус_авг_Анализ_Приложение_рус _2012-2014_29,30 2" xfId="5408" xr:uid="{00000000-0005-0000-0000-00007B110000}"/>
    <cellStyle name="_Приложение 02 русс на 16.04.2009 г. 1 сессия_Приложение 1-18 рус пост_прил4р_к_Приложение_пост_рус_авг_Пр 4     11.05.11. ИКС" xfId="1981" xr:uid="{00000000-0005-0000-0000-00007C110000}"/>
    <cellStyle name="_Приложение 02 русс на 16.04.2009 г. 1 сессия_Приложение 1-18 рус пост_прил4р_к_Приложение_пост_рус_авг_Пр 4     11.05.11. ИКС 2" xfId="5409" xr:uid="{00000000-0005-0000-0000-00007D110000}"/>
    <cellStyle name="_Приложение 02 русс на 16.04.2009 г. 1 сессия_Приложение 1-18 рус пост_прил4р_к_Приложение_пост_рус_авг_Пр 4     11.05.11. ИКС_Приложение_рус _2012-2014_29,30" xfId="1982" xr:uid="{00000000-0005-0000-0000-00007E110000}"/>
    <cellStyle name="_Приложение 02 русс на 16.04.2009 г. 1 сессия_Приложение 1-18 рус пост_прил4р_к_Приложение_пост_рус_авг_Пр 4     11.05.11. ИКС_Приложение_рус _2012-2014_29,30 2" xfId="5410" xr:uid="{00000000-0005-0000-0000-00007F110000}"/>
    <cellStyle name="_Приложение 02 русс на 16.04.2009 г. 1 сессия_Приложение 1-18 рус пост_прил4р_к_Приложение_пост_рус_авг_Приложение 4 русс,каз 16.03.11. посл" xfId="1983" xr:uid="{00000000-0005-0000-0000-000080110000}"/>
    <cellStyle name="_Приложение 02 русс на 16.04.2009 г. 1 сессия_Приложение 1-18 рус пост_прил4р_к_Приложение_пост_рус_авг_Приложение 4 русс,каз 16.03.11. посл 2" xfId="5411" xr:uid="{00000000-0005-0000-0000-000081110000}"/>
    <cellStyle name="_Приложение 02 русс на 16.04.2009 г. 1 сессия_Приложение 1-18 рус пост_прил4р_к_Приложение_пост_рус_авг_Приложение 4 русс,каз 16.03.11. посл_Приложение_рус _2012-2014_29,30" xfId="1984" xr:uid="{00000000-0005-0000-0000-000082110000}"/>
    <cellStyle name="_Приложение 02 русс на 16.04.2009 г. 1 сессия_Приложение 1-18 рус пост_прил4р_к_Приложение_пост_рус_авг_Приложение 4 русс,каз 16.03.11. посл_Приложение_рус _2012-2014_29,30 2" xfId="5412" xr:uid="{00000000-0005-0000-0000-000083110000}"/>
    <cellStyle name="_Приложение 02 русс на 16.04.2009 г. 1 сессия_Приложение 1-18 рус пост_прил4р_к_Приложение_пост_рус_авг_Приложение_реал_рус 2011-2013 Уточнение" xfId="1985" xr:uid="{00000000-0005-0000-0000-000084110000}"/>
    <cellStyle name="_Приложение 02 русс на 16.04.2009 г. 1 сессия_Приложение 1-18 рус пост_прил4р_к_Приложение_пост_рус_авг_Приложение_реал_рус 2011-2013 Уточнение 2" xfId="5413" xr:uid="{00000000-0005-0000-0000-000085110000}"/>
    <cellStyle name="_Приложение 02 русс на 16.04.2009 г. 1 сессия_Приложение 1-18 рус пост_прил4р_к_Приложение_пост_рус_авг_Приложение_реал_рус 2011-2013 Уточнение_Приложение_рус _2012-2014_29,30" xfId="1986" xr:uid="{00000000-0005-0000-0000-000086110000}"/>
    <cellStyle name="_Приложение 02 русс на 16.04.2009 г. 1 сессия_Приложение 1-18 рус пост_прил4р_к_Приложение_пост_рус_авг_Приложение_реал_рус 2011-2013 Уточнение_Приложение_рус _2012-2014_29,30 2" xfId="5414" xr:uid="{00000000-0005-0000-0000-000087110000}"/>
    <cellStyle name="_Приложение 02 русс на 16.04.2009 г. 1 сессия_Приложение 1-18 рус пост_прил4р_к_Приложение_пост_рус_авг_Приложение_рус _2012-2014_29,30" xfId="1987" xr:uid="{00000000-0005-0000-0000-000088110000}"/>
    <cellStyle name="_Приложение 02 русс на 16.04.2009 г. 1 сессия_Приложение 1-18 рус пост_прил4р_к_Приложение_пост_рус_авг_Приложение_рус _2012-2014_29,30 2" xfId="5415" xr:uid="{00000000-0005-0000-0000-000089110000}"/>
    <cellStyle name="_Приложение 02 русс на 16.04.2009 г. 1 сессия_Приложение 1-18 рус пост_прил4р_к_Приложение_пост_рус_авг_приложения 2012 рус" xfId="1988" xr:uid="{00000000-0005-0000-0000-00008A110000}"/>
    <cellStyle name="_Приложение 02 русс на 16.04.2009 г. 1 сессия_Приложение 1-18 рус пост_прил4р_к_Приложение_пост_рус_авг_приложения 2012 рус 2" xfId="5416" xr:uid="{00000000-0005-0000-0000-00008B110000}"/>
    <cellStyle name="_Приложение 02 русс на 16.04.2009 г. 1 сессия_Приложение 1-18 рус пост_прил4р_к_Приложение_реал_рус 2011-2013 Уточнение" xfId="1989" xr:uid="{00000000-0005-0000-0000-00008C110000}"/>
    <cellStyle name="_Приложение 02 русс на 16.04.2009 г. 1 сессия_Приложение 1-18 рус пост_прил4р_к_Приложение_реал_рус 2011-2013 Уточнение 2" xfId="5417" xr:uid="{00000000-0005-0000-0000-00008D110000}"/>
    <cellStyle name="_Приложение 02 русс на 16.04.2009 г. 1 сессия_Приложение 1-18 рус пост_прил4р_к_Приложение_реал_рус 2011-2013 Уточнение_Приложение_рус _2012-2014_29,30" xfId="1990" xr:uid="{00000000-0005-0000-0000-00008E110000}"/>
    <cellStyle name="_Приложение 02 русс на 16.04.2009 г. 1 сессия_Приложение 1-18 рус пост_прил4р_к_Приложение_реал_рус 2011-2013 Уточнение_Приложение_рус _2012-2014_29,30 2" xfId="5418" xr:uid="{00000000-0005-0000-0000-00008F110000}"/>
    <cellStyle name="_Приложение 02 русс на 16.04.2009 г. 1 сессия_Приложение 1-18 рус пост_прил4р_к_Приложение_рус _2012-2014_29,30" xfId="1991" xr:uid="{00000000-0005-0000-0000-000090110000}"/>
    <cellStyle name="_Приложение 02 русс на 16.04.2009 г. 1 сессия_Приложение 1-18 рус пост_прил4р_к_Приложение_рус _2012-2014_29,30 2" xfId="5419" xr:uid="{00000000-0005-0000-0000-000091110000}"/>
    <cellStyle name="_Приложение 02 русс на 16.04.2009 г. 1 сессия_Приложение 1-18 рус пост_прил4р_к_приложения 2012 рус" xfId="1992" xr:uid="{00000000-0005-0000-0000-000092110000}"/>
    <cellStyle name="_Приложение 02 русс на 16.04.2009 г. 1 сессия_Приложение 1-18 рус пост_прил4р_к_приложения 2012 рус 2" xfId="5420" xr:uid="{00000000-0005-0000-0000-000093110000}"/>
    <cellStyle name="_Приложение 02 русс на 16.04.2009 г. 1 сессия_Приложение 1-18 рус пост_Приложение реш 2010-2012каз_РБ" xfId="1993" xr:uid="{00000000-0005-0000-0000-000094110000}"/>
    <cellStyle name="_Приложение 02 русс на 16.04.2009 г. 1 сессия_Приложение 1-18 рус пост_Приложение реш 2010-2012каз_РБ 2" xfId="1994" xr:uid="{00000000-0005-0000-0000-000095110000}"/>
    <cellStyle name="_Приложение 02 русс на 16.04.2009 г. 1 сессия_Приложение 1-18 рус пост_Приложение реш 2010-2012каз_РБ 2 2" xfId="5422" xr:uid="{00000000-0005-0000-0000-000096110000}"/>
    <cellStyle name="_Приложение 02 русс на 16.04.2009 г. 1 сессия_Приложение 1-18 рус пост_Приложение реш 2010-2012каз_РБ 3" xfId="5421" xr:uid="{00000000-0005-0000-0000-000097110000}"/>
    <cellStyle name="_Приложение 02 русс на 16.04.2009 г. 1 сессия_Приложение 1-18 рус пост_Приложение реш 2010-2012каз_РБ_Анализ" xfId="1995" xr:uid="{00000000-0005-0000-0000-000098110000}"/>
    <cellStyle name="_Приложение 02 русс на 16.04.2009 г. 1 сессия_Приложение 1-18 рус пост_Приложение реш 2010-2012каз_РБ_Анализ 2" xfId="5423" xr:uid="{00000000-0005-0000-0000-000099110000}"/>
    <cellStyle name="_Приложение 02 русс на 16.04.2009 г. 1 сессия_Приложение 1-18 рус пост_Приложение реш 2010-2012каз_РБ_Анализ 3.03.2011г." xfId="3203" xr:uid="{00000000-0005-0000-0000-00009A110000}"/>
    <cellStyle name="_Приложение 02 русс на 16.04.2009 г. 1 сессия_Приложение 1-18 рус пост_Приложение реш 2010-2012каз_РБ_Анализ 6.03.2011г." xfId="3204" xr:uid="{00000000-0005-0000-0000-00009B110000}"/>
    <cellStyle name="_Приложение 02 русс на 16.04.2009 г. 1 сессия_Приложение 1-18 рус пост_Приложение реш 2010-2012каз_РБ_Анализ 9.03.2011г." xfId="3205" xr:uid="{00000000-0005-0000-0000-00009C110000}"/>
    <cellStyle name="_Приложение 02 русс на 16.04.2009 г. 1 сессия_Приложение 1-18 рус пост_Приложение реш 2010-2012каз_РБ_Анализ_Приложение_рус _2012-2014_29,30" xfId="1996" xr:uid="{00000000-0005-0000-0000-00009D110000}"/>
    <cellStyle name="_Приложение 02 русс на 16.04.2009 г. 1 сессия_Приложение 1-18 рус пост_Приложение реш 2010-2012каз_РБ_Анализ_Приложение_рус _2012-2014_29,30 2" xfId="5424" xr:uid="{00000000-0005-0000-0000-00009E110000}"/>
    <cellStyle name="_Приложение 02 русс на 16.04.2009 г. 1 сессия_Приложение 1-18 рус пост_Приложение реш 2010-2012каз_РБ_Пр 4     11.05.11. ИКС" xfId="1997" xr:uid="{00000000-0005-0000-0000-00009F110000}"/>
    <cellStyle name="_Приложение 02 русс на 16.04.2009 г. 1 сессия_Приложение 1-18 рус пост_Приложение реш 2010-2012каз_РБ_Пр 4     11.05.11. ИКС 2" xfId="5425" xr:uid="{00000000-0005-0000-0000-0000A0110000}"/>
    <cellStyle name="_Приложение 02 русс на 16.04.2009 г. 1 сессия_Приложение 1-18 рус пост_Приложение реш 2010-2012каз_РБ_Пр 4     11.05.11. ИКС_Приложение_рус _2012-2014_29,30" xfId="1998" xr:uid="{00000000-0005-0000-0000-0000A1110000}"/>
    <cellStyle name="_Приложение 02 русс на 16.04.2009 г. 1 сессия_Приложение 1-18 рус пост_Приложение реш 2010-2012каз_РБ_Пр 4     11.05.11. ИКС_Приложение_рус _2012-2014_29,30 2" xfId="5426" xr:uid="{00000000-0005-0000-0000-0000A2110000}"/>
    <cellStyle name="_Приложение 02 русс на 16.04.2009 г. 1 сессия_Приложение 1-18 рус пост_Приложение реш 2010-2012каз_РБ_Приложение 4 русс,каз 16.03.11. посл" xfId="1999" xr:uid="{00000000-0005-0000-0000-0000A3110000}"/>
    <cellStyle name="_Приложение 02 русс на 16.04.2009 г. 1 сессия_Приложение 1-18 рус пост_Приложение реш 2010-2012каз_РБ_Приложение 4 русс,каз 16.03.11. посл 2" xfId="5427" xr:uid="{00000000-0005-0000-0000-0000A4110000}"/>
    <cellStyle name="_Приложение 02 русс на 16.04.2009 г. 1 сессия_Приложение 1-18 рус пост_Приложение реш 2010-2012каз_РБ_Приложение 4 русс,каз 16.03.11. посл_Приложение_рус _2012-2014_29,30" xfId="2000" xr:uid="{00000000-0005-0000-0000-0000A5110000}"/>
    <cellStyle name="_Приложение 02 русс на 16.04.2009 г. 1 сессия_Приложение 1-18 рус пост_Приложение реш 2010-2012каз_РБ_Приложение 4 русс,каз 16.03.11. посл_Приложение_рус _2012-2014_29,30 2" xfId="5428" xr:uid="{00000000-0005-0000-0000-0000A6110000}"/>
    <cellStyle name="_Приложение 02 русс на 16.04.2009 г. 1 сессия_Приложение 1-18 рус пост_Приложение реш 2010-2012каз_РБ_Приложение_пост_каз_авг" xfId="2001" xr:uid="{00000000-0005-0000-0000-0000A7110000}"/>
    <cellStyle name="_Приложение 02 русс на 16.04.2009 г. 1 сессия_Приложение 1-18 рус пост_Приложение реш 2010-2012каз_РБ_Приложение_пост_каз_авг 2" xfId="5429" xr:uid="{00000000-0005-0000-0000-0000A8110000}"/>
    <cellStyle name="_Приложение 02 русс на 16.04.2009 г. 1 сессия_Приложение 1-18 рус пост_Приложение реш 2010-2012каз_РБ_Приложение_пост_каз_авг_Анализ" xfId="2002" xr:uid="{00000000-0005-0000-0000-0000A9110000}"/>
    <cellStyle name="_Приложение 02 русс на 16.04.2009 г. 1 сессия_Приложение 1-18 рус пост_Приложение реш 2010-2012каз_РБ_Приложение_пост_каз_авг_Анализ 2" xfId="5430" xr:uid="{00000000-0005-0000-0000-0000AA110000}"/>
    <cellStyle name="_Приложение 02 русс на 16.04.2009 г. 1 сессия_Приложение 1-18 рус пост_Приложение реш 2010-2012каз_РБ_Приложение_пост_каз_авг_Анализ 3.03.2011г." xfId="3206" xr:uid="{00000000-0005-0000-0000-0000AB110000}"/>
    <cellStyle name="_Приложение 02 русс на 16.04.2009 г. 1 сессия_Приложение 1-18 рус пост_Приложение реш 2010-2012каз_РБ_Приложение_пост_каз_авг_Анализ 6.03.2011г." xfId="3207" xr:uid="{00000000-0005-0000-0000-0000AC110000}"/>
    <cellStyle name="_Приложение 02 русс на 16.04.2009 г. 1 сессия_Приложение 1-18 рус пост_Приложение реш 2010-2012каз_РБ_Приложение_пост_каз_авг_Анализ 9.03.2011г." xfId="3208" xr:uid="{00000000-0005-0000-0000-0000AD110000}"/>
    <cellStyle name="_Приложение 02 русс на 16.04.2009 г. 1 сессия_Приложение 1-18 рус пост_Приложение реш 2010-2012каз_РБ_Приложение_пост_каз_авг_Анализ_Приложение_рус _2012-2014_29,30" xfId="2003" xr:uid="{00000000-0005-0000-0000-0000AE110000}"/>
    <cellStyle name="_Приложение 02 русс на 16.04.2009 г. 1 сессия_Приложение 1-18 рус пост_Приложение реш 2010-2012каз_РБ_Приложение_пост_каз_авг_Анализ_Приложение_рус _2012-2014_29,30 2" xfId="5431" xr:uid="{00000000-0005-0000-0000-0000AF110000}"/>
    <cellStyle name="_Приложение 02 русс на 16.04.2009 г. 1 сессия_Приложение 1-18 рус пост_Приложение реш 2010-2012каз_РБ_Приложение_пост_каз_авг_Пр 4     11.05.11. ИКС" xfId="2004" xr:uid="{00000000-0005-0000-0000-0000B0110000}"/>
    <cellStyle name="_Приложение 02 русс на 16.04.2009 г. 1 сессия_Приложение 1-18 рус пост_Приложение реш 2010-2012каз_РБ_Приложение_пост_каз_авг_Пр 4     11.05.11. ИКС 2" xfId="5432" xr:uid="{00000000-0005-0000-0000-0000B1110000}"/>
    <cellStyle name="_Приложение 02 русс на 16.04.2009 г. 1 сессия_Приложение 1-18 рус пост_Приложение реш 2010-2012каз_РБ_Приложение_пост_каз_авг_Пр 4     11.05.11. ИКС_Приложение_рус _2012-2014_29,30" xfId="2005" xr:uid="{00000000-0005-0000-0000-0000B2110000}"/>
    <cellStyle name="_Приложение 02 русс на 16.04.2009 г. 1 сессия_Приложение 1-18 рус пост_Приложение реш 2010-2012каз_РБ_Приложение_пост_каз_авг_Пр 4     11.05.11. ИКС_Приложение_рус _2012-2014_29,30 2" xfId="5433" xr:uid="{00000000-0005-0000-0000-0000B3110000}"/>
    <cellStyle name="_Приложение 02 русс на 16.04.2009 г. 1 сессия_Приложение 1-18 рус пост_Приложение реш 2010-2012каз_РБ_Приложение_пост_каз_авг_Приложение 4 русс,каз 16.03.11. посл" xfId="2006" xr:uid="{00000000-0005-0000-0000-0000B4110000}"/>
    <cellStyle name="_Приложение 02 русс на 16.04.2009 г. 1 сессия_Приложение 1-18 рус пост_Приложение реш 2010-2012каз_РБ_Приложение_пост_каз_авг_Приложение 4 русс,каз 16.03.11. посл 2" xfId="5434" xr:uid="{00000000-0005-0000-0000-0000B5110000}"/>
    <cellStyle name="_Приложение 02 русс на 16.04.2009 г. 1 сессия_Приложение 1-18 рус пост_Приложение реш 2010-2012каз_РБ_Приложение_пост_каз_авг_Приложение 4 русс,каз 16.03.11. посл_Приложение_рус _2012-2014_29,30" xfId="2007" xr:uid="{00000000-0005-0000-0000-0000B6110000}"/>
    <cellStyle name="_Приложение 02 русс на 16.04.2009 г. 1 сессия_Приложение 1-18 рус пост_Приложение реш 2010-2012каз_РБ_Приложение_пост_каз_авг_Приложение 4 русс,каз 16.03.11. посл_Приложение_рус _2012-2014_29,30 2" xfId="5435" xr:uid="{00000000-0005-0000-0000-0000B7110000}"/>
    <cellStyle name="_Приложение 02 русс на 16.04.2009 г. 1 сессия_Приложение 1-18 рус пост_Приложение реш 2010-2012каз_РБ_Приложение_пост_каз_авг_Приложение_реал_рус 2011-2013 Уточнение" xfId="2008" xr:uid="{00000000-0005-0000-0000-0000B8110000}"/>
    <cellStyle name="_Приложение 02 русс на 16.04.2009 г. 1 сессия_Приложение 1-18 рус пост_Приложение реш 2010-2012каз_РБ_Приложение_пост_каз_авг_Приложение_реал_рус 2011-2013 Уточнение 2" xfId="5436" xr:uid="{00000000-0005-0000-0000-0000B9110000}"/>
    <cellStyle name="_Приложение 02 русс на 16.04.2009 г. 1 сессия_Приложение 1-18 рус пост_Приложение реш 2010-2012каз_РБ_Приложение_пост_каз_авг_Приложение_реал_рус 2011-2013 Уточнение_Приложение_рус _2012-2014_29,30" xfId="2009" xr:uid="{00000000-0005-0000-0000-0000BA110000}"/>
    <cellStyle name="_Приложение 02 русс на 16.04.2009 г. 1 сессия_Приложение 1-18 рус пост_Приложение реш 2010-2012каз_РБ_Приложение_пост_каз_авг_Приложение_реал_рус 2011-2013 Уточнение_Приложение_рус _2012-2014_29,30 2" xfId="5437" xr:uid="{00000000-0005-0000-0000-0000BB110000}"/>
    <cellStyle name="_Приложение 02 русс на 16.04.2009 г. 1 сессия_Приложение 1-18 рус пост_Приложение реш 2010-2012каз_РБ_Приложение_пост_каз_авг_Приложение_рус _2012-2014_29,30" xfId="2010" xr:uid="{00000000-0005-0000-0000-0000BC110000}"/>
    <cellStyle name="_Приложение 02 русс на 16.04.2009 г. 1 сессия_Приложение 1-18 рус пост_Приложение реш 2010-2012каз_РБ_Приложение_пост_каз_авг_Приложение_рус _2012-2014_29,30 2" xfId="5438" xr:uid="{00000000-0005-0000-0000-0000BD110000}"/>
    <cellStyle name="_Приложение 02 русс на 16.04.2009 г. 1 сессия_Приложение 1-18 рус пост_Приложение реш 2010-2012каз_РБ_Приложение_пост_каз_авг_приложения 2012 рус" xfId="2011" xr:uid="{00000000-0005-0000-0000-0000BE110000}"/>
    <cellStyle name="_Приложение 02 русс на 16.04.2009 г. 1 сессия_Приложение 1-18 рус пост_Приложение реш 2010-2012каз_РБ_Приложение_пост_каз_авг_приложения 2012 рус 2" xfId="5439" xr:uid="{00000000-0005-0000-0000-0000BF110000}"/>
    <cellStyle name="_Приложение 02 русс на 16.04.2009 г. 1 сессия_Приложение 1-18 рус пост_Приложение реш 2010-2012каз_РБ_Приложение_пост_рус_авг" xfId="2012" xr:uid="{00000000-0005-0000-0000-0000C0110000}"/>
    <cellStyle name="_Приложение 02 русс на 16.04.2009 г. 1 сессия_Приложение 1-18 рус пост_Приложение реш 2010-2012каз_РБ_Приложение_пост_рус_авг 2" xfId="5440" xr:uid="{00000000-0005-0000-0000-0000C1110000}"/>
    <cellStyle name="_Приложение 02 русс на 16.04.2009 г. 1 сессия_Приложение 1-18 рус пост_Приложение реш 2010-2012каз_РБ_Приложение_пост_рус_авг_Анализ" xfId="2013" xr:uid="{00000000-0005-0000-0000-0000C2110000}"/>
    <cellStyle name="_Приложение 02 русс на 16.04.2009 г. 1 сессия_Приложение 1-18 рус пост_Приложение реш 2010-2012каз_РБ_Приложение_пост_рус_авг_Анализ 2" xfId="5441" xr:uid="{00000000-0005-0000-0000-0000C3110000}"/>
    <cellStyle name="_Приложение 02 русс на 16.04.2009 г. 1 сессия_Приложение 1-18 рус пост_Приложение реш 2010-2012каз_РБ_Приложение_пост_рус_авг_Анализ 3.03.2011г." xfId="3209" xr:uid="{00000000-0005-0000-0000-0000C4110000}"/>
    <cellStyle name="_Приложение 02 русс на 16.04.2009 г. 1 сессия_Приложение 1-18 рус пост_Приложение реш 2010-2012каз_РБ_Приложение_пост_рус_авг_Анализ 6.03.2011г." xfId="3210" xr:uid="{00000000-0005-0000-0000-0000C5110000}"/>
    <cellStyle name="_Приложение 02 русс на 16.04.2009 г. 1 сессия_Приложение 1-18 рус пост_Приложение реш 2010-2012каз_РБ_Приложение_пост_рус_авг_Анализ 9.03.2011г." xfId="3211" xr:uid="{00000000-0005-0000-0000-0000C6110000}"/>
    <cellStyle name="_Приложение 02 русс на 16.04.2009 г. 1 сессия_Приложение 1-18 рус пост_Приложение реш 2010-2012каз_РБ_Приложение_пост_рус_авг_Анализ_Приложение_рус _2012-2014_29,30" xfId="2014" xr:uid="{00000000-0005-0000-0000-0000C7110000}"/>
    <cellStyle name="_Приложение 02 русс на 16.04.2009 г. 1 сессия_Приложение 1-18 рус пост_Приложение реш 2010-2012каз_РБ_Приложение_пост_рус_авг_Анализ_Приложение_рус _2012-2014_29,30 2" xfId="5442" xr:uid="{00000000-0005-0000-0000-0000C8110000}"/>
    <cellStyle name="_Приложение 02 русс на 16.04.2009 г. 1 сессия_Приложение 1-18 рус пост_Приложение реш 2010-2012каз_РБ_Приложение_пост_рус_авг_Пр 4     11.05.11. ИКС" xfId="2015" xr:uid="{00000000-0005-0000-0000-0000C9110000}"/>
    <cellStyle name="_Приложение 02 русс на 16.04.2009 г. 1 сессия_Приложение 1-18 рус пост_Приложение реш 2010-2012каз_РБ_Приложение_пост_рус_авг_Пр 4     11.05.11. ИКС 2" xfId="5443" xr:uid="{00000000-0005-0000-0000-0000CA110000}"/>
    <cellStyle name="_Приложение 02 русс на 16.04.2009 г. 1 сессия_Приложение 1-18 рус пост_Приложение реш 2010-2012каз_РБ_Приложение_пост_рус_авг_Пр 4     11.05.11. ИКС_Приложение_рус _2012-2014_29,30" xfId="2016" xr:uid="{00000000-0005-0000-0000-0000CB110000}"/>
    <cellStyle name="_Приложение 02 русс на 16.04.2009 г. 1 сессия_Приложение 1-18 рус пост_Приложение реш 2010-2012каз_РБ_Приложение_пост_рус_авг_Пр 4     11.05.11. ИКС_Приложение_рус _2012-2014_29,30 2" xfId="5444" xr:uid="{00000000-0005-0000-0000-0000CC110000}"/>
    <cellStyle name="_Приложение 02 русс на 16.04.2009 г. 1 сессия_Приложение 1-18 рус пост_Приложение реш 2010-2012каз_РБ_Приложение_пост_рус_авг_Приложение 4 русс,каз 16.03.11. посл" xfId="2017" xr:uid="{00000000-0005-0000-0000-0000CD110000}"/>
    <cellStyle name="_Приложение 02 русс на 16.04.2009 г. 1 сессия_Приложение 1-18 рус пост_Приложение реш 2010-2012каз_РБ_Приложение_пост_рус_авг_Приложение 4 русс,каз 16.03.11. посл 2" xfId="5445" xr:uid="{00000000-0005-0000-0000-0000CE110000}"/>
    <cellStyle name="_Приложение 02 русс на 16.04.2009 г. 1 сессия_Приложение 1-18 рус пост_Приложение реш 2010-2012каз_РБ_Приложение_пост_рус_авг_Приложение 4 русс,каз 16.03.11. посл_Приложение_рус _2012-2014_29,30" xfId="2018" xr:uid="{00000000-0005-0000-0000-0000CF110000}"/>
    <cellStyle name="_Приложение 02 русс на 16.04.2009 г. 1 сессия_Приложение 1-18 рус пост_Приложение реш 2010-2012каз_РБ_Приложение_пост_рус_авг_Приложение 4 русс,каз 16.03.11. посл_Приложение_рус _2012-2014_29,30 2" xfId="5446" xr:uid="{00000000-0005-0000-0000-0000D0110000}"/>
    <cellStyle name="_Приложение 02 русс на 16.04.2009 г. 1 сессия_Приложение 1-18 рус пост_Приложение реш 2010-2012каз_РБ_Приложение_пост_рус_авг_Приложение_реал_рус 2011-2013 Уточнение" xfId="2019" xr:uid="{00000000-0005-0000-0000-0000D1110000}"/>
    <cellStyle name="_Приложение 02 русс на 16.04.2009 г. 1 сессия_Приложение 1-18 рус пост_Приложение реш 2010-2012каз_РБ_Приложение_пост_рус_авг_Приложение_реал_рус 2011-2013 Уточнение 2" xfId="5447" xr:uid="{00000000-0005-0000-0000-0000D2110000}"/>
    <cellStyle name="_Приложение 02 русс на 16.04.2009 г. 1 сессия_Приложение 1-18 рус пост_Приложение реш 2010-2012каз_РБ_Приложение_пост_рус_авг_Приложение_реал_рус 2011-2013 Уточнение_Приложение_рус _2012-2014_29,30" xfId="2020" xr:uid="{00000000-0005-0000-0000-0000D3110000}"/>
    <cellStyle name="_Приложение 02 русс на 16.04.2009 г. 1 сессия_Приложение 1-18 рус пост_Приложение реш 2010-2012каз_РБ_Приложение_пост_рус_авг_Приложение_реал_рус 2011-2013 Уточнение_Приложение_рус _2012-2014_29,30 2" xfId="5448" xr:uid="{00000000-0005-0000-0000-0000D4110000}"/>
    <cellStyle name="_Приложение 02 русс на 16.04.2009 г. 1 сессия_Приложение 1-18 рус пост_Приложение реш 2010-2012каз_РБ_Приложение_пост_рус_авг_Приложение_рус _2012-2014_29,30" xfId="2021" xr:uid="{00000000-0005-0000-0000-0000D5110000}"/>
    <cellStyle name="_Приложение 02 русс на 16.04.2009 г. 1 сессия_Приложение 1-18 рус пост_Приложение реш 2010-2012каз_РБ_Приложение_пост_рус_авг_Приложение_рус _2012-2014_29,30 2" xfId="5449" xr:uid="{00000000-0005-0000-0000-0000D6110000}"/>
    <cellStyle name="_Приложение 02 русс на 16.04.2009 г. 1 сессия_Приложение 1-18 рус пост_Приложение реш 2010-2012каз_РБ_Приложение_пост_рус_авг_приложения 2012 рус" xfId="2022" xr:uid="{00000000-0005-0000-0000-0000D7110000}"/>
    <cellStyle name="_Приложение 02 русс на 16.04.2009 г. 1 сессия_Приложение 1-18 рус пост_Приложение реш 2010-2012каз_РБ_Приложение_пост_рус_авг_приложения 2012 рус 2" xfId="5450" xr:uid="{00000000-0005-0000-0000-0000D8110000}"/>
    <cellStyle name="_Приложение 02 русс на 16.04.2009 г. 1 сессия_Приложение 1-18 рус пост_Приложение реш 2010-2012каз_РБ_Приложение_реал_рус 2011-2013 Уточнение" xfId="2023" xr:uid="{00000000-0005-0000-0000-0000D9110000}"/>
    <cellStyle name="_Приложение 02 русс на 16.04.2009 г. 1 сессия_Приложение 1-18 рус пост_Приложение реш 2010-2012каз_РБ_Приложение_реал_рус 2011-2013 Уточнение 2" xfId="5451" xr:uid="{00000000-0005-0000-0000-0000DA110000}"/>
    <cellStyle name="_Приложение 02 русс на 16.04.2009 г. 1 сессия_Приложение 1-18 рус пост_Приложение реш 2010-2012каз_РБ_Приложение_реал_рус 2011-2013 Уточнение_Приложение_рус _2012-2014_29,30" xfId="2024" xr:uid="{00000000-0005-0000-0000-0000DB110000}"/>
    <cellStyle name="_Приложение 02 русс на 16.04.2009 г. 1 сессия_Приложение 1-18 рус пост_Приложение реш 2010-2012каз_РБ_Приложение_реал_рус 2011-2013 Уточнение_Приложение_рус _2012-2014_29,30 2" xfId="5452" xr:uid="{00000000-0005-0000-0000-0000DC110000}"/>
    <cellStyle name="_Приложение 02 русс на 16.04.2009 г. 1 сессия_Приложение 1-18 рус пост_Приложение реш 2010-2012каз_РБ_Приложение_рус _2012-2014_29,30" xfId="2025" xr:uid="{00000000-0005-0000-0000-0000DD110000}"/>
    <cellStyle name="_Приложение 02 русс на 16.04.2009 г. 1 сессия_Приложение 1-18 рус пост_Приложение реш 2010-2012каз_РБ_Приложение_рус _2012-2014_29,30 2" xfId="5453" xr:uid="{00000000-0005-0000-0000-0000DE110000}"/>
    <cellStyle name="_Приложение 02 русс на 16.04.2009 г. 1 сессия_Приложение 1-18 рус пост_Приложение реш 2010-2012каз_РБ_приложения 2012 рус" xfId="2026" xr:uid="{00000000-0005-0000-0000-0000DF110000}"/>
    <cellStyle name="_Приложение 02 русс на 16.04.2009 г. 1 сессия_Приложение 1-18 рус пост_Приложение реш 2010-2012каз_РБ_приложения 2012 рус 2" xfId="5454" xr:uid="{00000000-0005-0000-0000-0000E0110000}"/>
    <cellStyle name="_Приложение 02 русс на 16.04.2009 г. 1 сессия_Приложение 1-18 рус пост_Приложение_2010-2012 каз 04.08.10_ДК-2020" xfId="2027" xr:uid="{00000000-0005-0000-0000-0000E1110000}"/>
    <cellStyle name="_Приложение 02 русс на 16.04.2009 г. 1 сессия_Приложение 1-18 рус пост_Приложение_2010-2012 каз 04.08.10_ДК-2020 2" xfId="5455" xr:uid="{00000000-0005-0000-0000-0000E2110000}"/>
    <cellStyle name="_Приложение 02 русс на 16.04.2009 г. 1 сессия_Приложение 1-18 рус пост_Приложение_2010-2012 каз 04.08.10_ДК-2020_Анализ" xfId="2028" xr:uid="{00000000-0005-0000-0000-0000E3110000}"/>
    <cellStyle name="_Приложение 02 русс на 16.04.2009 г. 1 сессия_Приложение 1-18 рус пост_Приложение_2010-2012 каз 04.08.10_ДК-2020_Анализ 2" xfId="5456" xr:uid="{00000000-0005-0000-0000-0000E4110000}"/>
    <cellStyle name="_Приложение 02 русс на 16.04.2009 г. 1 сессия_Приложение 1-18 рус пост_Приложение_2010-2012 каз 04.08.10_ДК-2020_Анализ 3.03.2011г." xfId="3212" xr:uid="{00000000-0005-0000-0000-0000E5110000}"/>
    <cellStyle name="_Приложение 02 русс на 16.04.2009 г. 1 сессия_Приложение 1-18 рус пост_Приложение_2010-2012 каз 04.08.10_ДК-2020_Анализ 6.03.2011г." xfId="3213" xr:uid="{00000000-0005-0000-0000-0000E6110000}"/>
    <cellStyle name="_Приложение 02 русс на 16.04.2009 г. 1 сессия_Приложение 1-18 рус пост_Приложение_2010-2012 каз 04.08.10_ДК-2020_Анализ 9.03.2011г." xfId="3214" xr:uid="{00000000-0005-0000-0000-0000E7110000}"/>
    <cellStyle name="_Приложение 02 русс на 16.04.2009 г. 1 сессия_Приложение 1-18 рус пост_Приложение_2010-2012 каз 04.08.10_ДК-2020_Анализ_Приложение_рус _2012-2014_29,30" xfId="2029" xr:uid="{00000000-0005-0000-0000-0000E8110000}"/>
    <cellStyle name="_Приложение 02 русс на 16.04.2009 г. 1 сессия_Приложение 1-18 рус пост_Приложение_2010-2012 каз 04.08.10_ДК-2020_Анализ_Приложение_рус _2012-2014_29,30 2" xfId="5457" xr:uid="{00000000-0005-0000-0000-0000E9110000}"/>
    <cellStyle name="_Приложение 02 русс на 16.04.2009 г. 1 сессия_Приложение 1-18 рус пост_Приложение_2010-2012 каз 04.08.10_ДК-2020_Пр 4     11.05.11. ИКС" xfId="2030" xr:uid="{00000000-0005-0000-0000-0000EA110000}"/>
    <cellStyle name="_Приложение 02 русс на 16.04.2009 г. 1 сессия_Приложение 1-18 рус пост_Приложение_2010-2012 каз 04.08.10_ДК-2020_Пр 4     11.05.11. ИКС 2" xfId="5458" xr:uid="{00000000-0005-0000-0000-0000EB110000}"/>
    <cellStyle name="_Приложение 02 русс на 16.04.2009 г. 1 сессия_Приложение 1-18 рус пост_Приложение_2010-2012 каз 04.08.10_ДК-2020_Пр 4     11.05.11. ИКС_Приложение_рус _2012-2014_29,30" xfId="2031" xr:uid="{00000000-0005-0000-0000-0000EC110000}"/>
    <cellStyle name="_Приложение 02 русс на 16.04.2009 г. 1 сессия_Приложение 1-18 рус пост_Приложение_2010-2012 каз 04.08.10_ДК-2020_Пр 4     11.05.11. ИКС_Приложение_рус _2012-2014_29,30 2" xfId="5459" xr:uid="{00000000-0005-0000-0000-0000ED110000}"/>
    <cellStyle name="_Приложение 02 русс на 16.04.2009 г. 1 сессия_Приложение 1-18 рус пост_Приложение_2010-2012 каз 04.08.10_ДК-2020_Приложение 4 русс,каз 16.03.11. посл" xfId="2032" xr:uid="{00000000-0005-0000-0000-0000EE110000}"/>
    <cellStyle name="_Приложение 02 русс на 16.04.2009 г. 1 сессия_Приложение 1-18 рус пост_Приложение_2010-2012 каз 04.08.10_ДК-2020_Приложение 4 русс,каз 16.03.11. посл 2" xfId="5460" xr:uid="{00000000-0005-0000-0000-0000EF110000}"/>
    <cellStyle name="_Приложение 02 русс на 16.04.2009 г. 1 сессия_Приложение 1-18 рус пост_Приложение_2010-2012 каз 04.08.10_ДК-2020_Приложение 4 русс,каз 16.03.11. посл_Приложение_рус _2012-2014_29,30" xfId="2033" xr:uid="{00000000-0005-0000-0000-0000F0110000}"/>
    <cellStyle name="_Приложение 02 русс на 16.04.2009 г. 1 сессия_Приложение 1-18 рус пост_Приложение_2010-2012 каз 04.08.10_ДК-2020_Приложение 4 русс,каз 16.03.11. посл_Приложение_рус _2012-2014_29,30 2" xfId="5461" xr:uid="{00000000-0005-0000-0000-0000F1110000}"/>
    <cellStyle name="_Приложение 02 русс на 16.04.2009 г. 1 сессия_Приложение 1-18 рус пост_Приложение_2010-2012 каз 04.08.10_ДК-2020_Приложение_реал_рус 2011-2013 Уточнение" xfId="2034" xr:uid="{00000000-0005-0000-0000-0000F2110000}"/>
    <cellStyle name="_Приложение 02 русс на 16.04.2009 г. 1 сессия_Приложение 1-18 рус пост_Приложение_2010-2012 каз 04.08.10_ДК-2020_Приложение_реал_рус 2011-2013 Уточнение 2" xfId="5462" xr:uid="{00000000-0005-0000-0000-0000F3110000}"/>
    <cellStyle name="_Приложение 02 русс на 16.04.2009 г. 1 сессия_Приложение 1-18 рус пост_Приложение_2010-2012 каз 04.08.10_ДК-2020_Приложение_реал_рус 2011-2013 Уточнение_Приложение_рус _2012-2014_29,30" xfId="2035" xr:uid="{00000000-0005-0000-0000-0000F4110000}"/>
    <cellStyle name="_Приложение 02 русс на 16.04.2009 г. 1 сессия_Приложение 1-18 рус пост_Приложение_2010-2012 каз 04.08.10_ДК-2020_Приложение_реал_рус 2011-2013 Уточнение_Приложение_рус _2012-2014_29,30 2" xfId="5463" xr:uid="{00000000-0005-0000-0000-0000F5110000}"/>
    <cellStyle name="_Приложение 02 русс на 16.04.2009 г. 1 сессия_Приложение 1-18 рус пост_Приложение_2010-2012 каз 04.08.10_ДК-2020_Приложение_рус _2012-2014_29,30" xfId="2036" xr:uid="{00000000-0005-0000-0000-0000F6110000}"/>
    <cellStyle name="_Приложение 02 русс на 16.04.2009 г. 1 сессия_Приложение 1-18 рус пост_Приложение_2010-2012 каз 04.08.10_ДК-2020_Приложение_рус _2012-2014_29,30 2" xfId="5464" xr:uid="{00000000-0005-0000-0000-0000F7110000}"/>
    <cellStyle name="_Приложение 02 русс на 16.04.2009 г. 1 сессия_Приложение 1-18 рус пост_Приложение_2010-2012 каз 04.08.10_ДК-2020_приложения 2012 рус" xfId="2037" xr:uid="{00000000-0005-0000-0000-0000F8110000}"/>
    <cellStyle name="_Приложение 02 русс на 16.04.2009 г. 1 сессия_Приложение 1-18 рус пост_Приложение_2010-2012 каз 04.08.10_ДК-2020_приложения 2012 рус 2" xfId="5465" xr:uid="{00000000-0005-0000-0000-0000F9110000}"/>
    <cellStyle name="_Приложение 02 русс на 16.04.2009 г. 1 сессия_Приложение 1-18 рус пост_Приложение_2010-2012 каз_март" xfId="2038" xr:uid="{00000000-0005-0000-0000-0000FA110000}"/>
    <cellStyle name="_Приложение 02 русс на 16.04.2009 г. 1 сессия_Приложение 1-18 рус пост_Приложение_2010-2012 каз_март 2" xfId="2039" xr:uid="{00000000-0005-0000-0000-0000FB110000}"/>
    <cellStyle name="_Приложение 02 русс на 16.04.2009 г. 1 сессия_Приложение 1-18 рус пост_Приложение_2010-2012 каз_март 2 2" xfId="5467" xr:uid="{00000000-0005-0000-0000-0000FC110000}"/>
    <cellStyle name="_Приложение 02 русс на 16.04.2009 г. 1 сессия_Приложение 1-18 рус пост_Приложение_2010-2012 каз_март 3" xfId="5466" xr:uid="{00000000-0005-0000-0000-0000FD110000}"/>
    <cellStyle name="_Приложение 02 русс на 16.04.2009 г. 1 сессия_Приложение 1-18 рус пост_Приложение_2010-2012 каз_март_Анализ" xfId="2040" xr:uid="{00000000-0005-0000-0000-0000FE110000}"/>
    <cellStyle name="_Приложение 02 русс на 16.04.2009 г. 1 сессия_Приложение 1-18 рус пост_Приложение_2010-2012 каз_март_Анализ 2" xfId="5468" xr:uid="{00000000-0005-0000-0000-0000FF110000}"/>
    <cellStyle name="_Приложение 02 русс на 16.04.2009 г. 1 сессия_Приложение 1-18 рус пост_Приложение_2010-2012 каз_март_Анализ 3.03.2011г." xfId="3215" xr:uid="{00000000-0005-0000-0000-000000120000}"/>
    <cellStyle name="_Приложение 02 русс на 16.04.2009 г. 1 сессия_Приложение 1-18 рус пост_Приложение_2010-2012 каз_март_Анализ 6.03.2011г." xfId="3216" xr:uid="{00000000-0005-0000-0000-000001120000}"/>
    <cellStyle name="_Приложение 02 русс на 16.04.2009 г. 1 сессия_Приложение 1-18 рус пост_Приложение_2010-2012 каз_март_Анализ 9.03.2011г." xfId="3217" xr:uid="{00000000-0005-0000-0000-000002120000}"/>
    <cellStyle name="_Приложение 02 русс на 16.04.2009 г. 1 сессия_Приложение 1-18 рус пост_Приложение_2010-2012 каз_март_Анализ_Приложение_рус _2012-2014_29,30" xfId="2041" xr:uid="{00000000-0005-0000-0000-000003120000}"/>
    <cellStyle name="_Приложение 02 русс на 16.04.2009 г. 1 сессия_Приложение 1-18 рус пост_Приложение_2010-2012 каз_март_Анализ_Приложение_рус _2012-2014_29,30 2" xfId="5469" xr:uid="{00000000-0005-0000-0000-000004120000}"/>
    <cellStyle name="_Приложение 02 русс на 16.04.2009 г. 1 сессия_Приложение 1-18 рус пост_Приложение_2010-2012 каз_март_Пр 4     11.05.11. ИКС" xfId="2042" xr:uid="{00000000-0005-0000-0000-000005120000}"/>
    <cellStyle name="_Приложение 02 русс на 16.04.2009 г. 1 сессия_Приложение 1-18 рус пост_Приложение_2010-2012 каз_март_Пр 4     11.05.11. ИКС 2" xfId="5470" xr:uid="{00000000-0005-0000-0000-000006120000}"/>
    <cellStyle name="_Приложение 02 русс на 16.04.2009 г. 1 сессия_Приложение 1-18 рус пост_Приложение_2010-2012 каз_март_Пр 4     11.05.11. ИКС_Приложение_рус _2012-2014_29,30" xfId="2043" xr:uid="{00000000-0005-0000-0000-000007120000}"/>
    <cellStyle name="_Приложение 02 русс на 16.04.2009 г. 1 сессия_Приложение 1-18 рус пост_Приложение_2010-2012 каз_март_Пр 4     11.05.11. ИКС_Приложение_рус _2012-2014_29,30 2" xfId="5471" xr:uid="{00000000-0005-0000-0000-000008120000}"/>
    <cellStyle name="_Приложение 02 русс на 16.04.2009 г. 1 сессия_Приложение 1-18 рус пост_Приложение_2010-2012 каз_март_Приложение 4 русс,каз 16.03.11. посл" xfId="2044" xr:uid="{00000000-0005-0000-0000-000009120000}"/>
    <cellStyle name="_Приложение 02 русс на 16.04.2009 г. 1 сессия_Приложение 1-18 рус пост_Приложение_2010-2012 каз_март_Приложение 4 русс,каз 16.03.11. посл 2" xfId="5472" xr:uid="{00000000-0005-0000-0000-00000A120000}"/>
    <cellStyle name="_Приложение 02 русс на 16.04.2009 г. 1 сессия_Приложение 1-18 рус пост_Приложение_2010-2012 каз_март_Приложение 4 русс,каз 16.03.11. посл_Приложение_рус _2012-2014_29,30" xfId="2045" xr:uid="{00000000-0005-0000-0000-00000B120000}"/>
    <cellStyle name="_Приложение 02 русс на 16.04.2009 г. 1 сессия_Приложение 1-18 рус пост_Приложение_2010-2012 каз_март_Приложение 4 русс,каз 16.03.11. посл_Приложение_рус _2012-2014_29,30 2" xfId="5473" xr:uid="{00000000-0005-0000-0000-00000C120000}"/>
    <cellStyle name="_Приложение 02 русс на 16.04.2009 г. 1 сессия_Приложение 1-18 рус пост_Приложение_2010-2012 каз_март_Приложение_пост_каз_авг" xfId="2046" xr:uid="{00000000-0005-0000-0000-00000D120000}"/>
    <cellStyle name="_Приложение 02 русс на 16.04.2009 г. 1 сессия_Приложение 1-18 рус пост_Приложение_2010-2012 каз_март_Приложение_пост_каз_авг 2" xfId="5474" xr:uid="{00000000-0005-0000-0000-00000E120000}"/>
    <cellStyle name="_Приложение 02 русс на 16.04.2009 г. 1 сессия_Приложение 1-18 рус пост_Приложение_2010-2012 каз_март_Приложение_пост_каз_авг_Анализ" xfId="2047" xr:uid="{00000000-0005-0000-0000-00000F120000}"/>
    <cellStyle name="_Приложение 02 русс на 16.04.2009 г. 1 сессия_Приложение 1-18 рус пост_Приложение_2010-2012 каз_март_Приложение_пост_каз_авг_Анализ 2" xfId="5475" xr:uid="{00000000-0005-0000-0000-000010120000}"/>
    <cellStyle name="_Приложение 02 русс на 16.04.2009 г. 1 сессия_Приложение 1-18 рус пост_Приложение_2010-2012 каз_март_Приложение_пост_каз_авг_Анализ 3.03.2011г." xfId="3218" xr:uid="{00000000-0005-0000-0000-000011120000}"/>
    <cellStyle name="_Приложение 02 русс на 16.04.2009 г. 1 сессия_Приложение 1-18 рус пост_Приложение_2010-2012 каз_март_Приложение_пост_каз_авг_Анализ 6.03.2011г." xfId="3219" xr:uid="{00000000-0005-0000-0000-000012120000}"/>
    <cellStyle name="_Приложение 02 русс на 16.04.2009 г. 1 сессия_Приложение 1-18 рус пост_Приложение_2010-2012 каз_март_Приложение_пост_каз_авг_Анализ 9.03.2011г." xfId="3220" xr:uid="{00000000-0005-0000-0000-000013120000}"/>
    <cellStyle name="_Приложение 02 русс на 16.04.2009 г. 1 сессия_Приложение 1-18 рус пост_Приложение_2010-2012 каз_март_Приложение_пост_каз_авг_Анализ_Приложение_рус _2012-2014_29,30" xfId="2048" xr:uid="{00000000-0005-0000-0000-000014120000}"/>
    <cellStyle name="_Приложение 02 русс на 16.04.2009 г. 1 сессия_Приложение 1-18 рус пост_Приложение_2010-2012 каз_март_Приложение_пост_каз_авг_Анализ_Приложение_рус _2012-2014_29,30 2" xfId="5476" xr:uid="{00000000-0005-0000-0000-000015120000}"/>
    <cellStyle name="_Приложение 02 русс на 16.04.2009 г. 1 сессия_Приложение 1-18 рус пост_Приложение_2010-2012 каз_март_Приложение_пост_каз_авг_Пр 4     11.05.11. ИКС" xfId="2049" xr:uid="{00000000-0005-0000-0000-000016120000}"/>
    <cellStyle name="_Приложение 02 русс на 16.04.2009 г. 1 сессия_Приложение 1-18 рус пост_Приложение_2010-2012 каз_март_Приложение_пост_каз_авг_Пр 4     11.05.11. ИКС 2" xfId="5477" xr:uid="{00000000-0005-0000-0000-000017120000}"/>
    <cellStyle name="_Приложение 02 русс на 16.04.2009 г. 1 сессия_Приложение 1-18 рус пост_Приложение_2010-2012 каз_март_Приложение_пост_каз_авг_Пр 4     11.05.11. ИКС_Приложение_рус _2012-2014_29,30" xfId="2050" xr:uid="{00000000-0005-0000-0000-000018120000}"/>
    <cellStyle name="_Приложение 02 русс на 16.04.2009 г. 1 сессия_Приложение 1-18 рус пост_Приложение_2010-2012 каз_март_Приложение_пост_каз_авг_Пр 4     11.05.11. ИКС_Приложение_рус _2012-2014_29,30 2" xfId="5478" xr:uid="{00000000-0005-0000-0000-000019120000}"/>
    <cellStyle name="_Приложение 02 русс на 16.04.2009 г. 1 сессия_Приложение 1-18 рус пост_Приложение_2010-2012 каз_март_Приложение_пост_каз_авг_Приложение 4 русс,каз 16.03.11. посл" xfId="2051" xr:uid="{00000000-0005-0000-0000-00001A120000}"/>
    <cellStyle name="_Приложение 02 русс на 16.04.2009 г. 1 сессия_Приложение 1-18 рус пост_Приложение_2010-2012 каз_март_Приложение_пост_каз_авг_Приложение 4 русс,каз 16.03.11. посл 2" xfId="5479" xr:uid="{00000000-0005-0000-0000-00001B120000}"/>
    <cellStyle name="_Приложение 02 русс на 16.04.2009 г. 1 сессия_Приложение 1-18 рус пост_Приложение_2010-2012 каз_март_Приложение_пост_каз_авг_Приложение 4 русс,каз 16.03.11. посл_Приложение_рус _2012-2014_29,30" xfId="2052" xr:uid="{00000000-0005-0000-0000-00001C120000}"/>
    <cellStyle name="_Приложение 02 русс на 16.04.2009 г. 1 сессия_Приложение 1-18 рус пост_Приложение_2010-2012 каз_март_Приложение_пост_каз_авг_Приложение 4 русс,каз 16.03.11. посл_Приложение_рус _2012-2014_29,30 2" xfId="5480" xr:uid="{00000000-0005-0000-0000-00001D120000}"/>
    <cellStyle name="_Приложение 02 русс на 16.04.2009 г. 1 сессия_Приложение 1-18 рус пост_Приложение_2010-2012 каз_март_Приложение_пост_каз_авг_Приложение_реал_рус 2011-2013 Уточнение" xfId="2053" xr:uid="{00000000-0005-0000-0000-00001E120000}"/>
    <cellStyle name="_Приложение 02 русс на 16.04.2009 г. 1 сессия_Приложение 1-18 рус пост_Приложение_2010-2012 каз_март_Приложение_пост_каз_авг_Приложение_реал_рус 2011-2013 Уточнение 2" xfId="5481" xr:uid="{00000000-0005-0000-0000-00001F120000}"/>
    <cellStyle name="_Приложение 02 русс на 16.04.2009 г. 1 сессия_Приложение 1-18 рус пост_Приложение_2010-2012 каз_март_Приложение_пост_каз_авг_Приложение_реал_рус 2011-2013 Уточнение_Приложение_рус _2012-2014_29,30" xfId="2054" xr:uid="{00000000-0005-0000-0000-000020120000}"/>
    <cellStyle name="_Приложение 02 русс на 16.04.2009 г. 1 сессия_Приложение 1-18 рус пост_Приложение_2010-2012 каз_март_Приложение_пост_каз_авг_Приложение_реал_рус 2011-2013 Уточнение_Приложение_рус _2012-2014_29,30 2" xfId="5482" xr:uid="{00000000-0005-0000-0000-000021120000}"/>
    <cellStyle name="_Приложение 02 русс на 16.04.2009 г. 1 сессия_Приложение 1-18 рус пост_Приложение_2010-2012 каз_март_Приложение_пост_каз_авг_Приложение_рус _2012-2014_29,30" xfId="2055" xr:uid="{00000000-0005-0000-0000-000022120000}"/>
    <cellStyle name="_Приложение 02 русс на 16.04.2009 г. 1 сессия_Приложение 1-18 рус пост_Приложение_2010-2012 каз_март_Приложение_пост_каз_авг_Приложение_рус _2012-2014_29,30 2" xfId="5483" xr:uid="{00000000-0005-0000-0000-000023120000}"/>
    <cellStyle name="_Приложение 02 русс на 16.04.2009 г. 1 сессия_Приложение 1-18 рус пост_Приложение_2010-2012 каз_март_Приложение_пост_каз_авг_приложения 2012 рус" xfId="2056" xr:uid="{00000000-0005-0000-0000-000024120000}"/>
    <cellStyle name="_Приложение 02 русс на 16.04.2009 г. 1 сессия_Приложение 1-18 рус пост_Приложение_2010-2012 каз_март_Приложение_пост_каз_авг_приложения 2012 рус 2" xfId="5484" xr:uid="{00000000-0005-0000-0000-000025120000}"/>
    <cellStyle name="_Приложение 02 русс на 16.04.2009 г. 1 сессия_Приложение 1-18 рус пост_Приложение_2010-2012 каз_март_Приложение_пост_рус_авг" xfId="2057" xr:uid="{00000000-0005-0000-0000-000026120000}"/>
    <cellStyle name="_Приложение 02 русс на 16.04.2009 г. 1 сессия_Приложение 1-18 рус пост_Приложение_2010-2012 каз_март_Приложение_пост_рус_авг 2" xfId="5485" xr:uid="{00000000-0005-0000-0000-000027120000}"/>
    <cellStyle name="_Приложение 02 русс на 16.04.2009 г. 1 сессия_Приложение 1-18 рус пост_Приложение_2010-2012 каз_март_Приложение_пост_рус_авг_Анализ" xfId="2058" xr:uid="{00000000-0005-0000-0000-000028120000}"/>
    <cellStyle name="_Приложение 02 русс на 16.04.2009 г. 1 сессия_Приложение 1-18 рус пост_Приложение_2010-2012 каз_март_Приложение_пост_рус_авг_Анализ 2" xfId="5486" xr:uid="{00000000-0005-0000-0000-000029120000}"/>
    <cellStyle name="_Приложение 02 русс на 16.04.2009 г. 1 сессия_Приложение 1-18 рус пост_Приложение_2010-2012 каз_март_Приложение_пост_рус_авг_Анализ 3.03.2011г." xfId="3221" xr:uid="{00000000-0005-0000-0000-00002A120000}"/>
    <cellStyle name="_Приложение 02 русс на 16.04.2009 г. 1 сессия_Приложение 1-18 рус пост_Приложение_2010-2012 каз_март_Приложение_пост_рус_авг_Анализ 6.03.2011г." xfId="3222" xr:uid="{00000000-0005-0000-0000-00002B120000}"/>
    <cellStyle name="_Приложение 02 русс на 16.04.2009 г. 1 сессия_Приложение 1-18 рус пост_Приложение_2010-2012 каз_март_Приложение_пост_рус_авг_Анализ 9.03.2011г." xfId="3223" xr:uid="{00000000-0005-0000-0000-00002C120000}"/>
    <cellStyle name="_Приложение 02 русс на 16.04.2009 г. 1 сессия_Приложение 1-18 рус пост_Приложение_2010-2012 каз_март_Приложение_пост_рус_авг_Анализ_Приложение_рус _2012-2014_29,30" xfId="2059" xr:uid="{00000000-0005-0000-0000-00002D120000}"/>
    <cellStyle name="_Приложение 02 русс на 16.04.2009 г. 1 сессия_Приложение 1-18 рус пост_Приложение_2010-2012 каз_март_Приложение_пост_рус_авг_Анализ_Приложение_рус _2012-2014_29,30 2" xfId="5487" xr:uid="{00000000-0005-0000-0000-00002E120000}"/>
    <cellStyle name="_Приложение 02 русс на 16.04.2009 г. 1 сессия_Приложение 1-18 рус пост_Приложение_2010-2012 каз_март_Приложение_пост_рус_авг_Пр 4     11.05.11. ИКС" xfId="2060" xr:uid="{00000000-0005-0000-0000-00002F120000}"/>
    <cellStyle name="_Приложение 02 русс на 16.04.2009 г. 1 сессия_Приложение 1-18 рус пост_Приложение_2010-2012 каз_март_Приложение_пост_рус_авг_Пр 4     11.05.11. ИКС 2" xfId="5488" xr:uid="{00000000-0005-0000-0000-000030120000}"/>
    <cellStyle name="_Приложение 02 русс на 16.04.2009 г. 1 сессия_Приложение 1-18 рус пост_Приложение_2010-2012 каз_март_Приложение_пост_рус_авг_Пр 4     11.05.11. ИКС_Приложение_рус _2012-2014_29,30" xfId="2061" xr:uid="{00000000-0005-0000-0000-000031120000}"/>
    <cellStyle name="_Приложение 02 русс на 16.04.2009 г. 1 сессия_Приложение 1-18 рус пост_Приложение_2010-2012 каз_март_Приложение_пост_рус_авг_Пр 4     11.05.11. ИКС_Приложение_рус _2012-2014_29,30 2" xfId="5489" xr:uid="{00000000-0005-0000-0000-000032120000}"/>
    <cellStyle name="_Приложение 02 русс на 16.04.2009 г. 1 сессия_Приложение 1-18 рус пост_Приложение_2010-2012 каз_март_Приложение_пост_рус_авг_Приложение 4 русс,каз 16.03.11. посл" xfId="2062" xr:uid="{00000000-0005-0000-0000-000033120000}"/>
    <cellStyle name="_Приложение 02 русс на 16.04.2009 г. 1 сессия_Приложение 1-18 рус пост_Приложение_2010-2012 каз_март_Приложение_пост_рус_авг_Приложение 4 русс,каз 16.03.11. посл 2" xfId="5490" xr:uid="{00000000-0005-0000-0000-000034120000}"/>
    <cellStyle name="_Приложение 02 русс на 16.04.2009 г. 1 сессия_Приложение 1-18 рус пост_Приложение_2010-2012 каз_март_Приложение_пост_рус_авг_Приложение 4 русс,каз 16.03.11. посл_Приложение_рус _2012-2014_29,30" xfId="2063" xr:uid="{00000000-0005-0000-0000-000035120000}"/>
    <cellStyle name="_Приложение 02 русс на 16.04.2009 г. 1 сессия_Приложение 1-18 рус пост_Приложение_2010-2012 каз_март_Приложение_пост_рус_авг_Приложение 4 русс,каз 16.03.11. посл_Приложение_рус _2012-2014_29,30 2" xfId="5491" xr:uid="{00000000-0005-0000-0000-000036120000}"/>
    <cellStyle name="_Приложение 02 русс на 16.04.2009 г. 1 сессия_Приложение 1-18 рус пост_Приложение_2010-2012 каз_март_Приложение_пост_рус_авг_Приложение_реал_рус 2011-2013 Уточнение" xfId="2064" xr:uid="{00000000-0005-0000-0000-000037120000}"/>
    <cellStyle name="_Приложение 02 русс на 16.04.2009 г. 1 сессия_Приложение 1-18 рус пост_Приложение_2010-2012 каз_март_Приложение_пост_рус_авг_Приложение_реал_рус 2011-2013 Уточнение 2" xfId="5492" xr:uid="{00000000-0005-0000-0000-000038120000}"/>
    <cellStyle name="_Приложение 02 русс на 16.04.2009 г. 1 сессия_Приложение 1-18 рус пост_Приложение_2010-2012 каз_март_Приложение_пост_рус_авг_Приложение_реал_рус 2011-2013 Уточнение_Приложение_рус _2012-2014_29,30" xfId="2065" xr:uid="{00000000-0005-0000-0000-000039120000}"/>
    <cellStyle name="_Приложение 02 русс на 16.04.2009 г. 1 сессия_Приложение 1-18 рус пост_Приложение_2010-2012 каз_март_Приложение_пост_рус_авг_Приложение_реал_рус 2011-2013 Уточнение_Приложение_рус _2012-2014_29,30 2" xfId="5493" xr:uid="{00000000-0005-0000-0000-00003A120000}"/>
    <cellStyle name="_Приложение 02 русс на 16.04.2009 г. 1 сессия_Приложение 1-18 рус пост_Приложение_2010-2012 каз_март_Приложение_пост_рус_авг_Приложение_рус _2012-2014_29,30" xfId="2066" xr:uid="{00000000-0005-0000-0000-00003B120000}"/>
    <cellStyle name="_Приложение 02 русс на 16.04.2009 г. 1 сессия_Приложение 1-18 рус пост_Приложение_2010-2012 каз_март_Приложение_пост_рус_авг_Приложение_рус _2012-2014_29,30 2" xfId="5494" xr:uid="{00000000-0005-0000-0000-00003C120000}"/>
    <cellStyle name="_Приложение 02 русс на 16.04.2009 г. 1 сессия_Приложение 1-18 рус пост_Приложение_2010-2012 каз_март_Приложение_пост_рус_авг_приложения 2012 рус" xfId="2067" xr:uid="{00000000-0005-0000-0000-00003D120000}"/>
    <cellStyle name="_Приложение 02 русс на 16.04.2009 г. 1 сессия_Приложение 1-18 рус пост_Приложение_2010-2012 каз_март_Приложение_пост_рус_авг_приложения 2012 рус 2" xfId="5495" xr:uid="{00000000-0005-0000-0000-00003E120000}"/>
    <cellStyle name="_Приложение 02 русс на 16.04.2009 г. 1 сессия_Приложение 1-18 рус пост_Приложение_2010-2012 каз_март_Приложение_реал_рус 2011-2013 Уточнение" xfId="2068" xr:uid="{00000000-0005-0000-0000-00003F120000}"/>
    <cellStyle name="_Приложение 02 русс на 16.04.2009 г. 1 сессия_Приложение 1-18 рус пост_Приложение_2010-2012 каз_март_Приложение_реал_рус 2011-2013 Уточнение 2" xfId="5496" xr:uid="{00000000-0005-0000-0000-000040120000}"/>
    <cellStyle name="_Приложение 02 русс на 16.04.2009 г. 1 сессия_Приложение 1-18 рус пост_Приложение_2010-2012 каз_март_Приложение_реал_рус 2011-2013 Уточнение_Приложение_рус _2012-2014_29,30" xfId="2069" xr:uid="{00000000-0005-0000-0000-000041120000}"/>
    <cellStyle name="_Приложение 02 русс на 16.04.2009 г. 1 сессия_Приложение 1-18 рус пост_Приложение_2010-2012 каз_март_Приложение_реал_рус 2011-2013 Уточнение_Приложение_рус _2012-2014_29,30 2" xfId="5497" xr:uid="{00000000-0005-0000-0000-000042120000}"/>
    <cellStyle name="_Приложение 02 русс на 16.04.2009 г. 1 сессия_Приложение 1-18 рус пост_Приложение_2010-2012 каз_март_Приложение_рус _2012-2014_29,30" xfId="2070" xr:uid="{00000000-0005-0000-0000-000043120000}"/>
    <cellStyle name="_Приложение 02 русс на 16.04.2009 г. 1 сессия_Приложение 1-18 рус пост_Приложение_2010-2012 каз_март_Приложение_рус _2012-2014_29,30 2" xfId="5498" xr:uid="{00000000-0005-0000-0000-000044120000}"/>
    <cellStyle name="_Приложение 02 русс на 16.04.2009 г. 1 сессия_Приложение 1-18 рус пост_Приложение_2010-2012 каз_март_приложения 2012 рус" xfId="2071" xr:uid="{00000000-0005-0000-0000-000045120000}"/>
    <cellStyle name="_Приложение 02 русс на 16.04.2009 г. 1 сессия_Приложение 1-18 рус пост_Приложение_2010-2012 каз_март_приложения 2012 рус 2" xfId="5499" xr:uid="{00000000-0005-0000-0000-000046120000}"/>
    <cellStyle name="_Приложение 02 русс на 16.04.2009 г. 1 сессия_Приложение 1-18 рус пост_Приложение_пост_каз_авг" xfId="2072" xr:uid="{00000000-0005-0000-0000-000047120000}"/>
    <cellStyle name="_Приложение 02 русс на 16.04.2009 г. 1 сессия_Приложение 1-18 рус пост_Приложение_пост_каз_авг 2" xfId="5500" xr:uid="{00000000-0005-0000-0000-000048120000}"/>
    <cellStyle name="_Приложение 02 русс на 16.04.2009 г. 1 сессия_Приложение 1-18 рус пост_Приложение_пост_каз_авг_Анализ" xfId="2073" xr:uid="{00000000-0005-0000-0000-000049120000}"/>
    <cellStyle name="_Приложение 02 русс на 16.04.2009 г. 1 сессия_Приложение 1-18 рус пост_Приложение_пост_каз_авг_Анализ 2" xfId="5501" xr:uid="{00000000-0005-0000-0000-00004A120000}"/>
    <cellStyle name="_Приложение 02 русс на 16.04.2009 г. 1 сессия_Приложение 1-18 рус пост_Приложение_пост_каз_авг_Анализ 3.03.2011г." xfId="3224" xr:uid="{00000000-0005-0000-0000-00004B120000}"/>
    <cellStyle name="_Приложение 02 русс на 16.04.2009 г. 1 сессия_Приложение 1-18 рус пост_Приложение_пост_каз_авг_Анализ 6.03.2011г." xfId="3225" xr:uid="{00000000-0005-0000-0000-00004C120000}"/>
    <cellStyle name="_Приложение 02 русс на 16.04.2009 г. 1 сессия_Приложение 1-18 рус пост_Приложение_пост_каз_авг_Анализ 9.03.2011г." xfId="3226" xr:uid="{00000000-0005-0000-0000-00004D120000}"/>
    <cellStyle name="_Приложение 02 русс на 16.04.2009 г. 1 сессия_Приложение 1-18 рус пост_Приложение_пост_каз_авг_Анализ_Приложение_рус _2012-2014_29,30" xfId="2074" xr:uid="{00000000-0005-0000-0000-00004E120000}"/>
    <cellStyle name="_Приложение 02 русс на 16.04.2009 г. 1 сессия_Приложение 1-18 рус пост_Приложение_пост_каз_авг_Анализ_Приложение_рус _2012-2014_29,30 2" xfId="5502" xr:uid="{00000000-0005-0000-0000-00004F120000}"/>
    <cellStyle name="_Приложение 02 русс на 16.04.2009 г. 1 сессия_Приложение 1-18 рус пост_Приложение_пост_каз_авг_Пр 4     11.05.11. ИКС" xfId="2075" xr:uid="{00000000-0005-0000-0000-000050120000}"/>
    <cellStyle name="_Приложение 02 русс на 16.04.2009 г. 1 сессия_Приложение 1-18 рус пост_Приложение_пост_каз_авг_Пр 4     11.05.11. ИКС 2" xfId="5503" xr:uid="{00000000-0005-0000-0000-000051120000}"/>
    <cellStyle name="_Приложение 02 русс на 16.04.2009 г. 1 сессия_Приложение 1-18 рус пост_Приложение_пост_каз_авг_Пр 4     11.05.11. ИКС_Приложение_рус _2012-2014_29,30" xfId="2076" xr:uid="{00000000-0005-0000-0000-000052120000}"/>
    <cellStyle name="_Приложение 02 русс на 16.04.2009 г. 1 сессия_Приложение 1-18 рус пост_Приложение_пост_каз_авг_Пр 4     11.05.11. ИКС_Приложение_рус _2012-2014_29,30 2" xfId="5504" xr:uid="{00000000-0005-0000-0000-000053120000}"/>
    <cellStyle name="_Приложение 02 русс на 16.04.2009 г. 1 сессия_Приложение 1-18 рус пост_Приложение_пост_каз_авг_Приложение 4 русс,каз 16.03.11. посл" xfId="2077" xr:uid="{00000000-0005-0000-0000-000054120000}"/>
    <cellStyle name="_Приложение 02 русс на 16.04.2009 г. 1 сессия_Приложение 1-18 рус пост_Приложение_пост_каз_авг_Приложение 4 русс,каз 16.03.11. посл 2" xfId="5505" xr:uid="{00000000-0005-0000-0000-000055120000}"/>
    <cellStyle name="_Приложение 02 русс на 16.04.2009 г. 1 сессия_Приложение 1-18 рус пост_Приложение_пост_каз_авг_Приложение 4 русс,каз 16.03.11. посл_Приложение_рус _2012-2014_29,30" xfId="2078" xr:uid="{00000000-0005-0000-0000-000056120000}"/>
    <cellStyle name="_Приложение 02 русс на 16.04.2009 г. 1 сессия_Приложение 1-18 рус пост_Приложение_пост_каз_авг_Приложение 4 русс,каз 16.03.11. посл_Приложение_рус _2012-2014_29,30 2" xfId="5506" xr:uid="{00000000-0005-0000-0000-000057120000}"/>
    <cellStyle name="_Приложение 02 русс на 16.04.2009 г. 1 сессия_Приложение 1-18 рус пост_Приложение_пост_каз_авг_Приложение_реал_рус 2011-2013 Уточнение" xfId="2079" xr:uid="{00000000-0005-0000-0000-000058120000}"/>
    <cellStyle name="_Приложение 02 русс на 16.04.2009 г. 1 сессия_Приложение 1-18 рус пост_Приложение_пост_каз_авг_Приложение_реал_рус 2011-2013 Уточнение 2" xfId="5507" xr:uid="{00000000-0005-0000-0000-000059120000}"/>
    <cellStyle name="_Приложение 02 русс на 16.04.2009 г. 1 сессия_Приложение 1-18 рус пост_Приложение_пост_каз_авг_Приложение_реал_рус 2011-2013 Уточнение_Приложение_рус _2012-2014_29,30" xfId="2080" xr:uid="{00000000-0005-0000-0000-00005A120000}"/>
    <cellStyle name="_Приложение 02 русс на 16.04.2009 г. 1 сессия_Приложение 1-18 рус пост_Приложение_пост_каз_авг_Приложение_реал_рус 2011-2013 Уточнение_Приложение_рус _2012-2014_29,30 2" xfId="5508" xr:uid="{00000000-0005-0000-0000-00005B120000}"/>
    <cellStyle name="_Приложение 02 русс на 16.04.2009 г. 1 сессия_Приложение 1-18 рус пост_Приложение_пост_каз_авг_Приложение_рус _2012-2014_29,30" xfId="2081" xr:uid="{00000000-0005-0000-0000-00005C120000}"/>
    <cellStyle name="_Приложение 02 русс на 16.04.2009 г. 1 сессия_Приложение 1-18 рус пост_Приложение_пост_каз_авг_Приложение_рус _2012-2014_29,30 2" xfId="5509" xr:uid="{00000000-0005-0000-0000-00005D120000}"/>
    <cellStyle name="_Приложение 02 русс на 16.04.2009 г. 1 сессия_Приложение 1-18 рус пост_Приложение_пост_каз_авг_приложения 2012 рус" xfId="2082" xr:uid="{00000000-0005-0000-0000-00005E120000}"/>
    <cellStyle name="_Приложение 02 русс на 16.04.2009 г. 1 сессия_Приложение 1-18 рус пост_Приложение_пост_каз_авг_приложения 2012 рус 2" xfId="5510" xr:uid="{00000000-0005-0000-0000-00005F120000}"/>
    <cellStyle name="_Приложение 02 русс на 16.04.2009 г. 1 сессия_Приложение 4 русс,каз 16.03.11. посл" xfId="2083" xr:uid="{00000000-0005-0000-0000-000060120000}"/>
    <cellStyle name="_Приложение 02 русс на 16.04.2009 г. 1 сессия_Приложение 4 русс,каз 16.03.11. посл 2" xfId="5511" xr:uid="{00000000-0005-0000-0000-000061120000}"/>
    <cellStyle name="_Приложение 02 русс на 16.04.2009 г. 1 сессия_Приложение 4 русс,каз 16.03.11. посл_Приложение_рус _2012-2014_29,30" xfId="2084" xr:uid="{00000000-0005-0000-0000-000062120000}"/>
    <cellStyle name="_Приложение 02 русс на 16.04.2009 г. 1 сессия_Приложение 4 русс,каз 16.03.11. посл_Приложение_рус _2012-2014_29,30 2" xfId="5512" xr:uid="{00000000-0005-0000-0000-000063120000}"/>
    <cellStyle name="_Приложение 02 русс на 16.04.2009 г. 1 сессия_Приложение реш 2010-2012каз_РБ" xfId="2085" xr:uid="{00000000-0005-0000-0000-000064120000}"/>
    <cellStyle name="_Приложение 02 русс на 16.04.2009 г. 1 сессия_Приложение реш 2010-2012каз_РБ 2" xfId="5513" xr:uid="{00000000-0005-0000-0000-000065120000}"/>
    <cellStyle name="_Приложение 02 русс на 16.04.2009 г. 1 сессия_Приложение реш 2010-2012каз_РБ_Анализ" xfId="2086" xr:uid="{00000000-0005-0000-0000-000066120000}"/>
    <cellStyle name="_Приложение 02 русс на 16.04.2009 г. 1 сессия_Приложение реш 2010-2012каз_РБ_Анализ 2" xfId="5514" xr:uid="{00000000-0005-0000-0000-000067120000}"/>
    <cellStyle name="_Приложение 02 русс на 16.04.2009 г. 1 сессия_Приложение реш 2010-2012каз_РБ_Анализ 3.03.2011г." xfId="3227" xr:uid="{00000000-0005-0000-0000-000068120000}"/>
    <cellStyle name="_Приложение 02 русс на 16.04.2009 г. 1 сессия_Приложение реш 2010-2012каз_РБ_Анализ 6.03.2011г." xfId="3228" xr:uid="{00000000-0005-0000-0000-000069120000}"/>
    <cellStyle name="_Приложение 02 русс на 16.04.2009 г. 1 сессия_Приложение реш 2010-2012каз_РБ_Анализ 9.03.2011г." xfId="3229" xr:uid="{00000000-0005-0000-0000-00006A120000}"/>
    <cellStyle name="_Приложение 02 русс на 16.04.2009 г. 1 сессия_Приложение реш 2010-2012каз_РБ_Анализ_Приложение_рус _2012-2014_29,30" xfId="2087" xr:uid="{00000000-0005-0000-0000-00006B120000}"/>
    <cellStyle name="_Приложение 02 русс на 16.04.2009 г. 1 сессия_Приложение реш 2010-2012каз_РБ_Анализ_Приложение_рус _2012-2014_29,30 2" xfId="5515" xr:uid="{00000000-0005-0000-0000-00006C120000}"/>
    <cellStyle name="_Приложение 02 русс на 16.04.2009 г. 1 сессия_Приложение реш 2010-2012каз_РБ_Пр 4     11.05.11. ИКС" xfId="2088" xr:uid="{00000000-0005-0000-0000-00006D120000}"/>
    <cellStyle name="_Приложение 02 русс на 16.04.2009 г. 1 сессия_Приложение реш 2010-2012каз_РБ_Пр 4     11.05.11. ИКС 2" xfId="5516" xr:uid="{00000000-0005-0000-0000-00006E120000}"/>
    <cellStyle name="_Приложение 02 русс на 16.04.2009 г. 1 сессия_Приложение реш 2010-2012каз_РБ_Пр 4     11.05.11. ИКС_Приложение_рус _2012-2014_29,30" xfId="2089" xr:uid="{00000000-0005-0000-0000-00006F120000}"/>
    <cellStyle name="_Приложение 02 русс на 16.04.2009 г. 1 сессия_Приложение реш 2010-2012каз_РБ_Пр 4     11.05.11. ИКС_Приложение_рус _2012-2014_29,30 2" xfId="5517" xr:uid="{00000000-0005-0000-0000-000070120000}"/>
    <cellStyle name="_Приложение 02 русс на 16.04.2009 г. 1 сессия_Приложение реш 2010-2012каз_РБ_прил4р_к" xfId="2090" xr:uid="{00000000-0005-0000-0000-000071120000}"/>
    <cellStyle name="_Приложение 02 русс на 16.04.2009 г. 1 сессия_Приложение реш 2010-2012каз_РБ_прил4р_к 2" xfId="2091" xr:uid="{00000000-0005-0000-0000-000072120000}"/>
    <cellStyle name="_Приложение 02 русс на 16.04.2009 г. 1 сессия_Приложение реш 2010-2012каз_РБ_прил4р_к 2 2" xfId="5519" xr:uid="{00000000-0005-0000-0000-000073120000}"/>
    <cellStyle name="_Приложение 02 русс на 16.04.2009 г. 1 сессия_Приложение реш 2010-2012каз_РБ_прил4р_к 3" xfId="5518" xr:uid="{00000000-0005-0000-0000-000074120000}"/>
    <cellStyle name="_Приложение 02 русс на 16.04.2009 г. 1 сессия_Приложение реш 2010-2012каз_РБ_прил4р_к_Анализ" xfId="2092" xr:uid="{00000000-0005-0000-0000-000075120000}"/>
    <cellStyle name="_Приложение 02 русс на 16.04.2009 г. 1 сессия_Приложение реш 2010-2012каз_РБ_прил4р_к_Анализ 2" xfId="5520" xr:uid="{00000000-0005-0000-0000-000076120000}"/>
    <cellStyle name="_Приложение 02 русс на 16.04.2009 г. 1 сессия_Приложение реш 2010-2012каз_РБ_прил4р_к_Анализ 3.03.2011г." xfId="3230" xr:uid="{00000000-0005-0000-0000-000077120000}"/>
    <cellStyle name="_Приложение 02 русс на 16.04.2009 г. 1 сессия_Приложение реш 2010-2012каз_РБ_прил4р_к_Анализ 6.03.2011г." xfId="3231" xr:uid="{00000000-0005-0000-0000-000078120000}"/>
    <cellStyle name="_Приложение 02 русс на 16.04.2009 г. 1 сессия_Приложение реш 2010-2012каз_РБ_прил4р_к_Анализ 9.03.2011г." xfId="3232" xr:uid="{00000000-0005-0000-0000-000079120000}"/>
    <cellStyle name="_Приложение 02 русс на 16.04.2009 г. 1 сессия_Приложение реш 2010-2012каз_РБ_прил4р_к_Анализ_Приложение_рус _2012-2014_29,30" xfId="2093" xr:uid="{00000000-0005-0000-0000-00007A120000}"/>
    <cellStyle name="_Приложение 02 русс на 16.04.2009 г. 1 сессия_Приложение реш 2010-2012каз_РБ_прил4р_к_Анализ_Приложение_рус _2012-2014_29,30 2" xfId="5521" xr:uid="{00000000-0005-0000-0000-00007B120000}"/>
    <cellStyle name="_Приложение 02 русс на 16.04.2009 г. 1 сессия_Приложение реш 2010-2012каз_РБ_прил4р_к_Пр 4     11.05.11. ИКС" xfId="2094" xr:uid="{00000000-0005-0000-0000-00007C120000}"/>
    <cellStyle name="_Приложение 02 русс на 16.04.2009 г. 1 сессия_Приложение реш 2010-2012каз_РБ_прил4р_к_Пр 4     11.05.11. ИКС 2" xfId="5522" xr:uid="{00000000-0005-0000-0000-00007D120000}"/>
    <cellStyle name="_Приложение 02 русс на 16.04.2009 г. 1 сессия_Приложение реш 2010-2012каз_РБ_прил4р_к_Пр 4     11.05.11. ИКС_Приложение_рус _2012-2014_29,30" xfId="2095" xr:uid="{00000000-0005-0000-0000-00007E120000}"/>
    <cellStyle name="_Приложение 02 русс на 16.04.2009 г. 1 сессия_Приложение реш 2010-2012каз_РБ_прил4р_к_Пр 4     11.05.11. ИКС_Приложение_рус _2012-2014_29,30 2" xfId="5523" xr:uid="{00000000-0005-0000-0000-00007F120000}"/>
    <cellStyle name="_Приложение 02 русс на 16.04.2009 г. 1 сессия_Приложение реш 2010-2012каз_РБ_прил4р_к_Приложение 4 русс,каз 16.03.11. посл" xfId="2096" xr:uid="{00000000-0005-0000-0000-000080120000}"/>
    <cellStyle name="_Приложение 02 русс на 16.04.2009 г. 1 сессия_Приложение реш 2010-2012каз_РБ_прил4р_к_Приложение 4 русс,каз 16.03.11. посл 2" xfId="5524" xr:uid="{00000000-0005-0000-0000-000081120000}"/>
    <cellStyle name="_Приложение 02 русс на 16.04.2009 г. 1 сессия_Приложение реш 2010-2012каз_РБ_прил4р_к_Приложение 4 русс,каз 16.03.11. посл_Приложение_рус _2012-2014_29,30" xfId="2097" xr:uid="{00000000-0005-0000-0000-000082120000}"/>
    <cellStyle name="_Приложение 02 русс на 16.04.2009 г. 1 сессия_Приложение реш 2010-2012каз_РБ_прил4р_к_Приложение 4 русс,каз 16.03.11. посл_Приложение_рус _2012-2014_29,30 2" xfId="5525" xr:uid="{00000000-0005-0000-0000-000083120000}"/>
    <cellStyle name="_Приложение 02 русс на 16.04.2009 г. 1 сессия_Приложение реш 2010-2012каз_РБ_прил4р_к_Приложение_пост_каз_авг" xfId="2098" xr:uid="{00000000-0005-0000-0000-000084120000}"/>
    <cellStyle name="_Приложение 02 русс на 16.04.2009 г. 1 сессия_Приложение реш 2010-2012каз_РБ_прил4р_к_Приложение_пост_каз_авг 2" xfId="5526" xr:uid="{00000000-0005-0000-0000-000085120000}"/>
    <cellStyle name="_Приложение 02 русс на 16.04.2009 г. 1 сессия_Приложение реш 2010-2012каз_РБ_прил4р_к_Приложение_пост_каз_авг_Анализ" xfId="2099" xr:uid="{00000000-0005-0000-0000-000086120000}"/>
    <cellStyle name="_Приложение 02 русс на 16.04.2009 г. 1 сессия_Приложение реш 2010-2012каз_РБ_прил4р_к_Приложение_пост_каз_авг_Анализ 2" xfId="5527" xr:uid="{00000000-0005-0000-0000-000087120000}"/>
    <cellStyle name="_Приложение 02 русс на 16.04.2009 г. 1 сессия_Приложение реш 2010-2012каз_РБ_прил4р_к_Приложение_пост_каз_авг_Анализ 3.03.2011г." xfId="3233" xr:uid="{00000000-0005-0000-0000-000088120000}"/>
    <cellStyle name="_Приложение 02 русс на 16.04.2009 г. 1 сессия_Приложение реш 2010-2012каз_РБ_прил4р_к_Приложение_пост_каз_авг_Анализ 6.03.2011г." xfId="3234" xr:uid="{00000000-0005-0000-0000-000089120000}"/>
    <cellStyle name="_Приложение 02 русс на 16.04.2009 г. 1 сессия_Приложение реш 2010-2012каз_РБ_прил4р_к_Приложение_пост_каз_авг_Анализ 9.03.2011г." xfId="3235" xr:uid="{00000000-0005-0000-0000-00008A120000}"/>
    <cellStyle name="_Приложение 02 русс на 16.04.2009 г. 1 сессия_Приложение реш 2010-2012каз_РБ_прил4р_к_Приложение_пост_каз_авг_Анализ_Приложение_рус _2012-2014_29,30" xfId="2100" xr:uid="{00000000-0005-0000-0000-00008B120000}"/>
    <cellStyle name="_Приложение 02 русс на 16.04.2009 г. 1 сессия_Приложение реш 2010-2012каз_РБ_прил4р_к_Приложение_пост_каз_авг_Анализ_Приложение_рус _2012-2014_29,30 2" xfId="5528" xr:uid="{00000000-0005-0000-0000-00008C120000}"/>
    <cellStyle name="_Приложение 02 русс на 16.04.2009 г. 1 сессия_Приложение реш 2010-2012каз_РБ_прил4р_к_Приложение_пост_каз_авг_Пр 4     11.05.11. ИКС" xfId="2101" xr:uid="{00000000-0005-0000-0000-00008D120000}"/>
    <cellStyle name="_Приложение 02 русс на 16.04.2009 г. 1 сессия_Приложение реш 2010-2012каз_РБ_прил4р_к_Приложение_пост_каз_авг_Пр 4     11.05.11. ИКС 2" xfId="5529" xr:uid="{00000000-0005-0000-0000-00008E120000}"/>
    <cellStyle name="_Приложение 02 русс на 16.04.2009 г. 1 сессия_Приложение реш 2010-2012каз_РБ_прил4р_к_Приложение_пост_каз_авг_Пр 4     11.05.11. ИКС_Приложение_рус _2012-2014_29,30" xfId="2102" xr:uid="{00000000-0005-0000-0000-00008F120000}"/>
    <cellStyle name="_Приложение 02 русс на 16.04.2009 г. 1 сессия_Приложение реш 2010-2012каз_РБ_прил4р_к_Приложение_пост_каз_авг_Пр 4     11.05.11. ИКС_Приложение_рус _2012-2014_29,30 2" xfId="5530" xr:uid="{00000000-0005-0000-0000-000090120000}"/>
    <cellStyle name="_Приложение 02 русс на 16.04.2009 г. 1 сессия_Приложение реш 2010-2012каз_РБ_прил4р_к_Приложение_пост_каз_авг_Приложение 4 русс,каз 16.03.11. посл" xfId="2103" xr:uid="{00000000-0005-0000-0000-000091120000}"/>
    <cellStyle name="_Приложение 02 русс на 16.04.2009 г. 1 сессия_Приложение реш 2010-2012каз_РБ_прил4р_к_Приложение_пост_каз_авг_Приложение 4 русс,каз 16.03.11. посл 2" xfId="5531" xr:uid="{00000000-0005-0000-0000-000092120000}"/>
    <cellStyle name="_Приложение 02 русс на 16.04.2009 г. 1 сессия_Приложение реш 2010-2012каз_РБ_прил4р_к_Приложение_пост_каз_авг_Приложение 4 русс,каз 16.03.11. посл_Приложение_рус _2012-2014_29,30" xfId="2104" xr:uid="{00000000-0005-0000-0000-000093120000}"/>
    <cellStyle name="_Приложение 02 русс на 16.04.2009 г. 1 сессия_Приложение реш 2010-2012каз_РБ_прил4р_к_Приложение_пост_каз_авг_Приложение 4 русс,каз 16.03.11. посл_Приложение_рус _2012-2014_29,30 2" xfId="5532" xr:uid="{00000000-0005-0000-0000-000094120000}"/>
    <cellStyle name="_Приложение 02 русс на 16.04.2009 г. 1 сессия_Приложение реш 2010-2012каз_РБ_прил4р_к_Приложение_пост_каз_авг_Приложение_реал_рус 2011-2013 Уточнение" xfId="2105" xr:uid="{00000000-0005-0000-0000-000095120000}"/>
    <cellStyle name="_Приложение 02 русс на 16.04.2009 г. 1 сессия_Приложение реш 2010-2012каз_РБ_прил4р_к_Приложение_пост_каз_авг_Приложение_реал_рус 2011-2013 Уточнение 2" xfId="5533" xr:uid="{00000000-0005-0000-0000-000096120000}"/>
    <cellStyle name="_Приложение 02 русс на 16.04.2009 г. 1 сессия_Приложение реш 2010-2012каз_РБ_прил4р_к_Приложение_пост_каз_авг_Приложение_реал_рус 2011-2013 Уточнение_Приложение_рус _2012-2014_29,30" xfId="2106" xr:uid="{00000000-0005-0000-0000-000097120000}"/>
    <cellStyle name="_Приложение 02 русс на 16.04.2009 г. 1 сессия_Приложение реш 2010-2012каз_РБ_прил4р_к_Приложение_пост_каз_авг_Приложение_реал_рус 2011-2013 Уточнение_Приложение_рус _2012-2014_29,30 2" xfId="5534" xr:uid="{00000000-0005-0000-0000-000098120000}"/>
    <cellStyle name="_Приложение 02 русс на 16.04.2009 г. 1 сессия_Приложение реш 2010-2012каз_РБ_прил4р_к_Приложение_пост_каз_авг_Приложение_рус _2012-2014_29,30" xfId="2107" xr:uid="{00000000-0005-0000-0000-000099120000}"/>
    <cellStyle name="_Приложение 02 русс на 16.04.2009 г. 1 сессия_Приложение реш 2010-2012каз_РБ_прил4р_к_Приложение_пост_каз_авг_Приложение_рус _2012-2014_29,30 2" xfId="5535" xr:uid="{00000000-0005-0000-0000-00009A120000}"/>
    <cellStyle name="_Приложение 02 русс на 16.04.2009 г. 1 сессия_Приложение реш 2010-2012каз_РБ_прил4р_к_Приложение_пост_каз_авг_приложения 2012 рус" xfId="2108" xr:uid="{00000000-0005-0000-0000-00009B120000}"/>
    <cellStyle name="_Приложение 02 русс на 16.04.2009 г. 1 сессия_Приложение реш 2010-2012каз_РБ_прил4р_к_Приложение_пост_каз_авг_приложения 2012 рус 2" xfId="5536" xr:uid="{00000000-0005-0000-0000-00009C120000}"/>
    <cellStyle name="_Приложение 02 русс на 16.04.2009 г. 1 сессия_Приложение реш 2010-2012каз_РБ_прил4р_к_Приложение_пост_рус_авг" xfId="2109" xr:uid="{00000000-0005-0000-0000-00009D120000}"/>
    <cellStyle name="_Приложение 02 русс на 16.04.2009 г. 1 сессия_Приложение реш 2010-2012каз_РБ_прил4р_к_Приложение_пост_рус_авг 2" xfId="5537" xr:uid="{00000000-0005-0000-0000-00009E120000}"/>
    <cellStyle name="_Приложение 02 русс на 16.04.2009 г. 1 сессия_Приложение реш 2010-2012каз_РБ_прил4р_к_Приложение_пост_рус_авг_Анализ" xfId="2110" xr:uid="{00000000-0005-0000-0000-00009F120000}"/>
    <cellStyle name="_Приложение 02 русс на 16.04.2009 г. 1 сессия_Приложение реш 2010-2012каз_РБ_прил4р_к_Приложение_пост_рус_авг_Анализ 2" xfId="5538" xr:uid="{00000000-0005-0000-0000-0000A0120000}"/>
    <cellStyle name="_Приложение 02 русс на 16.04.2009 г. 1 сессия_Приложение реш 2010-2012каз_РБ_прил4р_к_Приложение_пост_рус_авг_Анализ 3.03.2011г." xfId="3236" xr:uid="{00000000-0005-0000-0000-0000A1120000}"/>
    <cellStyle name="_Приложение 02 русс на 16.04.2009 г. 1 сессия_Приложение реш 2010-2012каз_РБ_прил4р_к_Приложение_пост_рус_авг_Анализ 6.03.2011г." xfId="3237" xr:uid="{00000000-0005-0000-0000-0000A2120000}"/>
    <cellStyle name="_Приложение 02 русс на 16.04.2009 г. 1 сессия_Приложение реш 2010-2012каз_РБ_прил4р_к_Приложение_пост_рус_авг_Анализ 9.03.2011г." xfId="3238" xr:uid="{00000000-0005-0000-0000-0000A3120000}"/>
    <cellStyle name="_Приложение 02 русс на 16.04.2009 г. 1 сессия_Приложение реш 2010-2012каз_РБ_прил4р_к_Приложение_пост_рус_авг_Анализ_Приложение_рус _2012-2014_29,30" xfId="2111" xr:uid="{00000000-0005-0000-0000-0000A4120000}"/>
    <cellStyle name="_Приложение 02 русс на 16.04.2009 г. 1 сессия_Приложение реш 2010-2012каз_РБ_прил4р_к_Приложение_пост_рус_авг_Анализ_Приложение_рус _2012-2014_29,30 2" xfId="5539" xr:uid="{00000000-0005-0000-0000-0000A5120000}"/>
    <cellStyle name="_Приложение 02 русс на 16.04.2009 г. 1 сессия_Приложение реш 2010-2012каз_РБ_прил4р_к_Приложение_пост_рус_авг_Пр 4     11.05.11. ИКС" xfId="2112" xr:uid="{00000000-0005-0000-0000-0000A6120000}"/>
    <cellStyle name="_Приложение 02 русс на 16.04.2009 г. 1 сессия_Приложение реш 2010-2012каз_РБ_прил4р_к_Приложение_пост_рус_авг_Пр 4     11.05.11. ИКС 2" xfId="5540" xr:uid="{00000000-0005-0000-0000-0000A7120000}"/>
    <cellStyle name="_Приложение 02 русс на 16.04.2009 г. 1 сессия_Приложение реш 2010-2012каз_РБ_прил4р_к_Приложение_пост_рус_авг_Пр 4     11.05.11. ИКС_Приложение_рус _2012-2014_29,30" xfId="2113" xr:uid="{00000000-0005-0000-0000-0000A8120000}"/>
    <cellStyle name="_Приложение 02 русс на 16.04.2009 г. 1 сессия_Приложение реш 2010-2012каз_РБ_прил4р_к_Приложение_пост_рус_авг_Пр 4     11.05.11. ИКС_Приложение_рус _2012-2014_29,30 2" xfId="5541" xr:uid="{00000000-0005-0000-0000-0000A9120000}"/>
    <cellStyle name="_Приложение 02 русс на 16.04.2009 г. 1 сессия_Приложение реш 2010-2012каз_РБ_прил4р_к_Приложение_пост_рус_авг_Приложение 4 русс,каз 16.03.11. посл" xfId="2114" xr:uid="{00000000-0005-0000-0000-0000AA120000}"/>
    <cellStyle name="_Приложение 02 русс на 16.04.2009 г. 1 сессия_Приложение реш 2010-2012каз_РБ_прил4р_к_Приложение_пост_рус_авг_Приложение 4 русс,каз 16.03.11. посл 2" xfId="5542" xr:uid="{00000000-0005-0000-0000-0000AB120000}"/>
    <cellStyle name="_Приложение 02 русс на 16.04.2009 г. 1 сессия_Приложение реш 2010-2012каз_РБ_прил4р_к_Приложение_пост_рус_авг_Приложение 4 русс,каз 16.03.11. посл_Приложение_рус _2012-2014_29,30" xfId="2115" xr:uid="{00000000-0005-0000-0000-0000AC120000}"/>
    <cellStyle name="_Приложение 02 русс на 16.04.2009 г. 1 сессия_Приложение реш 2010-2012каз_РБ_прил4р_к_Приложение_пост_рус_авг_Приложение 4 русс,каз 16.03.11. посл_Приложение_рус _2012-2014_29,30 2" xfId="5543" xr:uid="{00000000-0005-0000-0000-0000AD120000}"/>
    <cellStyle name="_Приложение 02 русс на 16.04.2009 г. 1 сессия_Приложение реш 2010-2012каз_РБ_прил4р_к_Приложение_пост_рус_авг_Приложение_реал_рус 2011-2013 Уточнение" xfId="2116" xr:uid="{00000000-0005-0000-0000-0000AE120000}"/>
    <cellStyle name="_Приложение 02 русс на 16.04.2009 г. 1 сессия_Приложение реш 2010-2012каз_РБ_прил4р_к_Приложение_пост_рус_авг_Приложение_реал_рус 2011-2013 Уточнение 2" xfId="5544" xr:uid="{00000000-0005-0000-0000-0000AF120000}"/>
    <cellStyle name="_Приложение 02 русс на 16.04.2009 г. 1 сессия_Приложение реш 2010-2012каз_РБ_прил4р_к_Приложение_пост_рус_авг_Приложение_реал_рус 2011-2013 Уточнение_Приложение_рус _2012-2014_29,30" xfId="2117" xr:uid="{00000000-0005-0000-0000-0000B0120000}"/>
    <cellStyle name="_Приложение 02 русс на 16.04.2009 г. 1 сессия_Приложение реш 2010-2012каз_РБ_прил4р_к_Приложение_пост_рус_авг_Приложение_реал_рус 2011-2013 Уточнение_Приложение_рус _2012-2014_29,30 2" xfId="5545" xr:uid="{00000000-0005-0000-0000-0000B1120000}"/>
    <cellStyle name="_Приложение 02 русс на 16.04.2009 г. 1 сессия_Приложение реш 2010-2012каз_РБ_прил4р_к_Приложение_пост_рус_авг_Приложение_рус _2012-2014_29,30" xfId="2118" xr:uid="{00000000-0005-0000-0000-0000B2120000}"/>
    <cellStyle name="_Приложение 02 русс на 16.04.2009 г. 1 сессия_Приложение реш 2010-2012каз_РБ_прил4р_к_Приложение_пост_рус_авг_Приложение_рус _2012-2014_29,30 2" xfId="5546" xr:uid="{00000000-0005-0000-0000-0000B3120000}"/>
    <cellStyle name="_Приложение 02 русс на 16.04.2009 г. 1 сессия_Приложение реш 2010-2012каз_РБ_прил4р_к_Приложение_пост_рус_авг_приложения 2012 рус" xfId="2119" xr:uid="{00000000-0005-0000-0000-0000B4120000}"/>
    <cellStyle name="_Приложение 02 русс на 16.04.2009 г. 1 сессия_Приложение реш 2010-2012каз_РБ_прил4р_к_Приложение_пост_рус_авг_приложения 2012 рус 2" xfId="5547" xr:uid="{00000000-0005-0000-0000-0000B5120000}"/>
    <cellStyle name="_Приложение 02 русс на 16.04.2009 г. 1 сессия_Приложение реш 2010-2012каз_РБ_прил4р_к_Приложение_реал_рус 2011-2013 Уточнение" xfId="2120" xr:uid="{00000000-0005-0000-0000-0000B6120000}"/>
    <cellStyle name="_Приложение 02 русс на 16.04.2009 г. 1 сессия_Приложение реш 2010-2012каз_РБ_прил4р_к_Приложение_реал_рус 2011-2013 Уточнение 2" xfId="5548" xr:uid="{00000000-0005-0000-0000-0000B7120000}"/>
    <cellStyle name="_Приложение 02 русс на 16.04.2009 г. 1 сессия_Приложение реш 2010-2012каз_РБ_прил4р_к_Приложение_реал_рус 2011-2013 Уточнение_Приложение_рус _2012-2014_29,30" xfId="2121" xr:uid="{00000000-0005-0000-0000-0000B8120000}"/>
    <cellStyle name="_Приложение 02 русс на 16.04.2009 г. 1 сессия_Приложение реш 2010-2012каз_РБ_прил4р_к_Приложение_реал_рус 2011-2013 Уточнение_Приложение_рус _2012-2014_29,30 2" xfId="5549" xr:uid="{00000000-0005-0000-0000-0000B9120000}"/>
    <cellStyle name="_Приложение 02 русс на 16.04.2009 г. 1 сессия_Приложение реш 2010-2012каз_РБ_прил4р_к_Приложение_рус _2012-2014_29,30" xfId="2122" xr:uid="{00000000-0005-0000-0000-0000BA120000}"/>
    <cellStyle name="_Приложение 02 русс на 16.04.2009 г. 1 сессия_Приложение реш 2010-2012каз_РБ_прил4р_к_Приложение_рус _2012-2014_29,30 2" xfId="5550" xr:uid="{00000000-0005-0000-0000-0000BB120000}"/>
    <cellStyle name="_Приложение 02 русс на 16.04.2009 г. 1 сессия_Приложение реш 2010-2012каз_РБ_прил4р_к_приложения 2012 рус" xfId="2123" xr:uid="{00000000-0005-0000-0000-0000BC120000}"/>
    <cellStyle name="_Приложение 02 русс на 16.04.2009 г. 1 сессия_Приложение реш 2010-2012каз_РБ_прил4р_к_приложения 2012 рус 2" xfId="5551" xr:uid="{00000000-0005-0000-0000-0000BD120000}"/>
    <cellStyle name="_Приложение 02 русс на 16.04.2009 г. 1 сессия_Приложение реш 2010-2012каз_РБ_Приложение 4 русс,каз 16.03.11. посл" xfId="2124" xr:uid="{00000000-0005-0000-0000-0000BE120000}"/>
    <cellStyle name="_Приложение 02 русс на 16.04.2009 г. 1 сессия_Приложение реш 2010-2012каз_РБ_Приложение 4 русс,каз 16.03.11. посл 2" xfId="5552" xr:uid="{00000000-0005-0000-0000-0000BF120000}"/>
    <cellStyle name="_Приложение 02 русс на 16.04.2009 г. 1 сессия_Приложение реш 2010-2012каз_РБ_Приложение 4 русс,каз 16.03.11. посл_Приложение_рус _2012-2014_29,30" xfId="2125" xr:uid="{00000000-0005-0000-0000-0000C0120000}"/>
    <cellStyle name="_Приложение 02 русс на 16.04.2009 г. 1 сессия_Приложение реш 2010-2012каз_РБ_Приложение 4 русс,каз 16.03.11. посл_Приложение_рус _2012-2014_29,30 2" xfId="5553" xr:uid="{00000000-0005-0000-0000-0000C1120000}"/>
    <cellStyle name="_Приложение 02 русс на 16.04.2009 г. 1 сессия_Приложение реш 2010-2012каз_РБ_Приложение реш 2010-2012каз_РБ" xfId="2126" xr:uid="{00000000-0005-0000-0000-0000C2120000}"/>
    <cellStyle name="_Приложение 02 русс на 16.04.2009 г. 1 сессия_Приложение реш 2010-2012каз_РБ_Приложение реш 2010-2012каз_РБ 2" xfId="2127" xr:uid="{00000000-0005-0000-0000-0000C3120000}"/>
    <cellStyle name="_Приложение 02 русс на 16.04.2009 г. 1 сессия_Приложение реш 2010-2012каз_РБ_Приложение реш 2010-2012каз_РБ 2 2" xfId="5555" xr:uid="{00000000-0005-0000-0000-0000C4120000}"/>
    <cellStyle name="_Приложение 02 русс на 16.04.2009 г. 1 сессия_Приложение реш 2010-2012каз_РБ_Приложение реш 2010-2012каз_РБ 3" xfId="5554" xr:uid="{00000000-0005-0000-0000-0000C5120000}"/>
    <cellStyle name="_Приложение 02 русс на 16.04.2009 г. 1 сессия_Приложение реш 2010-2012каз_РБ_Приложение реш 2010-2012каз_РБ_Анализ" xfId="2128" xr:uid="{00000000-0005-0000-0000-0000C6120000}"/>
    <cellStyle name="_Приложение 02 русс на 16.04.2009 г. 1 сессия_Приложение реш 2010-2012каз_РБ_Приложение реш 2010-2012каз_РБ_Анализ 2" xfId="5556" xr:uid="{00000000-0005-0000-0000-0000C7120000}"/>
    <cellStyle name="_Приложение 02 русс на 16.04.2009 г. 1 сессия_Приложение реш 2010-2012каз_РБ_Приложение реш 2010-2012каз_РБ_Анализ 3.03.2011г." xfId="3239" xr:uid="{00000000-0005-0000-0000-0000C8120000}"/>
    <cellStyle name="_Приложение 02 русс на 16.04.2009 г. 1 сессия_Приложение реш 2010-2012каз_РБ_Приложение реш 2010-2012каз_РБ_Анализ 6.03.2011г." xfId="3240" xr:uid="{00000000-0005-0000-0000-0000C9120000}"/>
    <cellStyle name="_Приложение 02 русс на 16.04.2009 г. 1 сессия_Приложение реш 2010-2012каз_РБ_Приложение реш 2010-2012каз_РБ_Анализ 9.03.2011г." xfId="3241" xr:uid="{00000000-0005-0000-0000-0000CA120000}"/>
    <cellStyle name="_Приложение 02 русс на 16.04.2009 г. 1 сессия_Приложение реш 2010-2012каз_РБ_Приложение реш 2010-2012каз_РБ_Анализ_Приложение_рус _2012-2014_29,30" xfId="2129" xr:uid="{00000000-0005-0000-0000-0000CB120000}"/>
    <cellStyle name="_Приложение 02 русс на 16.04.2009 г. 1 сессия_Приложение реш 2010-2012каз_РБ_Приложение реш 2010-2012каз_РБ_Анализ_Приложение_рус _2012-2014_29,30 2" xfId="5557" xr:uid="{00000000-0005-0000-0000-0000CC120000}"/>
    <cellStyle name="_Приложение 02 русс на 16.04.2009 г. 1 сессия_Приложение реш 2010-2012каз_РБ_Приложение реш 2010-2012каз_РБ_Пр 4     11.05.11. ИКС" xfId="2130" xr:uid="{00000000-0005-0000-0000-0000CD120000}"/>
    <cellStyle name="_Приложение 02 русс на 16.04.2009 г. 1 сессия_Приложение реш 2010-2012каз_РБ_Приложение реш 2010-2012каз_РБ_Пр 4     11.05.11. ИКС 2" xfId="5558" xr:uid="{00000000-0005-0000-0000-0000CE120000}"/>
    <cellStyle name="_Приложение 02 русс на 16.04.2009 г. 1 сессия_Приложение реш 2010-2012каз_РБ_Приложение реш 2010-2012каз_РБ_Пр 4     11.05.11. ИКС_Приложение_рус _2012-2014_29,30" xfId="2131" xr:uid="{00000000-0005-0000-0000-0000CF120000}"/>
    <cellStyle name="_Приложение 02 русс на 16.04.2009 г. 1 сессия_Приложение реш 2010-2012каз_РБ_Приложение реш 2010-2012каз_РБ_Пр 4     11.05.11. ИКС_Приложение_рус _2012-2014_29,30 2" xfId="5559" xr:uid="{00000000-0005-0000-0000-0000D0120000}"/>
    <cellStyle name="_Приложение 02 русс на 16.04.2009 г. 1 сессия_Приложение реш 2010-2012каз_РБ_Приложение реш 2010-2012каз_РБ_Приложение 4 русс,каз 16.03.11. посл" xfId="2132" xr:uid="{00000000-0005-0000-0000-0000D1120000}"/>
    <cellStyle name="_Приложение 02 русс на 16.04.2009 г. 1 сессия_Приложение реш 2010-2012каз_РБ_Приложение реш 2010-2012каз_РБ_Приложение 4 русс,каз 16.03.11. посл 2" xfId="5560" xr:uid="{00000000-0005-0000-0000-0000D2120000}"/>
    <cellStyle name="_Приложение 02 русс на 16.04.2009 г. 1 сессия_Приложение реш 2010-2012каз_РБ_Приложение реш 2010-2012каз_РБ_Приложение 4 русс,каз 16.03.11. посл_Приложение_рус _2012-2014_29,30" xfId="2133" xr:uid="{00000000-0005-0000-0000-0000D3120000}"/>
    <cellStyle name="_Приложение 02 русс на 16.04.2009 г. 1 сессия_Приложение реш 2010-2012каз_РБ_Приложение реш 2010-2012каз_РБ_Приложение 4 русс,каз 16.03.11. посл_Приложение_рус _2012-2014_29,30 2" xfId="5561" xr:uid="{00000000-0005-0000-0000-0000D4120000}"/>
    <cellStyle name="_Приложение 02 русс на 16.04.2009 г. 1 сессия_Приложение реш 2010-2012каз_РБ_Приложение реш 2010-2012каз_РБ_Приложение_пост_каз_авг" xfId="2134" xr:uid="{00000000-0005-0000-0000-0000D5120000}"/>
    <cellStyle name="_Приложение 02 русс на 16.04.2009 г. 1 сессия_Приложение реш 2010-2012каз_РБ_Приложение реш 2010-2012каз_РБ_Приложение_пост_каз_авг 2" xfId="5562" xr:uid="{00000000-0005-0000-0000-0000D6120000}"/>
    <cellStyle name="_Приложение 02 русс на 16.04.2009 г. 1 сессия_Приложение реш 2010-2012каз_РБ_Приложение реш 2010-2012каз_РБ_Приложение_пост_каз_авг_Анализ" xfId="2135" xr:uid="{00000000-0005-0000-0000-0000D7120000}"/>
    <cellStyle name="_Приложение 02 русс на 16.04.2009 г. 1 сессия_Приложение реш 2010-2012каз_РБ_Приложение реш 2010-2012каз_РБ_Приложение_пост_каз_авг_Анализ 2" xfId="5563" xr:uid="{00000000-0005-0000-0000-0000D8120000}"/>
    <cellStyle name="_Приложение 02 русс на 16.04.2009 г. 1 сессия_Приложение реш 2010-2012каз_РБ_Приложение реш 2010-2012каз_РБ_Приложение_пост_каз_авг_Анализ 3.03.2011г." xfId="3242" xr:uid="{00000000-0005-0000-0000-0000D9120000}"/>
    <cellStyle name="_Приложение 02 русс на 16.04.2009 г. 1 сессия_Приложение реш 2010-2012каз_РБ_Приложение реш 2010-2012каз_РБ_Приложение_пост_каз_авг_Анализ 6.03.2011г." xfId="3243" xr:uid="{00000000-0005-0000-0000-0000DA120000}"/>
    <cellStyle name="_Приложение 02 русс на 16.04.2009 г. 1 сессия_Приложение реш 2010-2012каз_РБ_Приложение реш 2010-2012каз_РБ_Приложение_пост_каз_авг_Анализ 9.03.2011г." xfId="3244" xr:uid="{00000000-0005-0000-0000-0000DB120000}"/>
    <cellStyle name="_Приложение 02 русс на 16.04.2009 г. 1 сессия_Приложение реш 2010-2012каз_РБ_Приложение реш 2010-2012каз_РБ_Приложение_пост_каз_авг_Анализ_Приложение_рус _2012-2014_29,30" xfId="2136" xr:uid="{00000000-0005-0000-0000-0000DC120000}"/>
    <cellStyle name="_Приложение 02 русс на 16.04.2009 г. 1 сессия_Приложение реш 2010-2012каз_РБ_Приложение реш 2010-2012каз_РБ_Приложение_пост_каз_авг_Анализ_Приложение_рус _2012-2014_29,30 2" xfId="5564" xr:uid="{00000000-0005-0000-0000-0000DD120000}"/>
    <cellStyle name="_Приложение 02 русс на 16.04.2009 г. 1 сессия_Приложение реш 2010-2012каз_РБ_Приложение реш 2010-2012каз_РБ_Приложение_пост_каз_авг_Пр 4     11.05.11. ИКС" xfId="2137" xr:uid="{00000000-0005-0000-0000-0000DE120000}"/>
    <cellStyle name="_Приложение 02 русс на 16.04.2009 г. 1 сессия_Приложение реш 2010-2012каз_РБ_Приложение реш 2010-2012каз_РБ_Приложение_пост_каз_авг_Пр 4     11.05.11. ИКС 2" xfId="5565" xr:uid="{00000000-0005-0000-0000-0000DF120000}"/>
    <cellStyle name="_Приложение 02 русс на 16.04.2009 г. 1 сессия_Приложение реш 2010-2012каз_РБ_Приложение реш 2010-2012каз_РБ_Приложение_пост_каз_авг_Пр 4     11.05.11. ИКС_Приложение_рус _2012-2014_29,30" xfId="2138" xr:uid="{00000000-0005-0000-0000-0000E0120000}"/>
    <cellStyle name="_Приложение 02 русс на 16.04.2009 г. 1 сессия_Приложение реш 2010-2012каз_РБ_Приложение реш 2010-2012каз_РБ_Приложение_пост_каз_авг_Пр 4     11.05.11. ИКС_Приложение_рус _2012-2014_29,30 2" xfId="5566" xr:uid="{00000000-0005-0000-0000-0000E1120000}"/>
    <cellStyle name="_Приложение 02 русс на 16.04.2009 г. 1 сессия_Приложение реш 2010-2012каз_РБ_Приложение реш 2010-2012каз_РБ_Приложение_пост_каз_авг_Приложение 4 русс,каз 16.03.11. посл" xfId="2139" xr:uid="{00000000-0005-0000-0000-0000E2120000}"/>
    <cellStyle name="_Приложение 02 русс на 16.04.2009 г. 1 сессия_Приложение реш 2010-2012каз_РБ_Приложение реш 2010-2012каз_РБ_Приложение_пост_каз_авг_Приложение 4 русс,каз 16.03.11. посл 2" xfId="5567" xr:uid="{00000000-0005-0000-0000-0000E3120000}"/>
    <cellStyle name="_Приложение 02 русс на 16.04.2009 г. 1 сессия_Приложение реш 2010-2012каз_РБ_Приложение реш 2010-2012каз_РБ_Приложение_пост_каз_авг_Приложение 4 русс,каз 16.03.11. посл_Приложение_рус _2012-2014_29,30" xfId="2140" xr:uid="{00000000-0005-0000-0000-0000E4120000}"/>
    <cellStyle name="_Приложение 02 русс на 16.04.2009 г. 1 сессия_Приложение реш 2010-2012каз_РБ_Приложение реш 2010-2012каз_РБ_Приложение_пост_каз_авг_Приложение 4 русс,каз 16.03.11. посл_Приложение_рус _2012-2014_29,30 2" xfId="5568" xr:uid="{00000000-0005-0000-0000-0000E5120000}"/>
    <cellStyle name="_Приложение 02 русс на 16.04.2009 г. 1 сессия_Приложение реш 2010-2012каз_РБ_Приложение реш 2010-2012каз_РБ_Приложение_пост_каз_авг_Приложение_реал_рус 2011-2013 Уточнение" xfId="2141" xr:uid="{00000000-0005-0000-0000-0000E6120000}"/>
    <cellStyle name="_Приложение 02 русс на 16.04.2009 г. 1 сессия_Приложение реш 2010-2012каз_РБ_Приложение реш 2010-2012каз_РБ_Приложение_пост_каз_авг_Приложение_реал_рус 2011-2013 Уточнение 2" xfId="5569" xr:uid="{00000000-0005-0000-0000-0000E7120000}"/>
    <cellStyle name="_Приложение 02 русс на 16.04.2009 г. 1 сессия_Приложение реш 2010-2012каз_РБ_Приложение реш 2010-2012каз_РБ_Приложение_пост_каз_авг_Приложение_реал_рус 2011-2013 Уточнение_Приложение_рус _2012-2014_29,30" xfId="2142" xr:uid="{00000000-0005-0000-0000-0000E8120000}"/>
    <cellStyle name="_Приложение 02 русс на 16.04.2009 г. 1 сессия_Приложение реш 2010-2012каз_РБ_Приложение реш 2010-2012каз_РБ_Приложение_пост_каз_авг_Приложение_реал_рус 2011-2013 Уточнение_Приложение_рус _2012-2014_29,30 2" xfId="5570" xr:uid="{00000000-0005-0000-0000-0000E9120000}"/>
    <cellStyle name="_Приложение 02 русс на 16.04.2009 г. 1 сессия_Приложение реш 2010-2012каз_РБ_Приложение реш 2010-2012каз_РБ_Приложение_пост_каз_авг_Приложение_рус _2012-2014_29,30" xfId="2143" xr:uid="{00000000-0005-0000-0000-0000EA120000}"/>
    <cellStyle name="_Приложение 02 русс на 16.04.2009 г. 1 сессия_Приложение реш 2010-2012каз_РБ_Приложение реш 2010-2012каз_РБ_Приложение_пост_каз_авг_Приложение_рус _2012-2014_29,30 2" xfId="5571" xr:uid="{00000000-0005-0000-0000-0000EB120000}"/>
    <cellStyle name="_Приложение 02 русс на 16.04.2009 г. 1 сессия_Приложение реш 2010-2012каз_РБ_Приложение реш 2010-2012каз_РБ_Приложение_пост_каз_авг_приложения 2012 рус" xfId="2144" xr:uid="{00000000-0005-0000-0000-0000EC120000}"/>
    <cellStyle name="_Приложение 02 русс на 16.04.2009 г. 1 сессия_Приложение реш 2010-2012каз_РБ_Приложение реш 2010-2012каз_РБ_Приложение_пост_каз_авг_приложения 2012 рус 2" xfId="5572" xr:uid="{00000000-0005-0000-0000-0000ED120000}"/>
    <cellStyle name="_Приложение 02 русс на 16.04.2009 г. 1 сессия_Приложение реш 2010-2012каз_РБ_Приложение реш 2010-2012каз_РБ_Приложение_пост_рус_авг" xfId="2145" xr:uid="{00000000-0005-0000-0000-0000EE120000}"/>
    <cellStyle name="_Приложение 02 русс на 16.04.2009 г. 1 сессия_Приложение реш 2010-2012каз_РБ_Приложение реш 2010-2012каз_РБ_Приложение_пост_рус_авг 2" xfId="5573" xr:uid="{00000000-0005-0000-0000-0000EF120000}"/>
    <cellStyle name="_Приложение 02 русс на 16.04.2009 г. 1 сессия_Приложение реш 2010-2012каз_РБ_Приложение реш 2010-2012каз_РБ_Приложение_пост_рус_авг_Анализ" xfId="2146" xr:uid="{00000000-0005-0000-0000-0000F0120000}"/>
    <cellStyle name="_Приложение 02 русс на 16.04.2009 г. 1 сессия_Приложение реш 2010-2012каз_РБ_Приложение реш 2010-2012каз_РБ_Приложение_пост_рус_авг_Анализ 2" xfId="5574" xr:uid="{00000000-0005-0000-0000-0000F1120000}"/>
    <cellStyle name="_Приложение 02 русс на 16.04.2009 г. 1 сессия_Приложение реш 2010-2012каз_РБ_Приложение реш 2010-2012каз_РБ_Приложение_пост_рус_авг_Анализ 3.03.2011г." xfId="3245" xr:uid="{00000000-0005-0000-0000-0000F2120000}"/>
    <cellStyle name="_Приложение 02 русс на 16.04.2009 г. 1 сессия_Приложение реш 2010-2012каз_РБ_Приложение реш 2010-2012каз_РБ_Приложение_пост_рус_авг_Анализ 6.03.2011г." xfId="3246" xr:uid="{00000000-0005-0000-0000-0000F3120000}"/>
    <cellStyle name="_Приложение 02 русс на 16.04.2009 г. 1 сессия_Приложение реш 2010-2012каз_РБ_Приложение реш 2010-2012каз_РБ_Приложение_пост_рус_авг_Анализ 9.03.2011г." xfId="3247" xr:uid="{00000000-0005-0000-0000-0000F4120000}"/>
    <cellStyle name="_Приложение 02 русс на 16.04.2009 г. 1 сессия_Приложение реш 2010-2012каз_РБ_Приложение реш 2010-2012каз_РБ_Приложение_пост_рус_авг_Анализ_Приложение_рус _2012-2014_29,30" xfId="2147" xr:uid="{00000000-0005-0000-0000-0000F5120000}"/>
    <cellStyle name="_Приложение 02 русс на 16.04.2009 г. 1 сессия_Приложение реш 2010-2012каз_РБ_Приложение реш 2010-2012каз_РБ_Приложение_пост_рус_авг_Анализ_Приложение_рус _2012-2014_29,30 2" xfId="5575" xr:uid="{00000000-0005-0000-0000-0000F6120000}"/>
    <cellStyle name="_Приложение 02 русс на 16.04.2009 г. 1 сессия_Приложение реш 2010-2012каз_РБ_Приложение реш 2010-2012каз_РБ_Приложение_пост_рус_авг_Пр 4     11.05.11. ИКС" xfId="2148" xr:uid="{00000000-0005-0000-0000-0000F7120000}"/>
    <cellStyle name="_Приложение 02 русс на 16.04.2009 г. 1 сессия_Приложение реш 2010-2012каз_РБ_Приложение реш 2010-2012каз_РБ_Приложение_пост_рус_авг_Пр 4     11.05.11. ИКС 2" xfId="5576" xr:uid="{00000000-0005-0000-0000-0000F8120000}"/>
    <cellStyle name="_Приложение 02 русс на 16.04.2009 г. 1 сессия_Приложение реш 2010-2012каз_РБ_Приложение реш 2010-2012каз_РБ_Приложение_пост_рус_авг_Пр 4     11.05.11. ИКС_Приложение_рус _2012-2014_29,30" xfId="2149" xr:uid="{00000000-0005-0000-0000-0000F9120000}"/>
    <cellStyle name="_Приложение 02 русс на 16.04.2009 г. 1 сессия_Приложение реш 2010-2012каз_РБ_Приложение реш 2010-2012каз_РБ_Приложение_пост_рус_авг_Пр 4     11.05.11. ИКС_Приложение_рус _2012-2014_29,30 2" xfId="5577" xr:uid="{00000000-0005-0000-0000-0000FA120000}"/>
    <cellStyle name="_Приложение 02 русс на 16.04.2009 г. 1 сессия_Приложение реш 2010-2012каз_РБ_Приложение реш 2010-2012каз_РБ_Приложение_пост_рус_авг_Приложение 4 русс,каз 16.03.11. посл" xfId="2150" xr:uid="{00000000-0005-0000-0000-0000FB120000}"/>
    <cellStyle name="_Приложение 02 русс на 16.04.2009 г. 1 сессия_Приложение реш 2010-2012каз_РБ_Приложение реш 2010-2012каз_РБ_Приложение_пост_рус_авг_Приложение 4 русс,каз 16.03.11. посл 2" xfId="5578" xr:uid="{00000000-0005-0000-0000-0000FC120000}"/>
    <cellStyle name="_Приложение 02 русс на 16.04.2009 г. 1 сессия_Приложение реш 2010-2012каз_РБ_Приложение реш 2010-2012каз_РБ_Приложение_пост_рус_авг_Приложение 4 русс,каз 16.03.11. посл_Приложение_рус _2012-2014_29,30" xfId="2151" xr:uid="{00000000-0005-0000-0000-0000FD120000}"/>
    <cellStyle name="_Приложение 02 русс на 16.04.2009 г. 1 сессия_Приложение реш 2010-2012каз_РБ_Приложение реш 2010-2012каз_РБ_Приложение_пост_рус_авг_Приложение 4 русс,каз 16.03.11. посл_Приложение_рус _2012-2014_29,30 2" xfId="5579" xr:uid="{00000000-0005-0000-0000-0000FE120000}"/>
    <cellStyle name="_Приложение 02 русс на 16.04.2009 г. 1 сессия_Приложение реш 2010-2012каз_РБ_Приложение реш 2010-2012каз_РБ_Приложение_пост_рус_авг_Приложение_реал_рус 2011-2013 Уточнение" xfId="2152" xr:uid="{00000000-0005-0000-0000-0000FF120000}"/>
    <cellStyle name="_Приложение 02 русс на 16.04.2009 г. 1 сессия_Приложение реш 2010-2012каз_РБ_Приложение реш 2010-2012каз_РБ_Приложение_пост_рус_авг_Приложение_реал_рус 2011-2013 Уточнение 2" xfId="5580" xr:uid="{00000000-0005-0000-0000-000000130000}"/>
    <cellStyle name="_Приложение 02 русс на 16.04.2009 г. 1 сессия_Приложение реш 2010-2012каз_РБ_Приложение реш 2010-2012каз_РБ_Приложение_пост_рус_авг_Приложение_реал_рус 2011-2013 Уточнение_Приложение_рус _2012-2014_29,30" xfId="2153" xr:uid="{00000000-0005-0000-0000-000001130000}"/>
    <cellStyle name="_Приложение 02 русс на 16.04.2009 г. 1 сессия_Приложение реш 2010-2012каз_РБ_Приложение реш 2010-2012каз_РБ_Приложение_пост_рус_авг_Приложение_реал_рус 2011-2013 Уточнение_Приложение_рус _2012-2014_29,30 2" xfId="5581" xr:uid="{00000000-0005-0000-0000-000002130000}"/>
    <cellStyle name="_Приложение 02 русс на 16.04.2009 г. 1 сессия_Приложение реш 2010-2012каз_РБ_Приложение реш 2010-2012каз_РБ_Приложение_пост_рус_авг_Приложение_рус _2012-2014_29,30" xfId="2154" xr:uid="{00000000-0005-0000-0000-000003130000}"/>
    <cellStyle name="_Приложение 02 русс на 16.04.2009 г. 1 сессия_Приложение реш 2010-2012каз_РБ_Приложение реш 2010-2012каз_РБ_Приложение_пост_рус_авг_Приложение_рус _2012-2014_29,30 2" xfId="5582" xr:uid="{00000000-0005-0000-0000-000004130000}"/>
    <cellStyle name="_Приложение 02 русс на 16.04.2009 г. 1 сессия_Приложение реш 2010-2012каз_РБ_Приложение реш 2010-2012каз_РБ_Приложение_пост_рус_авг_приложения 2012 рус" xfId="2155" xr:uid="{00000000-0005-0000-0000-000005130000}"/>
    <cellStyle name="_Приложение 02 русс на 16.04.2009 г. 1 сессия_Приложение реш 2010-2012каз_РБ_Приложение реш 2010-2012каз_РБ_Приложение_пост_рус_авг_приложения 2012 рус 2" xfId="5583" xr:uid="{00000000-0005-0000-0000-000006130000}"/>
    <cellStyle name="_Приложение 02 русс на 16.04.2009 г. 1 сессия_Приложение реш 2010-2012каз_РБ_Приложение реш 2010-2012каз_РБ_Приложение_реал_рус 2011-2013 Уточнение" xfId="2156" xr:uid="{00000000-0005-0000-0000-000007130000}"/>
    <cellStyle name="_Приложение 02 русс на 16.04.2009 г. 1 сессия_Приложение реш 2010-2012каз_РБ_Приложение реш 2010-2012каз_РБ_Приложение_реал_рус 2011-2013 Уточнение 2" xfId="5584" xr:uid="{00000000-0005-0000-0000-000008130000}"/>
    <cellStyle name="_Приложение 02 русс на 16.04.2009 г. 1 сессия_Приложение реш 2010-2012каз_РБ_Приложение реш 2010-2012каз_РБ_Приложение_реал_рус 2011-2013 Уточнение_Приложение_рус _2012-2014_29,30" xfId="2157" xr:uid="{00000000-0005-0000-0000-000009130000}"/>
    <cellStyle name="_Приложение 02 русс на 16.04.2009 г. 1 сессия_Приложение реш 2010-2012каз_РБ_Приложение реш 2010-2012каз_РБ_Приложение_реал_рус 2011-2013 Уточнение_Приложение_рус _2012-2014_29,30 2" xfId="5585" xr:uid="{00000000-0005-0000-0000-00000A130000}"/>
    <cellStyle name="_Приложение 02 русс на 16.04.2009 г. 1 сессия_Приложение реш 2010-2012каз_РБ_Приложение реш 2010-2012каз_РБ_Приложение_рус _2012-2014_29,30" xfId="2158" xr:uid="{00000000-0005-0000-0000-00000B130000}"/>
    <cellStyle name="_Приложение 02 русс на 16.04.2009 г. 1 сессия_Приложение реш 2010-2012каз_РБ_Приложение реш 2010-2012каз_РБ_Приложение_рус _2012-2014_29,30 2" xfId="5586" xr:uid="{00000000-0005-0000-0000-00000C130000}"/>
    <cellStyle name="_Приложение 02 русс на 16.04.2009 г. 1 сессия_Приложение реш 2010-2012каз_РБ_Приложение реш 2010-2012каз_РБ_приложения 2012 рус" xfId="2159" xr:uid="{00000000-0005-0000-0000-00000D130000}"/>
    <cellStyle name="_Приложение 02 русс на 16.04.2009 г. 1 сессия_Приложение реш 2010-2012каз_РБ_Приложение реш 2010-2012каз_РБ_приложения 2012 рус 2" xfId="5587" xr:uid="{00000000-0005-0000-0000-00000E130000}"/>
    <cellStyle name="_Приложение 02 русс на 16.04.2009 г. 1 сессия_Приложение реш 2010-2012каз_РБ_Приложение_2010-2012 каз 04.08.10_ДК-2020" xfId="2160" xr:uid="{00000000-0005-0000-0000-00000F130000}"/>
    <cellStyle name="_Приложение 02 русс на 16.04.2009 г. 1 сессия_Приложение реш 2010-2012каз_РБ_Приложение_2010-2012 каз 04.08.10_ДК-2020 2" xfId="5588" xr:uid="{00000000-0005-0000-0000-000010130000}"/>
    <cellStyle name="_Приложение 02 русс на 16.04.2009 г. 1 сессия_Приложение реш 2010-2012каз_РБ_Приложение_2010-2012 каз 04.08.10_ДК-2020_Анализ" xfId="2161" xr:uid="{00000000-0005-0000-0000-000011130000}"/>
    <cellStyle name="_Приложение 02 русс на 16.04.2009 г. 1 сессия_Приложение реш 2010-2012каз_РБ_Приложение_2010-2012 каз 04.08.10_ДК-2020_Анализ 2" xfId="5589" xr:uid="{00000000-0005-0000-0000-000012130000}"/>
    <cellStyle name="_Приложение 02 русс на 16.04.2009 г. 1 сессия_Приложение реш 2010-2012каз_РБ_Приложение_2010-2012 каз 04.08.10_ДК-2020_Анализ 3.03.2011г." xfId="3248" xr:uid="{00000000-0005-0000-0000-000013130000}"/>
    <cellStyle name="_Приложение 02 русс на 16.04.2009 г. 1 сессия_Приложение реш 2010-2012каз_РБ_Приложение_2010-2012 каз 04.08.10_ДК-2020_Анализ 6.03.2011г." xfId="3249" xr:uid="{00000000-0005-0000-0000-000014130000}"/>
    <cellStyle name="_Приложение 02 русс на 16.04.2009 г. 1 сессия_Приложение реш 2010-2012каз_РБ_Приложение_2010-2012 каз 04.08.10_ДК-2020_Анализ 9.03.2011г." xfId="3250" xr:uid="{00000000-0005-0000-0000-000015130000}"/>
    <cellStyle name="_Приложение 02 русс на 16.04.2009 г. 1 сессия_Приложение реш 2010-2012каз_РБ_Приложение_2010-2012 каз 04.08.10_ДК-2020_Анализ_Приложение_рус _2012-2014_29,30" xfId="2162" xr:uid="{00000000-0005-0000-0000-000016130000}"/>
    <cellStyle name="_Приложение 02 русс на 16.04.2009 г. 1 сессия_Приложение реш 2010-2012каз_РБ_Приложение_2010-2012 каз 04.08.10_ДК-2020_Анализ_Приложение_рус _2012-2014_29,30 2" xfId="5590" xr:uid="{00000000-0005-0000-0000-000017130000}"/>
    <cellStyle name="_Приложение 02 русс на 16.04.2009 г. 1 сессия_Приложение реш 2010-2012каз_РБ_Приложение_2010-2012 каз 04.08.10_ДК-2020_Пр 4     11.05.11. ИКС" xfId="2163" xr:uid="{00000000-0005-0000-0000-000018130000}"/>
    <cellStyle name="_Приложение 02 русс на 16.04.2009 г. 1 сессия_Приложение реш 2010-2012каз_РБ_Приложение_2010-2012 каз 04.08.10_ДК-2020_Пр 4     11.05.11. ИКС 2" xfId="5591" xr:uid="{00000000-0005-0000-0000-000019130000}"/>
    <cellStyle name="_Приложение 02 русс на 16.04.2009 г. 1 сессия_Приложение реш 2010-2012каз_РБ_Приложение_2010-2012 каз 04.08.10_ДК-2020_Пр 4     11.05.11. ИКС_Приложение_рус _2012-2014_29,30" xfId="2164" xr:uid="{00000000-0005-0000-0000-00001A130000}"/>
    <cellStyle name="_Приложение 02 русс на 16.04.2009 г. 1 сессия_Приложение реш 2010-2012каз_РБ_Приложение_2010-2012 каз 04.08.10_ДК-2020_Пр 4     11.05.11. ИКС_Приложение_рус _2012-2014_29,30 2" xfId="5592" xr:uid="{00000000-0005-0000-0000-00001B130000}"/>
    <cellStyle name="_Приложение 02 русс на 16.04.2009 г. 1 сессия_Приложение реш 2010-2012каз_РБ_Приложение_2010-2012 каз 04.08.10_ДК-2020_Приложение 4 русс,каз 16.03.11. посл" xfId="2165" xr:uid="{00000000-0005-0000-0000-00001C130000}"/>
    <cellStyle name="_Приложение 02 русс на 16.04.2009 г. 1 сессия_Приложение реш 2010-2012каз_РБ_Приложение_2010-2012 каз 04.08.10_ДК-2020_Приложение 4 русс,каз 16.03.11. посл 2" xfId="5593" xr:uid="{00000000-0005-0000-0000-00001D130000}"/>
    <cellStyle name="_Приложение 02 русс на 16.04.2009 г. 1 сессия_Приложение реш 2010-2012каз_РБ_Приложение_2010-2012 каз 04.08.10_ДК-2020_Приложение 4 русс,каз 16.03.11. посл_Приложение_рус _2012-2014_29,30" xfId="2166" xr:uid="{00000000-0005-0000-0000-00001E130000}"/>
    <cellStyle name="_Приложение 02 русс на 16.04.2009 г. 1 сессия_Приложение реш 2010-2012каз_РБ_Приложение_2010-2012 каз 04.08.10_ДК-2020_Приложение 4 русс,каз 16.03.11. посл_Приложение_рус _2012-2014_29,30 2" xfId="5594" xr:uid="{00000000-0005-0000-0000-00001F130000}"/>
    <cellStyle name="_Приложение 02 русс на 16.04.2009 г. 1 сессия_Приложение реш 2010-2012каз_РБ_Приложение_2010-2012 каз 04.08.10_ДК-2020_Приложение_реал_рус 2011-2013 Уточнение" xfId="2167" xr:uid="{00000000-0005-0000-0000-000020130000}"/>
    <cellStyle name="_Приложение 02 русс на 16.04.2009 г. 1 сессия_Приложение реш 2010-2012каз_РБ_Приложение_2010-2012 каз 04.08.10_ДК-2020_Приложение_реал_рус 2011-2013 Уточнение 2" xfId="5595" xr:uid="{00000000-0005-0000-0000-000021130000}"/>
    <cellStyle name="_Приложение 02 русс на 16.04.2009 г. 1 сессия_Приложение реш 2010-2012каз_РБ_Приложение_2010-2012 каз 04.08.10_ДК-2020_Приложение_реал_рус 2011-2013 Уточнение_Приложение_рус _2012-2014_29,30" xfId="2168" xr:uid="{00000000-0005-0000-0000-000022130000}"/>
    <cellStyle name="_Приложение 02 русс на 16.04.2009 г. 1 сессия_Приложение реш 2010-2012каз_РБ_Приложение_2010-2012 каз 04.08.10_ДК-2020_Приложение_реал_рус 2011-2013 Уточнение_Приложение_рус _2012-2014_29,30 2" xfId="5596" xr:uid="{00000000-0005-0000-0000-000023130000}"/>
    <cellStyle name="_Приложение 02 русс на 16.04.2009 г. 1 сессия_Приложение реш 2010-2012каз_РБ_Приложение_2010-2012 каз 04.08.10_ДК-2020_Приложение_рус _2012-2014_29,30" xfId="2169" xr:uid="{00000000-0005-0000-0000-000024130000}"/>
    <cellStyle name="_Приложение 02 русс на 16.04.2009 г. 1 сессия_Приложение реш 2010-2012каз_РБ_Приложение_2010-2012 каз 04.08.10_ДК-2020_Приложение_рус _2012-2014_29,30 2" xfId="5597" xr:uid="{00000000-0005-0000-0000-000025130000}"/>
    <cellStyle name="_Приложение 02 русс на 16.04.2009 г. 1 сессия_Приложение реш 2010-2012каз_РБ_Приложение_2010-2012 каз 04.08.10_ДК-2020_приложения 2012 рус" xfId="2170" xr:uid="{00000000-0005-0000-0000-000026130000}"/>
    <cellStyle name="_Приложение 02 русс на 16.04.2009 г. 1 сессия_Приложение реш 2010-2012каз_РБ_Приложение_2010-2012 каз 04.08.10_ДК-2020_приложения 2012 рус 2" xfId="5598" xr:uid="{00000000-0005-0000-0000-000027130000}"/>
    <cellStyle name="_Приложение 02 русс на 16.04.2009 г. 1 сессия_Приложение реш 2010-2012каз_РБ_Приложение_2010-2012 каз_март" xfId="2171" xr:uid="{00000000-0005-0000-0000-000028130000}"/>
    <cellStyle name="_Приложение 02 русс на 16.04.2009 г. 1 сессия_Приложение реш 2010-2012каз_РБ_Приложение_2010-2012 каз_март 2" xfId="2172" xr:uid="{00000000-0005-0000-0000-000029130000}"/>
    <cellStyle name="_Приложение 02 русс на 16.04.2009 г. 1 сессия_Приложение реш 2010-2012каз_РБ_Приложение_2010-2012 каз_март 2 2" xfId="5600" xr:uid="{00000000-0005-0000-0000-00002A130000}"/>
    <cellStyle name="_Приложение 02 русс на 16.04.2009 г. 1 сессия_Приложение реш 2010-2012каз_РБ_Приложение_2010-2012 каз_март 3" xfId="5599" xr:uid="{00000000-0005-0000-0000-00002B130000}"/>
    <cellStyle name="_Приложение 02 русс на 16.04.2009 г. 1 сессия_Приложение реш 2010-2012каз_РБ_Приложение_2010-2012 каз_март_Анализ" xfId="2173" xr:uid="{00000000-0005-0000-0000-00002C130000}"/>
    <cellStyle name="_Приложение 02 русс на 16.04.2009 г. 1 сессия_Приложение реш 2010-2012каз_РБ_Приложение_2010-2012 каз_март_Анализ 2" xfId="5601" xr:uid="{00000000-0005-0000-0000-00002D130000}"/>
    <cellStyle name="_Приложение 02 русс на 16.04.2009 г. 1 сессия_Приложение реш 2010-2012каз_РБ_Приложение_2010-2012 каз_март_Анализ 3.03.2011г." xfId="3251" xr:uid="{00000000-0005-0000-0000-00002E130000}"/>
    <cellStyle name="_Приложение 02 русс на 16.04.2009 г. 1 сессия_Приложение реш 2010-2012каз_РБ_Приложение_2010-2012 каз_март_Анализ 6.03.2011г." xfId="3252" xr:uid="{00000000-0005-0000-0000-00002F130000}"/>
    <cellStyle name="_Приложение 02 русс на 16.04.2009 г. 1 сессия_Приложение реш 2010-2012каз_РБ_Приложение_2010-2012 каз_март_Анализ 9.03.2011г." xfId="3253" xr:uid="{00000000-0005-0000-0000-000030130000}"/>
    <cellStyle name="_Приложение 02 русс на 16.04.2009 г. 1 сессия_Приложение реш 2010-2012каз_РБ_Приложение_2010-2012 каз_март_Анализ_Приложение_рус _2012-2014_29,30" xfId="2174" xr:uid="{00000000-0005-0000-0000-000031130000}"/>
    <cellStyle name="_Приложение 02 русс на 16.04.2009 г. 1 сессия_Приложение реш 2010-2012каз_РБ_Приложение_2010-2012 каз_март_Анализ_Приложение_рус _2012-2014_29,30 2" xfId="5602" xr:uid="{00000000-0005-0000-0000-000032130000}"/>
    <cellStyle name="_Приложение 02 русс на 16.04.2009 г. 1 сессия_Приложение реш 2010-2012каз_РБ_Приложение_2010-2012 каз_март_Пр 4     11.05.11. ИКС" xfId="2175" xr:uid="{00000000-0005-0000-0000-000033130000}"/>
    <cellStyle name="_Приложение 02 русс на 16.04.2009 г. 1 сессия_Приложение реш 2010-2012каз_РБ_Приложение_2010-2012 каз_март_Пр 4     11.05.11. ИКС 2" xfId="5603" xr:uid="{00000000-0005-0000-0000-000034130000}"/>
    <cellStyle name="_Приложение 02 русс на 16.04.2009 г. 1 сессия_Приложение реш 2010-2012каз_РБ_Приложение_2010-2012 каз_март_Пр 4     11.05.11. ИКС_Приложение_рус _2012-2014_29,30" xfId="2176" xr:uid="{00000000-0005-0000-0000-000035130000}"/>
    <cellStyle name="_Приложение 02 русс на 16.04.2009 г. 1 сессия_Приложение реш 2010-2012каз_РБ_Приложение_2010-2012 каз_март_Пр 4     11.05.11. ИКС_Приложение_рус _2012-2014_29,30 2" xfId="5604" xr:uid="{00000000-0005-0000-0000-000036130000}"/>
    <cellStyle name="_Приложение 02 русс на 16.04.2009 г. 1 сессия_Приложение реш 2010-2012каз_РБ_Приложение_2010-2012 каз_март_Приложение 4 русс,каз 16.03.11. посл" xfId="2177" xr:uid="{00000000-0005-0000-0000-000037130000}"/>
    <cellStyle name="_Приложение 02 русс на 16.04.2009 г. 1 сессия_Приложение реш 2010-2012каз_РБ_Приложение_2010-2012 каз_март_Приложение 4 русс,каз 16.03.11. посл 2" xfId="5605" xr:uid="{00000000-0005-0000-0000-000038130000}"/>
    <cellStyle name="_Приложение 02 русс на 16.04.2009 г. 1 сессия_Приложение реш 2010-2012каз_РБ_Приложение_2010-2012 каз_март_Приложение 4 русс,каз 16.03.11. посл_Приложение_рус _2012-2014_29,30" xfId="2178" xr:uid="{00000000-0005-0000-0000-000039130000}"/>
    <cellStyle name="_Приложение 02 русс на 16.04.2009 г. 1 сессия_Приложение реш 2010-2012каз_РБ_Приложение_2010-2012 каз_март_Приложение 4 русс,каз 16.03.11. посл_Приложение_рус _2012-2014_29,30 2" xfId="5606" xr:uid="{00000000-0005-0000-0000-00003A130000}"/>
    <cellStyle name="_Приложение 02 русс на 16.04.2009 г. 1 сессия_Приложение реш 2010-2012каз_РБ_Приложение_2010-2012 каз_март_Приложение_пост_каз_авг" xfId="2179" xr:uid="{00000000-0005-0000-0000-00003B130000}"/>
    <cellStyle name="_Приложение 02 русс на 16.04.2009 г. 1 сессия_Приложение реш 2010-2012каз_РБ_Приложение_2010-2012 каз_март_Приложение_пост_каз_авг 2" xfId="5607" xr:uid="{00000000-0005-0000-0000-00003C130000}"/>
    <cellStyle name="_Приложение 02 русс на 16.04.2009 г. 1 сессия_Приложение реш 2010-2012каз_РБ_Приложение_2010-2012 каз_март_Приложение_пост_каз_авг_Анализ" xfId="2180" xr:uid="{00000000-0005-0000-0000-00003D130000}"/>
    <cellStyle name="_Приложение 02 русс на 16.04.2009 г. 1 сессия_Приложение реш 2010-2012каз_РБ_Приложение_2010-2012 каз_март_Приложение_пост_каз_авг_Анализ 2" xfId="5608" xr:uid="{00000000-0005-0000-0000-00003E130000}"/>
    <cellStyle name="_Приложение 02 русс на 16.04.2009 г. 1 сессия_Приложение реш 2010-2012каз_РБ_Приложение_2010-2012 каз_март_Приложение_пост_каз_авг_Анализ 3.03.2011г." xfId="3254" xr:uid="{00000000-0005-0000-0000-00003F130000}"/>
    <cellStyle name="_Приложение 02 русс на 16.04.2009 г. 1 сессия_Приложение реш 2010-2012каз_РБ_Приложение_2010-2012 каз_март_Приложение_пост_каз_авг_Анализ 6.03.2011г." xfId="3255" xr:uid="{00000000-0005-0000-0000-000040130000}"/>
    <cellStyle name="_Приложение 02 русс на 16.04.2009 г. 1 сессия_Приложение реш 2010-2012каз_РБ_Приложение_2010-2012 каз_март_Приложение_пост_каз_авг_Анализ 9.03.2011г." xfId="3256" xr:uid="{00000000-0005-0000-0000-000041130000}"/>
    <cellStyle name="_Приложение 02 русс на 16.04.2009 г. 1 сессия_Приложение реш 2010-2012каз_РБ_Приложение_2010-2012 каз_март_Приложение_пост_каз_авг_Анализ_Приложение_рус _2012-2014_29,30" xfId="2181" xr:uid="{00000000-0005-0000-0000-000042130000}"/>
    <cellStyle name="_Приложение 02 русс на 16.04.2009 г. 1 сессия_Приложение реш 2010-2012каз_РБ_Приложение_2010-2012 каз_март_Приложение_пост_каз_авг_Анализ_Приложение_рус _2012-2014_29,30 2" xfId="5609" xr:uid="{00000000-0005-0000-0000-000043130000}"/>
    <cellStyle name="_Приложение 02 русс на 16.04.2009 г. 1 сессия_Приложение реш 2010-2012каз_РБ_Приложение_2010-2012 каз_март_Приложение_пост_каз_авг_Пр 4     11.05.11. ИКС" xfId="2182" xr:uid="{00000000-0005-0000-0000-000044130000}"/>
    <cellStyle name="_Приложение 02 русс на 16.04.2009 г. 1 сессия_Приложение реш 2010-2012каз_РБ_Приложение_2010-2012 каз_март_Приложение_пост_каз_авг_Пр 4     11.05.11. ИКС 2" xfId="5610" xr:uid="{00000000-0005-0000-0000-000045130000}"/>
    <cellStyle name="_Приложение 02 русс на 16.04.2009 г. 1 сессия_Приложение реш 2010-2012каз_РБ_Приложение_2010-2012 каз_март_Приложение_пост_каз_авг_Пр 4     11.05.11. ИКС_Приложение_рус _2012-2014_29,30" xfId="2183" xr:uid="{00000000-0005-0000-0000-000046130000}"/>
    <cellStyle name="_Приложение 02 русс на 16.04.2009 г. 1 сессия_Приложение реш 2010-2012каз_РБ_Приложение_2010-2012 каз_март_Приложение_пост_каз_авг_Пр 4     11.05.11. ИКС_Приложение_рус _2012-2014_29,30 2" xfId="5611" xr:uid="{00000000-0005-0000-0000-000047130000}"/>
    <cellStyle name="_Приложение 02 русс на 16.04.2009 г. 1 сессия_Приложение реш 2010-2012каз_РБ_Приложение_2010-2012 каз_март_Приложение_пост_каз_авг_Приложение 4 русс,каз 16.03.11. посл" xfId="2184" xr:uid="{00000000-0005-0000-0000-000048130000}"/>
    <cellStyle name="_Приложение 02 русс на 16.04.2009 г. 1 сессия_Приложение реш 2010-2012каз_РБ_Приложение_2010-2012 каз_март_Приложение_пост_каз_авг_Приложение 4 русс,каз 16.03.11. посл 2" xfId="5612" xr:uid="{00000000-0005-0000-0000-000049130000}"/>
    <cellStyle name="_Приложение 02 русс на 16.04.2009 г. 1 сессия_Приложение реш 2010-2012каз_РБ_Приложение_2010-2012 каз_март_Приложение_пост_каз_авг_Приложение 4 русс,каз 16.03.11. посл_Приложение_рус _2012-2014_29,30" xfId="2185" xr:uid="{00000000-0005-0000-0000-00004A130000}"/>
    <cellStyle name="_Приложение 02 русс на 16.04.2009 г. 1 сессия_Приложение реш 2010-2012каз_РБ_Приложение_2010-2012 каз_март_Приложение_пост_каз_авг_Приложение 4 русс,каз 16.03.11. посл_Приложение_рус _2012-2014_29,30 2" xfId="5613" xr:uid="{00000000-0005-0000-0000-00004B130000}"/>
    <cellStyle name="_Приложение 02 русс на 16.04.2009 г. 1 сессия_Приложение реш 2010-2012каз_РБ_Приложение_2010-2012 каз_март_Приложение_пост_каз_авг_Приложение_реал_рус 2011-2013 Уточнение" xfId="2186" xr:uid="{00000000-0005-0000-0000-00004C130000}"/>
    <cellStyle name="_Приложение 02 русс на 16.04.2009 г. 1 сессия_Приложение реш 2010-2012каз_РБ_Приложение_2010-2012 каз_март_Приложение_пост_каз_авг_Приложение_реал_рус 2011-2013 Уточнение 2" xfId="5614" xr:uid="{00000000-0005-0000-0000-00004D130000}"/>
    <cellStyle name="_Приложение 02 русс на 16.04.2009 г. 1 сессия_Приложение реш 2010-2012каз_РБ_Приложение_2010-2012 каз_март_Приложение_пост_каз_авг_Приложение_реал_рус 2011-2013 Уточнение_Приложение_рус _2012-2014_29,30" xfId="2187" xr:uid="{00000000-0005-0000-0000-00004E130000}"/>
    <cellStyle name="_Приложение 02 русс на 16.04.2009 г. 1 сессия_Приложение реш 2010-2012каз_РБ_Приложение_2010-2012 каз_март_Приложение_пост_каз_авг_Приложение_реал_рус 2011-2013 Уточнение_Приложение_рус _2012-2014_29,30 2" xfId="5615" xr:uid="{00000000-0005-0000-0000-00004F130000}"/>
    <cellStyle name="_Приложение 02 русс на 16.04.2009 г. 1 сессия_Приложение реш 2010-2012каз_РБ_Приложение_2010-2012 каз_март_Приложение_пост_каз_авг_Приложение_рус _2012-2014_29,30" xfId="2188" xr:uid="{00000000-0005-0000-0000-000050130000}"/>
    <cellStyle name="_Приложение 02 русс на 16.04.2009 г. 1 сессия_Приложение реш 2010-2012каз_РБ_Приложение_2010-2012 каз_март_Приложение_пост_каз_авг_Приложение_рус _2012-2014_29,30 2" xfId="5616" xr:uid="{00000000-0005-0000-0000-000051130000}"/>
    <cellStyle name="_Приложение 02 русс на 16.04.2009 г. 1 сессия_Приложение реш 2010-2012каз_РБ_Приложение_2010-2012 каз_март_Приложение_пост_каз_авг_приложения 2012 рус" xfId="2189" xr:uid="{00000000-0005-0000-0000-000052130000}"/>
    <cellStyle name="_Приложение 02 русс на 16.04.2009 г. 1 сессия_Приложение реш 2010-2012каз_РБ_Приложение_2010-2012 каз_март_Приложение_пост_каз_авг_приложения 2012 рус 2" xfId="5617" xr:uid="{00000000-0005-0000-0000-000053130000}"/>
    <cellStyle name="_Приложение 02 русс на 16.04.2009 г. 1 сессия_Приложение реш 2010-2012каз_РБ_Приложение_2010-2012 каз_март_Приложение_пост_рус_авг" xfId="2190" xr:uid="{00000000-0005-0000-0000-000054130000}"/>
    <cellStyle name="_Приложение 02 русс на 16.04.2009 г. 1 сессия_Приложение реш 2010-2012каз_РБ_Приложение_2010-2012 каз_март_Приложение_пост_рус_авг 2" xfId="5618" xr:uid="{00000000-0005-0000-0000-000055130000}"/>
    <cellStyle name="_Приложение 02 русс на 16.04.2009 г. 1 сессия_Приложение реш 2010-2012каз_РБ_Приложение_2010-2012 каз_март_Приложение_пост_рус_авг_Анализ" xfId="2191" xr:uid="{00000000-0005-0000-0000-000056130000}"/>
    <cellStyle name="_Приложение 02 русс на 16.04.2009 г. 1 сессия_Приложение реш 2010-2012каз_РБ_Приложение_2010-2012 каз_март_Приложение_пост_рус_авг_Анализ 2" xfId="5619" xr:uid="{00000000-0005-0000-0000-000057130000}"/>
    <cellStyle name="_Приложение 02 русс на 16.04.2009 г. 1 сессия_Приложение реш 2010-2012каз_РБ_Приложение_2010-2012 каз_март_Приложение_пост_рус_авг_Анализ 3.03.2011г." xfId="3257" xr:uid="{00000000-0005-0000-0000-000058130000}"/>
    <cellStyle name="_Приложение 02 русс на 16.04.2009 г. 1 сессия_Приложение реш 2010-2012каз_РБ_Приложение_2010-2012 каз_март_Приложение_пост_рус_авг_Анализ 6.03.2011г." xfId="3258" xr:uid="{00000000-0005-0000-0000-000059130000}"/>
    <cellStyle name="_Приложение 02 русс на 16.04.2009 г. 1 сессия_Приложение реш 2010-2012каз_РБ_Приложение_2010-2012 каз_март_Приложение_пост_рус_авг_Анализ 9.03.2011г." xfId="3259" xr:uid="{00000000-0005-0000-0000-00005A130000}"/>
    <cellStyle name="_Приложение 02 русс на 16.04.2009 г. 1 сессия_Приложение реш 2010-2012каз_РБ_Приложение_2010-2012 каз_март_Приложение_пост_рус_авг_Анализ_Приложение_рус _2012-2014_29,30" xfId="2192" xr:uid="{00000000-0005-0000-0000-00005B130000}"/>
    <cellStyle name="_Приложение 02 русс на 16.04.2009 г. 1 сессия_Приложение реш 2010-2012каз_РБ_Приложение_2010-2012 каз_март_Приложение_пост_рус_авг_Анализ_Приложение_рус _2012-2014_29,30 2" xfId="5620" xr:uid="{00000000-0005-0000-0000-00005C130000}"/>
    <cellStyle name="_Приложение 02 русс на 16.04.2009 г. 1 сессия_Приложение реш 2010-2012каз_РБ_Приложение_2010-2012 каз_март_Приложение_пост_рус_авг_Пр 4     11.05.11. ИКС" xfId="2193" xr:uid="{00000000-0005-0000-0000-00005D130000}"/>
    <cellStyle name="_Приложение 02 русс на 16.04.2009 г. 1 сессия_Приложение реш 2010-2012каз_РБ_Приложение_2010-2012 каз_март_Приложение_пост_рус_авг_Пр 4     11.05.11. ИКС 2" xfId="5621" xr:uid="{00000000-0005-0000-0000-00005E130000}"/>
    <cellStyle name="_Приложение 02 русс на 16.04.2009 г. 1 сессия_Приложение реш 2010-2012каз_РБ_Приложение_2010-2012 каз_март_Приложение_пост_рус_авг_Пр 4     11.05.11. ИКС_Приложение_рус _2012-2014_29,30" xfId="2194" xr:uid="{00000000-0005-0000-0000-00005F130000}"/>
    <cellStyle name="_Приложение 02 русс на 16.04.2009 г. 1 сессия_Приложение реш 2010-2012каз_РБ_Приложение_2010-2012 каз_март_Приложение_пост_рус_авг_Пр 4     11.05.11. ИКС_Приложение_рус _2012-2014_29,30 2" xfId="5622" xr:uid="{00000000-0005-0000-0000-000060130000}"/>
    <cellStyle name="_Приложение 02 русс на 16.04.2009 г. 1 сессия_Приложение реш 2010-2012каз_РБ_Приложение_2010-2012 каз_март_Приложение_пост_рус_авг_Приложение 4 русс,каз 16.03.11. посл" xfId="2195" xr:uid="{00000000-0005-0000-0000-000061130000}"/>
    <cellStyle name="_Приложение 02 русс на 16.04.2009 г. 1 сессия_Приложение реш 2010-2012каз_РБ_Приложение_2010-2012 каз_март_Приложение_пост_рус_авг_Приложение 4 русс,каз 16.03.11. посл 2" xfId="5623" xr:uid="{00000000-0005-0000-0000-000062130000}"/>
    <cellStyle name="_Приложение 02 русс на 16.04.2009 г. 1 сессия_Приложение реш 2010-2012каз_РБ_Приложение_2010-2012 каз_март_Приложение_пост_рус_авг_Приложение 4 русс,каз 16.03.11. посл_Приложение_рус _2012-2014_29,30" xfId="2196" xr:uid="{00000000-0005-0000-0000-000063130000}"/>
    <cellStyle name="_Приложение 02 русс на 16.04.2009 г. 1 сессия_Приложение реш 2010-2012каз_РБ_Приложение_2010-2012 каз_март_Приложение_пост_рус_авг_Приложение 4 русс,каз 16.03.11. посл_Приложение_рус _2012-2014_29,30 2" xfId="5624" xr:uid="{00000000-0005-0000-0000-000064130000}"/>
    <cellStyle name="_Приложение 02 русс на 16.04.2009 г. 1 сессия_Приложение реш 2010-2012каз_РБ_Приложение_2010-2012 каз_март_Приложение_пост_рус_авг_Приложение_реал_рус 2011-2013 Уточнение" xfId="2197" xr:uid="{00000000-0005-0000-0000-000065130000}"/>
    <cellStyle name="_Приложение 02 русс на 16.04.2009 г. 1 сессия_Приложение реш 2010-2012каз_РБ_Приложение_2010-2012 каз_март_Приложение_пост_рус_авг_Приложение_реал_рус 2011-2013 Уточнение 2" xfId="5625" xr:uid="{00000000-0005-0000-0000-000066130000}"/>
    <cellStyle name="_Приложение 02 русс на 16.04.2009 г. 1 сессия_Приложение реш 2010-2012каз_РБ_Приложение_2010-2012 каз_март_Приложение_пост_рус_авг_Приложение_реал_рус 2011-2013 Уточнение_Приложение_рус _2012-2014_29,30" xfId="2198" xr:uid="{00000000-0005-0000-0000-000067130000}"/>
    <cellStyle name="_Приложение 02 русс на 16.04.2009 г. 1 сессия_Приложение реш 2010-2012каз_РБ_Приложение_2010-2012 каз_март_Приложение_пост_рус_авг_Приложение_реал_рус 2011-2013 Уточнение_Приложение_рус _2012-2014_29,30 2" xfId="5626" xr:uid="{00000000-0005-0000-0000-000068130000}"/>
    <cellStyle name="_Приложение 02 русс на 16.04.2009 г. 1 сессия_Приложение реш 2010-2012каз_РБ_Приложение_2010-2012 каз_март_Приложение_пост_рус_авг_Приложение_рус _2012-2014_29,30" xfId="2199" xr:uid="{00000000-0005-0000-0000-000069130000}"/>
    <cellStyle name="_Приложение 02 русс на 16.04.2009 г. 1 сессия_Приложение реш 2010-2012каз_РБ_Приложение_2010-2012 каз_март_Приложение_пост_рус_авг_Приложение_рус _2012-2014_29,30 2" xfId="5627" xr:uid="{00000000-0005-0000-0000-00006A130000}"/>
    <cellStyle name="_Приложение 02 русс на 16.04.2009 г. 1 сессия_Приложение реш 2010-2012каз_РБ_Приложение_2010-2012 каз_март_Приложение_пост_рус_авг_приложения 2012 рус" xfId="2200" xr:uid="{00000000-0005-0000-0000-00006B130000}"/>
    <cellStyle name="_Приложение 02 русс на 16.04.2009 г. 1 сессия_Приложение реш 2010-2012каз_РБ_Приложение_2010-2012 каз_март_Приложение_пост_рус_авг_приложения 2012 рус 2" xfId="5628" xr:uid="{00000000-0005-0000-0000-00006C130000}"/>
    <cellStyle name="_Приложение 02 русс на 16.04.2009 г. 1 сессия_Приложение реш 2010-2012каз_РБ_Приложение_2010-2012 каз_март_Приложение_реал_рус 2011-2013 Уточнение" xfId="2201" xr:uid="{00000000-0005-0000-0000-00006D130000}"/>
    <cellStyle name="_Приложение 02 русс на 16.04.2009 г. 1 сессия_Приложение реш 2010-2012каз_РБ_Приложение_2010-2012 каз_март_Приложение_реал_рус 2011-2013 Уточнение 2" xfId="5629" xr:uid="{00000000-0005-0000-0000-00006E130000}"/>
    <cellStyle name="_Приложение 02 русс на 16.04.2009 г. 1 сессия_Приложение реш 2010-2012каз_РБ_Приложение_2010-2012 каз_март_Приложение_реал_рус 2011-2013 Уточнение_Приложение_рус _2012-2014_29,30" xfId="2202" xr:uid="{00000000-0005-0000-0000-00006F130000}"/>
    <cellStyle name="_Приложение 02 русс на 16.04.2009 г. 1 сессия_Приложение реш 2010-2012каз_РБ_Приложение_2010-2012 каз_март_Приложение_реал_рус 2011-2013 Уточнение_Приложение_рус _2012-2014_29,30 2" xfId="5630" xr:uid="{00000000-0005-0000-0000-000070130000}"/>
    <cellStyle name="_Приложение 02 русс на 16.04.2009 г. 1 сессия_Приложение реш 2010-2012каз_РБ_Приложение_2010-2012 каз_март_Приложение_рус _2012-2014_29,30" xfId="2203" xr:uid="{00000000-0005-0000-0000-000071130000}"/>
    <cellStyle name="_Приложение 02 русс на 16.04.2009 г. 1 сессия_Приложение реш 2010-2012каз_РБ_Приложение_2010-2012 каз_март_Приложение_рус _2012-2014_29,30 2" xfId="5631" xr:uid="{00000000-0005-0000-0000-000072130000}"/>
    <cellStyle name="_Приложение 02 русс на 16.04.2009 г. 1 сессия_Приложение реш 2010-2012каз_РБ_Приложение_2010-2012 каз_март_приложения 2012 рус" xfId="2204" xr:uid="{00000000-0005-0000-0000-000073130000}"/>
    <cellStyle name="_Приложение 02 русс на 16.04.2009 г. 1 сессия_Приложение реш 2010-2012каз_РБ_Приложение_2010-2012 каз_март_приложения 2012 рус 2" xfId="5632" xr:uid="{00000000-0005-0000-0000-000074130000}"/>
    <cellStyle name="_Приложение 02 русс на 16.04.2009 г. 1 сессия_Приложение реш 2010-2012каз_РБ_Приложение_пост_каз_авг" xfId="2205" xr:uid="{00000000-0005-0000-0000-000075130000}"/>
    <cellStyle name="_Приложение 02 русс на 16.04.2009 г. 1 сессия_Приложение реш 2010-2012каз_РБ_Приложение_пост_каз_авг 2" xfId="5633" xr:uid="{00000000-0005-0000-0000-000076130000}"/>
    <cellStyle name="_Приложение 02 русс на 16.04.2009 г. 1 сессия_Приложение реш 2010-2012каз_РБ_Приложение_пост_каз_авг_Анализ" xfId="2206" xr:uid="{00000000-0005-0000-0000-000077130000}"/>
    <cellStyle name="_Приложение 02 русс на 16.04.2009 г. 1 сессия_Приложение реш 2010-2012каз_РБ_Приложение_пост_каз_авг_Анализ 2" xfId="5634" xr:uid="{00000000-0005-0000-0000-000078130000}"/>
    <cellStyle name="_Приложение 02 русс на 16.04.2009 г. 1 сессия_Приложение реш 2010-2012каз_РБ_Приложение_пост_каз_авг_Анализ 3.03.2011г." xfId="3260" xr:uid="{00000000-0005-0000-0000-000079130000}"/>
    <cellStyle name="_Приложение 02 русс на 16.04.2009 г. 1 сессия_Приложение реш 2010-2012каз_РБ_Приложение_пост_каз_авг_Анализ 6.03.2011г." xfId="3261" xr:uid="{00000000-0005-0000-0000-00007A130000}"/>
    <cellStyle name="_Приложение 02 русс на 16.04.2009 г. 1 сессия_Приложение реш 2010-2012каз_РБ_Приложение_пост_каз_авг_Анализ 9.03.2011г." xfId="3262" xr:uid="{00000000-0005-0000-0000-00007B130000}"/>
    <cellStyle name="_Приложение 02 русс на 16.04.2009 г. 1 сессия_Приложение реш 2010-2012каз_РБ_Приложение_пост_каз_авг_Анализ_Приложение_рус _2012-2014_29,30" xfId="2207" xr:uid="{00000000-0005-0000-0000-00007C130000}"/>
    <cellStyle name="_Приложение 02 русс на 16.04.2009 г. 1 сессия_Приложение реш 2010-2012каз_РБ_Приложение_пост_каз_авг_Анализ_Приложение_рус _2012-2014_29,30 2" xfId="5635" xr:uid="{00000000-0005-0000-0000-00007D130000}"/>
    <cellStyle name="_Приложение 02 русс на 16.04.2009 г. 1 сессия_Приложение реш 2010-2012каз_РБ_Приложение_пост_каз_авг_Пр 4     11.05.11. ИКС" xfId="2208" xr:uid="{00000000-0005-0000-0000-00007E130000}"/>
    <cellStyle name="_Приложение 02 русс на 16.04.2009 г. 1 сессия_Приложение реш 2010-2012каз_РБ_Приложение_пост_каз_авг_Пр 4     11.05.11. ИКС 2" xfId="5636" xr:uid="{00000000-0005-0000-0000-00007F130000}"/>
    <cellStyle name="_Приложение 02 русс на 16.04.2009 г. 1 сессия_Приложение реш 2010-2012каз_РБ_Приложение_пост_каз_авг_Пр 4     11.05.11. ИКС_Приложение_рус _2012-2014_29,30" xfId="2209" xr:uid="{00000000-0005-0000-0000-000080130000}"/>
    <cellStyle name="_Приложение 02 русс на 16.04.2009 г. 1 сессия_Приложение реш 2010-2012каз_РБ_Приложение_пост_каз_авг_Пр 4     11.05.11. ИКС_Приложение_рус _2012-2014_29,30 2" xfId="5637" xr:uid="{00000000-0005-0000-0000-000081130000}"/>
    <cellStyle name="_Приложение 02 русс на 16.04.2009 г. 1 сессия_Приложение реш 2010-2012каз_РБ_Приложение_пост_каз_авг_Приложение 4 русс,каз 16.03.11. посл" xfId="2210" xr:uid="{00000000-0005-0000-0000-000082130000}"/>
    <cellStyle name="_Приложение 02 русс на 16.04.2009 г. 1 сессия_Приложение реш 2010-2012каз_РБ_Приложение_пост_каз_авг_Приложение 4 русс,каз 16.03.11. посл 2" xfId="5638" xr:uid="{00000000-0005-0000-0000-000083130000}"/>
    <cellStyle name="_Приложение 02 русс на 16.04.2009 г. 1 сессия_Приложение реш 2010-2012каз_РБ_Приложение_пост_каз_авг_Приложение 4 русс,каз 16.03.11. посл_Приложение_рус _2012-2014_29,30" xfId="2211" xr:uid="{00000000-0005-0000-0000-000084130000}"/>
    <cellStyle name="_Приложение 02 русс на 16.04.2009 г. 1 сессия_Приложение реш 2010-2012каз_РБ_Приложение_пост_каз_авг_Приложение 4 русс,каз 16.03.11. посл_Приложение_рус _2012-2014_29,30 2" xfId="5639" xr:uid="{00000000-0005-0000-0000-000085130000}"/>
    <cellStyle name="_Приложение 02 русс на 16.04.2009 г. 1 сессия_Приложение реш 2010-2012каз_РБ_Приложение_пост_каз_авг_Приложение_реал_рус 2011-2013 Уточнение" xfId="2212" xr:uid="{00000000-0005-0000-0000-000086130000}"/>
    <cellStyle name="_Приложение 02 русс на 16.04.2009 г. 1 сессия_Приложение реш 2010-2012каз_РБ_Приложение_пост_каз_авг_Приложение_реал_рус 2011-2013 Уточнение 2" xfId="5640" xr:uid="{00000000-0005-0000-0000-000087130000}"/>
    <cellStyle name="_Приложение 02 русс на 16.04.2009 г. 1 сессия_Приложение реш 2010-2012каз_РБ_Приложение_пост_каз_авг_Приложение_реал_рус 2011-2013 Уточнение_Приложение_рус _2012-2014_29,30" xfId="2213" xr:uid="{00000000-0005-0000-0000-000088130000}"/>
    <cellStyle name="_Приложение 02 русс на 16.04.2009 г. 1 сессия_Приложение реш 2010-2012каз_РБ_Приложение_пост_каз_авг_Приложение_реал_рус 2011-2013 Уточнение_Приложение_рус _2012-2014_29,30 2" xfId="5641" xr:uid="{00000000-0005-0000-0000-000089130000}"/>
    <cellStyle name="_Приложение 02 русс на 16.04.2009 г. 1 сессия_Приложение реш 2010-2012каз_РБ_Приложение_пост_каз_авг_Приложение_рус _2012-2014_29,30" xfId="2214" xr:uid="{00000000-0005-0000-0000-00008A130000}"/>
    <cellStyle name="_Приложение 02 русс на 16.04.2009 г. 1 сессия_Приложение реш 2010-2012каз_РБ_Приложение_пост_каз_авг_Приложение_рус _2012-2014_29,30 2" xfId="5642" xr:uid="{00000000-0005-0000-0000-00008B130000}"/>
    <cellStyle name="_Приложение 02 русс на 16.04.2009 г. 1 сессия_Приложение реш 2010-2012каз_РБ_Приложение_пост_каз_авг_приложения 2012 рус" xfId="2215" xr:uid="{00000000-0005-0000-0000-00008C130000}"/>
    <cellStyle name="_Приложение 02 русс на 16.04.2009 г. 1 сессия_Приложение реш 2010-2012каз_РБ_Приложение_пост_каз_авг_приложения 2012 рус 2" xfId="5643" xr:uid="{00000000-0005-0000-0000-00008D130000}"/>
    <cellStyle name="_Приложение 02 русс на 16.04.2009 г. 1 сессия_Приложение реш 2010-2012каз_РБ_Приложение_пост_рус_авг" xfId="2216" xr:uid="{00000000-0005-0000-0000-00008E130000}"/>
    <cellStyle name="_Приложение 02 русс на 16.04.2009 г. 1 сессия_Приложение реш 2010-2012каз_РБ_Приложение_пост_рус_авг 2" xfId="5644" xr:uid="{00000000-0005-0000-0000-00008F130000}"/>
    <cellStyle name="_Приложение 02 русс на 16.04.2009 г. 1 сессия_Приложение реш 2010-2012каз_РБ_Приложение_пост_рус_авг_Анализ" xfId="2217" xr:uid="{00000000-0005-0000-0000-000090130000}"/>
    <cellStyle name="_Приложение 02 русс на 16.04.2009 г. 1 сессия_Приложение реш 2010-2012каз_РБ_Приложение_пост_рус_авг_Анализ 2" xfId="5645" xr:uid="{00000000-0005-0000-0000-000091130000}"/>
    <cellStyle name="_Приложение 02 русс на 16.04.2009 г. 1 сессия_Приложение реш 2010-2012каз_РБ_Приложение_пост_рус_авг_Анализ 3.03.2011г." xfId="3263" xr:uid="{00000000-0005-0000-0000-000092130000}"/>
    <cellStyle name="_Приложение 02 русс на 16.04.2009 г. 1 сессия_Приложение реш 2010-2012каз_РБ_Приложение_пост_рус_авг_Анализ 6.03.2011г." xfId="3264" xr:uid="{00000000-0005-0000-0000-000093130000}"/>
    <cellStyle name="_Приложение 02 русс на 16.04.2009 г. 1 сессия_Приложение реш 2010-2012каз_РБ_Приложение_пост_рус_авг_Анализ 9.03.2011г." xfId="3265" xr:uid="{00000000-0005-0000-0000-000094130000}"/>
    <cellStyle name="_Приложение 02 русс на 16.04.2009 г. 1 сессия_Приложение реш 2010-2012каз_РБ_Приложение_пост_рус_авг_Анализ_Приложение_рус _2012-2014_29,30" xfId="2218" xr:uid="{00000000-0005-0000-0000-000095130000}"/>
    <cellStyle name="_Приложение 02 русс на 16.04.2009 г. 1 сессия_Приложение реш 2010-2012каз_РБ_Приложение_пост_рус_авг_Анализ_Приложение_рус _2012-2014_29,30 2" xfId="5646" xr:uid="{00000000-0005-0000-0000-000096130000}"/>
    <cellStyle name="_Приложение 02 русс на 16.04.2009 г. 1 сессия_Приложение реш 2010-2012каз_РБ_Приложение_пост_рус_авг_Пр 4     11.05.11. ИКС" xfId="2219" xr:uid="{00000000-0005-0000-0000-000097130000}"/>
    <cellStyle name="_Приложение 02 русс на 16.04.2009 г. 1 сессия_Приложение реш 2010-2012каз_РБ_Приложение_пост_рус_авг_Пр 4     11.05.11. ИКС 2" xfId="5647" xr:uid="{00000000-0005-0000-0000-000098130000}"/>
    <cellStyle name="_Приложение 02 русс на 16.04.2009 г. 1 сессия_Приложение реш 2010-2012каз_РБ_Приложение_пост_рус_авг_Пр 4     11.05.11. ИКС_Приложение_рус _2012-2014_29,30" xfId="2220" xr:uid="{00000000-0005-0000-0000-000099130000}"/>
    <cellStyle name="_Приложение 02 русс на 16.04.2009 г. 1 сессия_Приложение реш 2010-2012каз_РБ_Приложение_пост_рус_авг_Пр 4     11.05.11. ИКС_Приложение_рус _2012-2014_29,30 2" xfId="5648" xr:uid="{00000000-0005-0000-0000-00009A130000}"/>
    <cellStyle name="_Приложение 02 русс на 16.04.2009 г. 1 сессия_Приложение реш 2010-2012каз_РБ_Приложение_пост_рус_авг_Приложение 4 русс,каз 16.03.11. посл" xfId="2221" xr:uid="{00000000-0005-0000-0000-00009B130000}"/>
    <cellStyle name="_Приложение 02 русс на 16.04.2009 г. 1 сессия_Приложение реш 2010-2012каз_РБ_Приложение_пост_рус_авг_Приложение 4 русс,каз 16.03.11. посл 2" xfId="5649" xr:uid="{00000000-0005-0000-0000-00009C130000}"/>
    <cellStyle name="_Приложение 02 русс на 16.04.2009 г. 1 сессия_Приложение реш 2010-2012каз_РБ_Приложение_пост_рус_авг_Приложение 4 русс,каз 16.03.11. посл_Приложение_рус _2012-2014_29,30" xfId="2222" xr:uid="{00000000-0005-0000-0000-00009D130000}"/>
    <cellStyle name="_Приложение 02 русс на 16.04.2009 г. 1 сессия_Приложение реш 2010-2012каз_РБ_Приложение_пост_рус_авг_Приложение 4 русс,каз 16.03.11. посл_Приложение_рус _2012-2014_29,30 2" xfId="5650" xr:uid="{00000000-0005-0000-0000-00009E130000}"/>
    <cellStyle name="_Приложение 02 русс на 16.04.2009 г. 1 сессия_Приложение реш 2010-2012каз_РБ_Приложение_пост_рус_авг_Приложение_реал_рус 2011-2013 Уточнение" xfId="2223" xr:uid="{00000000-0005-0000-0000-00009F130000}"/>
    <cellStyle name="_Приложение 02 русс на 16.04.2009 г. 1 сессия_Приложение реш 2010-2012каз_РБ_Приложение_пост_рус_авг_Приложение_реал_рус 2011-2013 Уточнение 2" xfId="5651" xr:uid="{00000000-0005-0000-0000-0000A0130000}"/>
    <cellStyle name="_Приложение 02 русс на 16.04.2009 г. 1 сессия_Приложение реш 2010-2012каз_РБ_Приложение_пост_рус_авг_Приложение_реал_рус 2011-2013 Уточнение_Приложение_рус _2012-2014_29,30" xfId="2224" xr:uid="{00000000-0005-0000-0000-0000A1130000}"/>
    <cellStyle name="_Приложение 02 русс на 16.04.2009 г. 1 сессия_Приложение реш 2010-2012каз_РБ_Приложение_пост_рус_авг_Приложение_реал_рус 2011-2013 Уточнение_Приложение_рус _2012-2014_29,30 2" xfId="5652" xr:uid="{00000000-0005-0000-0000-0000A2130000}"/>
    <cellStyle name="_Приложение 02 русс на 16.04.2009 г. 1 сессия_Приложение реш 2010-2012каз_РБ_Приложение_пост_рус_авг_Приложение_рус _2012-2014_29,30" xfId="2225" xr:uid="{00000000-0005-0000-0000-0000A3130000}"/>
    <cellStyle name="_Приложение 02 русс на 16.04.2009 г. 1 сессия_Приложение реш 2010-2012каз_РБ_Приложение_пост_рус_авг_Приложение_рус _2012-2014_29,30 2" xfId="5653" xr:uid="{00000000-0005-0000-0000-0000A4130000}"/>
    <cellStyle name="_Приложение 02 русс на 16.04.2009 г. 1 сессия_Приложение реш 2010-2012каз_РБ_Приложение_пост_рус_авг_приложения 2012 рус" xfId="2226" xr:uid="{00000000-0005-0000-0000-0000A5130000}"/>
    <cellStyle name="_Приложение 02 русс на 16.04.2009 г. 1 сессия_Приложение реш 2010-2012каз_РБ_Приложение_пост_рус_авг_приложения 2012 рус 2" xfId="5654" xr:uid="{00000000-0005-0000-0000-0000A6130000}"/>
    <cellStyle name="_Приложение 02 русс на 16.04.2009 г. 1 сессия_Приложение реш 2010-2012каз_РБ_Приложение_реал_рус 2011-2013 Уточнение" xfId="2227" xr:uid="{00000000-0005-0000-0000-0000A7130000}"/>
    <cellStyle name="_Приложение 02 русс на 16.04.2009 г. 1 сессия_Приложение реш 2010-2012каз_РБ_Приложение_реал_рус 2011-2013 Уточнение 2" xfId="5655" xr:uid="{00000000-0005-0000-0000-0000A8130000}"/>
    <cellStyle name="_Приложение 02 русс на 16.04.2009 г. 1 сессия_Приложение реш 2010-2012каз_РБ_Приложение_реал_рус 2011-2013 Уточнение_Приложение_рус _2012-2014_29,30" xfId="2228" xr:uid="{00000000-0005-0000-0000-0000A9130000}"/>
    <cellStyle name="_Приложение 02 русс на 16.04.2009 г. 1 сессия_Приложение реш 2010-2012каз_РБ_Приложение_реал_рус 2011-2013 Уточнение_Приложение_рус _2012-2014_29,30 2" xfId="5656" xr:uid="{00000000-0005-0000-0000-0000AA130000}"/>
    <cellStyle name="_Приложение 02 русс на 16.04.2009 г. 1 сессия_Приложение реш 2010-2012каз_РБ_Приложение_рус _2012-2014_29,30" xfId="2229" xr:uid="{00000000-0005-0000-0000-0000AB130000}"/>
    <cellStyle name="_Приложение 02 русс на 16.04.2009 г. 1 сессия_Приложение реш 2010-2012каз_РБ_Приложение_рус _2012-2014_29,30 2" xfId="5657" xr:uid="{00000000-0005-0000-0000-0000AC130000}"/>
    <cellStyle name="_Приложение 02 русс на 16.04.2009 г. 1 сессия_Приложение реш 2010-2012каз_РБ_приложения 2012 рус" xfId="2230" xr:uid="{00000000-0005-0000-0000-0000AD130000}"/>
    <cellStyle name="_Приложение 02 русс на 16.04.2009 г. 1 сессия_Приложение реш 2010-2012каз_РБ_приложения 2012 рус 2" xfId="5658" xr:uid="{00000000-0005-0000-0000-0000AE130000}"/>
    <cellStyle name="_Приложение 02 русс на 16.04.2009 г. 1 сессия_Приложение рус_ноябрь РБ" xfId="2231" xr:uid="{00000000-0005-0000-0000-0000AF130000}"/>
    <cellStyle name="_Приложение 02 русс на 16.04.2009 г. 1 сессия_Приложение рус_ноябрь РБ 2" xfId="5659" xr:uid="{00000000-0005-0000-0000-0000B0130000}"/>
    <cellStyle name="_Приложение 02 русс на 16.04.2009 г. 1 сессия_Приложение рус_ноябрь РБ_Анализ" xfId="2232" xr:uid="{00000000-0005-0000-0000-0000B1130000}"/>
    <cellStyle name="_Приложение 02 русс на 16.04.2009 г. 1 сессия_Приложение рус_ноябрь РБ_Анализ 2" xfId="5660" xr:uid="{00000000-0005-0000-0000-0000B2130000}"/>
    <cellStyle name="_Приложение 02 русс на 16.04.2009 г. 1 сессия_Приложение рус_ноябрь РБ_Анализ 3.03.2011г." xfId="3266" xr:uid="{00000000-0005-0000-0000-0000B3130000}"/>
    <cellStyle name="_Приложение 02 русс на 16.04.2009 г. 1 сессия_Приложение рус_ноябрь РБ_Анализ 6.03.2011г." xfId="3267" xr:uid="{00000000-0005-0000-0000-0000B4130000}"/>
    <cellStyle name="_Приложение 02 русс на 16.04.2009 г. 1 сессия_Приложение рус_ноябрь РБ_Анализ 9.03.2011г." xfId="3268" xr:uid="{00000000-0005-0000-0000-0000B5130000}"/>
    <cellStyle name="_Приложение 02 русс на 16.04.2009 г. 1 сессия_Приложение рус_ноябрь РБ_Анализ_Приложение_рус _2012-2014_29,30" xfId="2233" xr:uid="{00000000-0005-0000-0000-0000B6130000}"/>
    <cellStyle name="_Приложение 02 русс на 16.04.2009 г. 1 сессия_Приложение рус_ноябрь РБ_Анализ_Приложение_рус _2012-2014_29,30 2" xfId="5661" xr:uid="{00000000-0005-0000-0000-0000B7130000}"/>
    <cellStyle name="_Приложение 02 русс на 16.04.2009 г. 1 сессия_Приложение рус_ноябрь РБ_Копия Приложение_2010-2012 рус март" xfId="2234" xr:uid="{00000000-0005-0000-0000-0000B8130000}"/>
    <cellStyle name="_Приложение 02 русс на 16.04.2009 г. 1 сессия_Приложение рус_ноябрь РБ_Копия Приложение_2010-2012 рус март 2" xfId="5662" xr:uid="{00000000-0005-0000-0000-0000B9130000}"/>
    <cellStyle name="_Приложение 02 русс на 16.04.2009 г. 1 сессия_Приложение рус_ноябрь РБ_Копия Приложение_2010-2012 рус март_Анализ" xfId="2235" xr:uid="{00000000-0005-0000-0000-0000BA130000}"/>
    <cellStyle name="_Приложение 02 русс на 16.04.2009 г. 1 сессия_Приложение рус_ноябрь РБ_Копия Приложение_2010-2012 рус март_Анализ 2" xfId="5663" xr:uid="{00000000-0005-0000-0000-0000BB130000}"/>
    <cellStyle name="_Приложение 02 русс на 16.04.2009 г. 1 сессия_Приложение рус_ноябрь РБ_Копия Приложение_2010-2012 рус март_Анализ 3.03.2011г." xfId="3269" xr:uid="{00000000-0005-0000-0000-0000BC130000}"/>
    <cellStyle name="_Приложение 02 русс на 16.04.2009 г. 1 сессия_Приложение рус_ноябрь РБ_Копия Приложение_2010-2012 рус март_Анализ 6.03.2011г." xfId="3270" xr:uid="{00000000-0005-0000-0000-0000BD130000}"/>
    <cellStyle name="_Приложение 02 русс на 16.04.2009 г. 1 сессия_Приложение рус_ноябрь РБ_Копия Приложение_2010-2012 рус март_Анализ 9.03.2011г." xfId="3271" xr:uid="{00000000-0005-0000-0000-0000BE130000}"/>
    <cellStyle name="_Приложение 02 русс на 16.04.2009 г. 1 сессия_Приложение рус_ноябрь РБ_Копия Приложение_2010-2012 рус март_Анализ_Приложение_рус _2012-2014_29,30" xfId="2236" xr:uid="{00000000-0005-0000-0000-0000BF130000}"/>
    <cellStyle name="_Приложение 02 русс на 16.04.2009 г. 1 сессия_Приложение рус_ноябрь РБ_Копия Приложение_2010-2012 рус март_Анализ_Приложение_рус _2012-2014_29,30 2" xfId="5664" xr:uid="{00000000-0005-0000-0000-0000C0130000}"/>
    <cellStyle name="_Приложение 02 русс на 16.04.2009 г. 1 сессия_Приложение рус_ноябрь РБ_Копия Приложение_2010-2012 рус март_Пр 4     11.05.11. ИКС" xfId="2237" xr:uid="{00000000-0005-0000-0000-0000C1130000}"/>
    <cellStyle name="_Приложение 02 русс на 16.04.2009 г. 1 сессия_Приложение рус_ноябрь РБ_Копия Приложение_2010-2012 рус март_Пр 4     11.05.11. ИКС 2" xfId="5665" xr:uid="{00000000-0005-0000-0000-0000C2130000}"/>
    <cellStyle name="_Приложение 02 русс на 16.04.2009 г. 1 сессия_Приложение рус_ноябрь РБ_Копия Приложение_2010-2012 рус март_Пр 4     11.05.11. ИКС_Приложение_рус _2012-2014_29,30" xfId="2238" xr:uid="{00000000-0005-0000-0000-0000C3130000}"/>
    <cellStyle name="_Приложение 02 русс на 16.04.2009 г. 1 сессия_Приложение рус_ноябрь РБ_Копия Приложение_2010-2012 рус март_Пр 4     11.05.11. ИКС_Приложение_рус _2012-2014_29,30 2" xfId="5666" xr:uid="{00000000-0005-0000-0000-0000C4130000}"/>
    <cellStyle name="_Приложение 02 русс на 16.04.2009 г. 1 сессия_Приложение рус_ноябрь РБ_Копия Приложение_2010-2012 рус март_Приложение 4 русс,каз 16.03.11. посл" xfId="2239" xr:uid="{00000000-0005-0000-0000-0000C5130000}"/>
    <cellStyle name="_Приложение 02 русс на 16.04.2009 г. 1 сессия_Приложение рус_ноябрь РБ_Копия Приложение_2010-2012 рус март_Приложение 4 русс,каз 16.03.11. посл 2" xfId="5667" xr:uid="{00000000-0005-0000-0000-0000C6130000}"/>
    <cellStyle name="_Приложение 02 русс на 16.04.2009 г. 1 сессия_Приложение рус_ноябрь РБ_Копия Приложение_2010-2012 рус март_Приложение 4 русс,каз 16.03.11. посл_Приложение_рус _2012-2014_29,30" xfId="2240" xr:uid="{00000000-0005-0000-0000-0000C7130000}"/>
    <cellStyle name="_Приложение 02 русс на 16.04.2009 г. 1 сессия_Приложение рус_ноябрь РБ_Копия Приложение_2010-2012 рус март_Приложение 4 русс,каз 16.03.11. посл_Приложение_рус _2012-2014_29,30 2" xfId="5668" xr:uid="{00000000-0005-0000-0000-0000C8130000}"/>
    <cellStyle name="_Приложение 02 русс на 16.04.2009 г. 1 сессия_Приложение рус_ноябрь РБ_Копия Приложение_2010-2012 рус март_Приложение_2010-2012 рус 04.08.10" xfId="2241" xr:uid="{00000000-0005-0000-0000-0000C9130000}"/>
    <cellStyle name="_Приложение 02 русс на 16.04.2009 г. 1 сессия_Приложение рус_ноябрь РБ_Копия Приложение_2010-2012 рус март_Приложение_2010-2012 рус 04.08.10 2" xfId="5669" xr:uid="{00000000-0005-0000-0000-0000CA130000}"/>
    <cellStyle name="_Приложение 02 русс на 16.04.2009 г. 1 сессия_Приложение рус_ноябрь РБ_Копия Приложение_2010-2012 рус март_Приложение_2010-2012 рус 04.08.10_Анализ" xfId="2242" xr:uid="{00000000-0005-0000-0000-0000CB130000}"/>
    <cellStyle name="_Приложение 02 русс на 16.04.2009 г. 1 сессия_Приложение рус_ноябрь РБ_Копия Приложение_2010-2012 рус март_Приложение_2010-2012 рус 04.08.10_Анализ 2" xfId="5670" xr:uid="{00000000-0005-0000-0000-0000CC130000}"/>
    <cellStyle name="_Приложение 02 русс на 16.04.2009 г. 1 сессия_Приложение рус_ноябрь РБ_Копия Приложение_2010-2012 рус март_Приложение_2010-2012 рус 04.08.10_Анализ 3.03.2011г." xfId="3272" xr:uid="{00000000-0005-0000-0000-0000CD130000}"/>
    <cellStyle name="_Приложение 02 русс на 16.04.2009 г. 1 сессия_Приложение рус_ноябрь РБ_Копия Приложение_2010-2012 рус март_Приложение_2010-2012 рус 04.08.10_Анализ 6.03.2011г." xfId="3273" xr:uid="{00000000-0005-0000-0000-0000CE130000}"/>
    <cellStyle name="_Приложение 02 русс на 16.04.2009 г. 1 сессия_Приложение рус_ноябрь РБ_Копия Приложение_2010-2012 рус март_Приложение_2010-2012 рус 04.08.10_Анализ 9.03.2011г." xfId="3274" xr:uid="{00000000-0005-0000-0000-0000CF130000}"/>
    <cellStyle name="_Приложение 02 русс на 16.04.2009 г. 1 сессия_Приложение рус_ноябрь РБ_Копия Приложение_2010-2012 рус март_Приложение_2010-2012 рус 04.08.10_Анализ_Приложение_рус _2012-2014_29,30" xfId="2243" xr:uid="{00000000-0005-0000-0000-0000D0130000}"/>
    <cellStyle name="_Приложение 02 русс на 16.04.2009 г. 1 сессия_Приложение рус_ноябрь РБ_Копия Приложение_2010-2012 рус март_Приложение_2010-2012 рус 04.08.10_Анализ_Приложение_рус _2012-2014_29,30 2" xfId="5671" xr:uid="{00000000-0005-0000-0000-0000D1130000}"/>
    <cellStyle name="_Приложение 02 русс на 16.04.2009 г. 1 сессия_Приложение рус_ноябрь РБ_Копия Приложение_2010-2012 рус март_Приложение_2010-2012 рус 04.08.10_Пр 4     11.05.11. ИКС" xfId="2244" xr:uid="{00000000-0005-0000-0000-0000D2130000}"/>
    <cellStyle name="_Приложение 02 русс на 16.04.2009 г. 1 сессия_Приложение рус_ноябрь РБ_Копия Приложение_2010-2012 рус март_Приложение_2010-2012 рус 04.08.10_Пр 4     11.05.11. ИКС 2" xfId="5672" xr:uid="{00000000-0005-0000-0000-0000D3130000}"/>
    <cellStyle name="_Приложение 02 русс на 16.04.2009 г. 1 сессия_Приложение рус_ноябрь РБ_Копия Приложение_2010-2012 рус март_Приложение_2010-2012 рус 04.08.10_Пр 4     11.05.11. ИКС_Приложение_рус _2012-2014_29,30" xfId="2245" xr:uid="{00000000-0005-0000-0000-0000D4130000}"/>
    <cellStyle name="_Приложение 02 русс на 16.04.2009 г. 1 сессия_Приложение рус_ноябрь РБ_Копия Приложение_2010-2012 рус март_Приложение_2010-2012 рус 04.08.10_Пр 4     11.05.11. ИКС_Приложение_рус _2012-2014_29,30 2" xfId="5673" xr:uid="{00000000-0005-0000-0000-0000D5130000}"/>
    <cellStyle name="_Приложение 02 русс на 16.04.2009 г. 1 сессия_Приложение рус_ноябрь РБ_Копия Приложение_2010-2012 рус март_Приложение_2010-2012 рус 04.08.10_Приложение 4 русс,каз 16.03.11. посл" xfId="2246" xr:uid="{00000000-0005-0000-0000-0000D6130000}"/>
    <cellStyle name="_Приложение 02 русс на 16.04.2009 г. 1 сессия_Приложение рус_ноябрь РБ_Копия Приложение_2010-2012 рус март_Приложение_2010-2012 рус 04.08.10_Приложение 4 русс,каз 16.03.11. посл 2" xfId="5674" xr:uid="{00000000-0005-0000-0000-0000D7130000}"/>
    <cellStyle name="_Приложение 02 русс на 16.04.2009 г. 1 сессия_Приложение рус_ноябрь РБ_Копия Приложение_2010-2012 рус март_Приложение_2010-2012 рус 04.08.10_Приложение 4 русс,каз 16.03.11. посл_Приложение_рус _2012-2014_29,30" xfId="2247" xr:uid="{00000000-0005-0000-0000-0000D8130000}"/>
    <cellStyle name="_Приложение 02 русс на 16.04.2009 г. 1 сессия_Приложение рус_ноябрь РБ_Копия Приложение_2010-2012 рус март_Приложение_2010-2012 рус 04.08.10_Приложение 4 русс,каз 16.03.11. посл_Приложение_рус _2012-2014_29,30 2" xfId="5675" xr:uid="{00000000-0005-0000-0000-0000D9130000}"/>
    <cellStyle name="_Приложение 02 русс на 16.04.2009 г. 1 сессия_Приложение рус_ноябрь РБ_Копия Приложение_2010-2012 рус март_Приложение_2010-2012 рус 04.08.10_Приложение_реал_рус 2011-2013 Уточнение" xfId="2248" xr:uid="{00000000-0005-0000-0000-0000DA130000}"/>
    <cellStyle name="_Приложение 02 русс на 16.04.2009 г. 1 сессия_Приложение рус_ноябрь РБ_Копия Приложение_2010-2012 рус март_Приложение_2010-2012 рус 04.08.10_Приложение_реал_рус 2011-2013 Уточнение 2" xfId="5676" xr:uid="{00000000-0005-0000-0000-0000DB130000}"/>
    <cellStyle name="_Приложение 02 русс на 16.04.2009 г. 1 сессия_Приложение рус_ноябрь РБ_Копия Приложение_2010-2012 рус март_Приложение_2010-2012 рус 04.08.10_Приложение_реал_рус 2011-2013 Уточнение_Приложение_рус _2012-2014_29,30" xfId="2249" xr:uid="{00000000-0005-0000-0000-0000DC130000}"/>
    <cellStyle name="_Приложение 02 русс на 16.04.2009 г. 1 сессия_Приложение рус_ноябрь РБ_Копия Приложение_2010-2012 рус март_Приложение_2010-2012 рус 04.08.10_Приложение_реал_рус 2011-2013 Уточнение_Приложение_рус _2012-2014_29,30 2" xfId="5677" xr:uid="{00000000-0005-0000-0000-0000DD130000}"/>
    <cellStyle name="_Приложение 02 русс на 16.04.2009 г. 1 сессия_Приложение рус_ноябрь РБ_Копия Приложение_2010-2012 рус март_Приложение_2010-2012 рус 04.08.10_Приложение_рус _2012-2014_29,30" xfId="2250" xr:uid="{00000000-0005-0000-0000-0000DE130000}"/>
    <cellStyle name="_Приложение 02 русс на 16.04.2009 г. 1 сессия_Приложение рус_ноябрь РБ_Копия Приложение_2010-2012 рус март_Приложение_2010-2012 рус 04.08.10_Приложение_рус _2012-2014_29,30 2" xfId="5678" xr:uid="{00000000-0005-0000-0000-0000DF130000}"/>
    <cellStyle name="_Приложение 02 русс на 16.04.2009 г. 1 сессия_Приложение рус_ноябрь РБ_Копия Приложение_2010-2012 рус март_Приложение_2010-2012 рус 04.08.10_приложения 2012 рус" xfId="2251" xr:uid="{00000000-0005-0000-0000-0000E0130000}"/>
    <cellStyle name="_Приложение 02 русс на 16.04.2009 г. 1 сессия_Приложение рус_ноябрь РБ_Копия Приложение_2010-2012 рус март_Приложение_2010-2012 рус 04.08.10_приложения 2012 рус 2" xfId="5679" xr:uid="{00000000-0005-0000-0000-0000E1130000}"/>
    <cellStyle name="_Приложение 02 русс на 16.04.2009 г. 1 сессия_Приложение рус_ноябрь РБ_Копия Приложение_2010-2012 рус март_Приложение_пост_рус_авг" xfId="2252" xr:uid="{00000000-0005-0000-0000-0000E2130000}"/>
    <cellStyle name="_Приложение 02 русс на 16.04.2009 г. 1 сессия_Приложение рус_ноябрь РБ_Копия Приложение_2010-2012 рус март_Приложение_пост_рус_авг 2" xfId="5680" xr:uid="{00000000-0005-0000-0000-0000E3130000}"/>
    <cellStyle name="_Приложение 02 русс на 16.04.2009 г. 1 сессия_Приложение рус_ноябрь РБ_Копия Приложение_2010-2012 рус март_Приложение_пост_рус_авг_Анализ" xfId="2253" xr:uid="{00000000-0005-0000-0000-0000E4130000}"/>
    <cellStyle name="_Приложение 02 русс на 16.04.2009 г. 1 сессия_Приложение рус_ноябрь РБ_Копия Приложение_2010-2012 рус март_Приложение_пост_рус_авг_Анализ 2" xfId="5681" xr:uid="{00000000-0005-0000-0000-0000E5130000}"/>
    <cellStyle name="_Приложение 02 русс на 16.04.2009 г. 1 сессия_Приложение рус_ноябрь РБ_Копия Приложение_2010-2012 рус март_Приложение_пост_рус_авг_Анализ 3.03.2011г." xfId="3275" xr:uid="{00000000-0005-0000-0000-0000E6130000}"/>
    <cellStyle name="_Приложение 02 русс на 16.04.2009 г. 1 сессия_Приложение рус_ноябрь РБ_Копия Приложение_2010-2012 рус март_Приложение_пост_рус_авг_Анализ 6.03.2011г." xfId="3276" xr:uid="{00000000-0005-0000-0000-0000E7130000}"/>
    <cellStyle name="_Приложение 02 русс на 16.04.2009 г. 1 сессия_Приложение рус_ноябрь РБ_Копия Приложение_2010-2012 рус март_Приложение_пост_рус_авг_Анализ 9.03.2011г." xfId="3277" xr:uid="{00000000-0005-0000-0000-0000E8130000}"/>
    <cellStyle name="_Приложение 02 русс на 16.04.2009 г. 1 сессия_Приложение рус_ноябрь РБ_Копия Приложение_2010-2012 рус март_Приложение_пост_рус_авг_Анализ_Приложение_рус _2012-2014_29,30" xfId="2254" xr:uid="{00000000-0005-0000-0000-0000E9130000}"/>
    <cellStyle name="_Приложение 02 русс на 16.04.2009 г. 1 сессия_Приложение рус_ноябрь РБ_Копия Приложение_2010-2012 рус март_Приложение_пост_рус_авг_Анализ_Приложение_рус _2012-2014_29,30 2" xfId="5682" xr:uid="{00000000-0005-0000-0000-0000EA130000}"/>
    <cellStyle name="_Приложение 02 русс на 16.04.2009 г. 1 сессия_Приложение рус_ноябрь РБ_Копия Приложение_2010-2012 рус март_Приложение_пост_рус_авг_Пр 4     11.05.11. ИКС" xfId="2255" xr:uid="{00000000-0005-0000-0000-0000EB130000}"/>
    <cellStyle name="_Приложение 02 русс на 16.04.2009 г. 1 сессия_Приложение рус_ноябрь РБ_Копия Приложение_2010-2012 рус март_Приложение_пост_рус_авг_Пр 4     11.05.11. ИКС 2" xfId="5683" xr:uid="{00000000-0005-0000-0000-0000EC130000}"/>
    <cellStyle name="_Приложение 02 русс на 16.04.2009 г. 1 сессия_Приложение рус_ноябрь РБ_Копия Приложение_2010-2012 рус март_Приложение_пост_рус_авг_Пр 4     11.05.11. ИКС_Приложение_рус _2012-2014_29,30" xfId="2256" xr:uid="{00000000-0005-0000-0000-0000ED130000}"/>
    <cellStyle name="_Приложение 02 русс на 16.04.2009 г. 1 сессия_Приложение рус_ноябрь РБ_Копия Приложение_2010-2012 рус март_Приложение_пост_рус_авг_Пр 4     11.05.11. ИКС_Приложение_рус _2012-2014_29,30 2" xfId="5684" xr:uid="{00000000-0005-0000-0000-0000EE130000}"/>
    <cellStyle name="_Приложение 02 русс на 16.04.2009 г. 1 сессия_Приложение рус_ноябрь РБ_Копия Приложение_2010-2012 рус март_Приложение_пост_рус_авг_Приложение 4 русс,каз 16.03.11. посл" xfId="2257" xr:uid="{00000000-0005-0000-0000-0000EF130000}"/>
    <cellStyle name="_Приложение 02 русс на 16.04.2009 г. 1 сессия_Приложение рус_ноябрь РБ_Копия Приложение_2010-2012 рус март_Приложение_пост_рус_авг_Приложение 4 русс,каз 16.03.11. посл 2" xfId="5685" xr:uid="{00000000-0005-0000-0000-0000F0130000}"/>
    <cellStyle name="_Приложение 02 русс на 16.04.2009 г. 1 сессия_Приложение рус_ноябрь РБ_Копия Приложение_2010-2012 рус март_Приложение_пост_рус_авг_Приложение 4 русс,каз 16.03.11. посл_Приложение_рус _2012-2014_29,30" xfId="2258" xr:uid="{00000000-0005-0000-0000-0000F1130000}"/>
    <cellStyle name="_Приложение 02 русс на 16.04.2009 г. 1 сессия_Приложение рус_ноябрь РБ_Копия Приложение_2010-2012 рус март_Приложение_пост_рус_авг_Приложение 4 русс,каз 16.03.11. посл_Приложение_рус _2012-2014_29,30 2" xfId="5686" xr:uid="{00000000-0005-0000-0000-0000F2130000}"/>
    <cellStyle name="_Приложение 02 русс на 16.04.2009 г. 1 сессия_Приложение рус_ноябрь РБ_Копия Приложение_2010-2012 рус март_Приложение_пост_рус_авг_Приложение_реал_рус 2011-2013 Уточнение" xfId="2259" xr:uid="{00000000-0005-0000-0000-0000F3130000}"/>
    <cellStyle name="_Приложение 02 русс на 16.04.2009 г. 1 сессия_Приложение рус_ноябрь РБ_Копия Приложение_2010-2012 рус март_Приложение_пост_рус_авг_Приложение_реал_рус 2011-2013 Уточнение 2" xfId="5687" xr:uid="{00000000-0005-0000-0000-0000F4130000}"/>
    <cellStyle name="_Приложение 02 русс на 16.04.2009 г. 1 сессия_Приложение рус_ноябрь РБ_Копия Приложение_2010-2012 рус март_Приложение_пост_рус_авг_Приложение_реал_рус 2011-2013 Уточнение_Приложение_рус _2012-2014_29,30" xfId="2260" xr:uid="{00000000-0005-0000-0000-0000F5130000}"/>
    <cellStyle name="_Приложение 02 русс на 16.04.2009 г. 1 сессия_Приложение рус_ноябрь РБ_Копия Приложение_2010-2012 рус март_Приложение_пост_рус_авг_Приложение_реал_рус 2011-2013 Уточнение_Приложение_рус _2012-2014_29,30 2" xfId="5688" xr:uid="{00000000-0005-0000-0000-0000F6130000}"/>
    <cellStyle name="_Приложение 02 русс на 16.04.2009 г. 1 сессия_Приложение рус_ноябрь РБ_Копия Приложение_2010-2012 рус март_Приложение_пост_рус_авг_Приложение_рус _2012-2014_29,30" xfId="2261" xr:uid="{00000000-0005-0000-0000-0000F7130000}"/>
    <cellStyle name="_Приложение 02 русс на 16.04.2009 г. 1 сессия_Приложение рус_ноябрь РБ_Копия Приложение_2010-2012 рус март_Приложение_пост_рус_авг_Приложение_рус _2012-2014_29,30 2" xfId="5689" xr:uid="{00000000-0005-0000-0000-0000F8130000}"/>
    <cellStyle name="_Приложение 02 русс на 16.04.2009 г. 1 сессия_Приложение рус_ноябрь РБ_Копия Приложение_2010-2012 рус март_Приложение_пост_рус_авг_приложения 2012 рус" xfId="2262" xr:uid="{00000000-0005-0000-0000-0000F9130000}"/>
    <cellStyle name="_Приложение 02 русс на 16.04.2009 г. 1 сессия_Приложение рус_ноябрь РБ_Копия Приложение_2010-2012 рус март_Приложение_пост_рус_авг_приложения 2012 рус 2" xfId="5690" xr:uid="{00000000-0005-0000-0000-0000FA130000}"/>
    <cellStyle name="_Приложение 02 русс на 16.04.2009 г. 1 сессия_Приложение рус_ноябрь РБ_Копия Приложение_2010-2012 рус март_Приложение_реал_рус 2011-2013 Уточнение" xfId="2263" xr:uid="{00000000-0005-0000-0000-0000FB130000}"/>
    <cellStyle name="_Приложение 02 русс на 16.04.2009 г. 1 сессия_Приложение рус_ноябрь РБ_Копия Приложение_2010-2012 рус март_Приложение_реал_рус 2011-2013 Уточнение 2" xfId="5691" xr:uid="{00000000-0005-0000-0000-0000FC130000}"/>
    <cellStyle name="_Приложение 02 русс на 16.04.2009 г. 1 сессия_Приложение рус_ноябрь РБ_Копия Приложение_2010-2012 рус март_Приложение_реал_рус 2011-2013 Уточнение_Приложение_рус _2012-2014_29,30" xfId="2264" xr:uid="{00000000-0005-0000-0000-0000FD130000}"/>
    <cellStyle name="_Приложение 02 русс на 16.04.2009 г. 1 сессия_Приложение рус_ноябрь РБ_Копия Приложение_2010-2012 рус март_Приложение_реал_рус 2011-2013 Уточнение_Приложение_рус _2012-2014_29,30 2" xfId="5692" xr:uid="{00000000-0005-0000-0000-0000FE130000}"/>
    <cellStyle name="_Приложение 02 русс на 16.04.2009 г. 1 сессия_Приложение рус_ноябрь РБ_Копия Приложение_2010-2012 рус март_Приложение_рус _2012-2014_29,30" xfId="2265" xr:uid="{00000000-0005-0000-0000-0000FF130000}"/>
    <cellStyle name="_Приложение 02 русс на 16.04.2009 г. 1 сессия_Приложение рус_ноябрь РБ_Копия Приложение_2010-2012 рус март_Приложение_рус _2012-2014_29,30 2" xfId="5693" xr:uid="{00000000-0005-0000-0000-000000140000}"/>
    <cellStyle name="_Приложение 02 русс на 16.04.2009 г. 1 сессия_Приложение рус_ноябрь РБ_Копия Приложение_2010-2012 рус март_приложения 2012 рус" xfId="2266" xr:uid="{00000000-0005-0000-0000-000001140000}"/>
    <cellStyle name="_Приложение 02 русс на 16.04.2009 г. 1 сессия_Приложение рус_ноябрь РБ_Копия Приложение_2010-2012 рус март_приложения 2012 рус 2" xfId="5694" xr:uid="{00000000-0005-0000-0000-000002140000}"/>
    <cellStyle name="_Приложение 02 русс на 16.04.2009 г. 1 сессия_Приложение рус_ноябрь РБ_Пр 4     11.05.11. ИКС" xfId="2267" xr:uid="{00000000-0005-0000-0000-000003140000}"/>
    <cellStyle name="_Приложение 02 русс на 16.04.2009 г. 1 сессия_Приложение рус_ноябрь РБ_Пр 4     11.05.11. ИКС 2" xfId="5695" xr:uid="{00000000-0005-0000-0000-000004140000}"/>
    <cellStyle name="_Приложение 02 русс на 16.04.2009 г. 1 сессия_Приложение рус_ноябрь РБ_Пр 4     11.05.11. ИКС_Приложение_рус _2012-2014_29,30" xfId="2268" xr:uid="{00000000-0005-0000-0000-000005140000}"/>
    <cellStyle name="_Приложение 02 русс на 16.04.2009 г. 1 сессия_Приложение рус_ноябрь РБ_Пр 4     11.05.11. ИКС_Приложение_рус _2012-2014_29,30 2" xfId="5696" xr:uid="{00000000-0005-0000-0000-000006140000}"/>
    <cellStyle name="_Приложение 02 русс на 16.04.2009 г. 1 сессия_Приложение рус_ноябрь РБ_прил4р_к" xfId="2269" xr:uid="{00000000-0005-0000-0000-000007140000}"/>
    <cellStyle name="_Приложение 02 русс на 16.04.2009 г. 1 сессия_Приложение рус_ноябрь РБ_прил4р_к 2" xfId="2270" xr:uid="{00000000-0005-0000-0000-000008140000}"/>
    <cellStyle name="_Приложение 02 русс на 16.04.2009 г. 1 сессия_Приложение рус_ноябрь РБ_прил4р_к 2 2" xfId="5698" xr:uid="{00000000-0005-0000-0000-000009140000}"/>
    <cellStyle name="_Приложение 02 русс на 16.04.2009 г. 1 сессия_Приложение рус_ноябрь РБ_прил4р_к 3" xfId="5697" xr:uid="{00000000-0005-0000-0000-00000A140000}"/>
    <cellStyle name="_Приложение 02 русс на 16.04.2009 г. 1 сессия_Приложение рус_ноябрь РБ_прил4р_к_Анализ" xfId="2271" xr:uid="{00000000-0005-0000-0000-00000B140000}"/>
    <cellStyle name="_Приложение 02 русс на 16.04.2009 г. 1 сессия_Приложение рус_ноябрь РБ_прил4р_к_Анализ 2" xfId="5699" xr:uid="{00000000-0005-0000-0000-00000C140000}"/>
    <cellStyle name="_Приложение 02 русс на 16.04.2009 г. 1 сессия_Приложение рус_ноябрь РБ_прил4р_к_Анализ 3.03.2011г." xfId="3278" xr:uid="{00000000-0005-0000-0000-00000D140000}"/>
    <cellStyle name="_Приложение 02 русс на 16.04.2009 г. 1 сессия_Приложение рус_ноябрь РБ_прил4р_к_Анализ 6.03.2011г." xfId="3279" xr:uid="{00000000-0005-0000-0000-00000E140000}"/>
    <cellStyle name="_Приложение 02 русс на 16.04.2009 г. 1 сессия_Приложение рус_ноябрь РБ_прил4р_к_Анализ 9.03.2011г." xfId="3280" xr:uid="{00000000-0005-0000-0000-00000F140000}"/>
    <cellStyle name="_Приложение 02 русс на 16.04.2009 г. 1 сессия_Приложение рус_ноябрь РБ_прил4р_к_Анализ_Приложение_рус _2012-2014_29,30" xfId="2272" xr:uid="{00000000-0005-0000-0000-000010140000}"/>
    <cellStyle name="_Приложение 02 русс на 16.04.2009 г. 1 сессия_Приложение рус_ноябрь РБ_прил4р_к_Анализ_Приложение_рус _2012-2014_29,30 2" xfId="5700" xr:uid="{00000000-0005-0000-0000-000011140000}"/>
    <cellStyle name="_Приложение 02 русс на 16.04.2009 г. 1 сессия_Приложение рус_ноябрь РБ_прил4р_к_Пр 4     11.05.11. ИКС" xfId="2273" xr:uid="{00000000-0005-0000-0000-000012140000}"/>
    <cellStyle name="_Приложение 02 русс на 16.04.2009 г. 1 сессия_Приложение рус_ноябрь РБ_прил4р_к_Пр 4     11.05.11. ИКС 2" xfId="5701" xr:uid="{00000000-0005-0000-0000-000013140000}"/>
    <cellStyle name="_Приложение 02 русс на 16.04.2009 г. 1 сессия_Приложение рус_ноябрь РБ_прил4р_к_Пр 4     11.05.11. ИКС_Приложение_рус _2012-2014_29,30" xfId="2274" xr:uid="{00000000-0005-0000-0000-000014140000}"/>
    <cellStyle name="_Приложение 02 русс на 16.04.2009 г. 1 сессия_Приложение рус_ноябрь РБ_прил4р_к_Пр 4     11.05.11. ИКС_Приложение_рус _2012-2014_29,30 2" xfId="5702" xr:uid="{00000000-0005-0000-0000-000015140000}"/>
    <cellStyle name="_Приложение 02 русс на 16.04.2009 г. 1 сессия_Приложение рус_ноябрь РБ_прил4р_к_Приложение 4 русс,каз 16.03.11. посл" xfId="2275" xr:uid="{00000000-0005-0000-0000-000016140000}"/>
    <cellStyle name="_Приложение 02 русс на 16.04.2009 г. 1 сессия_Приложение рус_ноябрь РБ_прил4р_к_Приложение 4 русс,каз 16.03.11. посл 2" xfId="5703" xr:uid="{00000000-0005-0000-0000-000017140000}"/>
    <cellStyle name="_Приложение 02 русс на 16.04.2009 г. 1 сессия_Приложение рус_ноябрь РБ_прил4р_к_Приложение 4 русс,каз 16.03.11. посл_Приложение_рус _2012-2014_29,30" xfId="2276" xr:uid="{00000000-0005-0000-0000-000018140000}"/>
    <cellStyle name="_Приложение 02 русс на 16.04.2009 г. 1 сессия_Приложение рус_ноябрь РБ_прил4р_к_Приложение 4 русс,каз 16.03.11. посл_Приложение_рус _2012-2014_29,30 2" xfId="5704" xr:uid="{00000000-0005-0000-0000-000019140000}"/>
    <cellStyle name="_Приложение 02 русс на 16.04.2009 г. 1 сессия_Приложение рус_ноябрь РБ_прил4р_к_Приложение_пост_каз_авг" xfId="2277" xr:uid="{00000000-0005-0000-0000-00001A140000}"/>
    <cellStyle name="_Приложение 02 русс на 16.04.2009 г. 1 сессия_Приложение рус_ноябрь РБ_прил4р_к_Приложение_пост_каз_авг 2" xfId="5705" xr:uid="{00000000-0005-0000-0000-00001B140000}"/>
    <cellStyle name="_Приложение 02 русс на 16.04.2009 г. 1 сессия_Приложение рус_ноябрь РБ_прил4р_к_Приложение_пост_каз_авг_Анализ" xfId="2278" xr:uid="{00000000-0005-0000-0000-00001C140000}"/>
    <cellStyle name="_Приложение 02 русс на 16.04.2009 г. 1 сессия_Приложение рус_ноябрь РБ_прил4р_к_Приложение_пост_каз_авг_Анализ 2" xfId="5706" xr:uid="{00000000-0005-0000-0000-00001D140000}"/>
    <cellStyle name="_Приложение 02 русс на 16.04.2009 г. 1 сессия_Приложение рус_ноябрь РБ_прил4р_к_Приложение_пост_каз_авг_Анализ 3.03.2011г." xfId="3281" xr:uid="{00000000-0005-0000-0000-00001E140000}"/>
    <cellStyle name="_Приложение 02 русс на 16.04.2009 г. 1 сессия_Приложение рус_ноябрь РБ_прил4р_к_Приложение_пост_каз_авг_Анализ 6.03.2011г." xfId="3282" xr:uid="{00000000-0005-0000-0000-00001F140000}"/>
    <cellStyle name="_Приложение 02 русс на 16.04.2009 г. 1 сессия_Приложение рус_ноябрь РБ_прил4р_к_Приложение_пост_каз_авг_Анализ 9.03.2011г." xfId="3283" xr:uid="{00000000-0005-0000-0000-000020140000}"/>
    <cellStyle name="_Приложение 02 русс на 16.04.2009 г. 1 сессия_Приложение рус_ноябрь РБ_прил4р_к_Приложение_пост_каз_авг_Анализ_Приложение_рус _2012-2014_29,30" xfId="2279" xr:uid="{00000000-0005-0000-0000-000021140000}"/>
    <cellStyle name="_Приложение 02 русс на 16.04.2009 г. 1 сессия_Приложение рус_ноябрь РБ_прил4р_к_Приложение_пост_каз_авг_Анализ_Приложение_рус _2012-2014_29,30 2" xfId="5707" xr:uid="{00000000-0005-0000-0000-000022140000}"/>
    <cellStyle name="_Приложение 02 русс на 16.04.2009 г. 1 сессия_Приложение рус_ноябрь РБ_прил4р_к_Приложение_пост_каз_авг_Пр 4     11.05.11. ИКС" xfId="2280" xr:uid="{00000000-0005-0000-0000-000023140000}"/>
    <cellStyle name="_Приложение 02 русс на 16.04.2009 г. 1 сессия_Приложение рус_ноябрь РБ_прил4р_к_Приложение_пост_каз_авг_Пр 4     11.05.11. ИКС 2" xfId="5708" xr:uid="{00000000-0005-0000-0000-000024140000}"/>
    <cellStyle name="_Приложение 02 русс на 16.04.2009 г. 1 сессия_Приложение рус_ноябрь РБ_прил4р_к_Приложение_пост_каз_авг_Пр 4     11.05.11. ИКС_Приложение_рус _2012-2014_29,30" xfId="2281" xr:uid="{00000000-0005-0000-0000-000025140000}"/>
    <cellStyle name="_Приложение 02 русс на 16.04.2009 г. 1 сессия_Приложение рус_ноябрь РБ_прил4р_к_Приложение_пост_каз_авг_Пр 4     11.05.11. ИКС_Приложение_рус _2012-2014_29,30 2" xfId="5709" xr:uid="{00000000-0005-0000-0000-000026140000}"/>
    <cellStyle name="_Приложение 02 русс на 16.04.2009 г. 1 сессия_Приложение рус_ноябрь РБ_прил4р_к_Приложение_пост_каз_авг_Приложение 4 русс,каз 16.03.11. посл" xfId="2282" xr:uid="{00000000-0005-0000-0000-000027140000}"/>
    <cellStyle name="_Приложение 02 русс на 16.04.2009 г. 1 сессия_Приложение рус_ноябрь РБ_прил4р_к_Приложение_пост_каз_авг_Приложение 4 русс,каз 16.03.11. посл 2" xfId="5710" xr:uid="{00000000-0005-0000-0000-000028140000}"/>
    <cellStyle name="_Приложение 02 русс на 16.04.2009 г. 1 сессия_Приложение рус_ноябрь РБ_прил4р_к_Приложение_пост_каз_авг_Приложение 4 русс,каз 16.03.11. посл_Приложение_рус _2012-2014_29,30" xfId="2283" xr:uid="{00000000-0005-0000-0000-000029140000}"/>
    <cellStyle name="_Приложение 02 русс на 16.04.2009 г. 1 сессия_Приложение рус_ноябрь РБ_прил4р_к_Приложение_пост_каз_авг_Приложение 4 русс,каз 16.03.11. посл_Приложение_рус _2012-2014_29,30 2" xfId="5711" xr:uid="{00000000-0005-0000-0000-00002A140000}"/>
    <cellStyle name="_Приложение 02 русс на 16.04.2009 г. 1 сессия_Приложение рус_ноябрь РБ_прил4р_к_Приложение_пост_каз_авг_Приложение_реал_рус 2011-2013 Уточнение" xfId="2284" xr:uid="{00000000-0005-0000-0000-00002B140000}"/>
    <cellStyle name="_Приложение 02 русс на 16.04.2009 г. 1 сессия_Приложение рус_ноябрь РБ_прил4р_к_Приложение_пост_каз_авг_Приложение_реал_рус 2011-2013 Уточнение 2" xfId="5712" xr:uid="{00000000-0005-0000-0000-00002C140000}"/>
    <cellStyle name="_Приложение 02 русс на 16.04.2009 г. 1 сессия_Приложение рус_ноябрь РБ_прил4р_к_Приложение_пост_каз_авг_Приложение_реал_рус 2011-2013 Уточнение_Приложение_рус _2012-2014_29,30" xfId="2285" xr:uid="{00000000-0005-0000-0000-00002D140000}"/>
    <cellStyle name="_Приложение 02 русс на 16.04.2009 г. 1 сессия_Приложение рус_ноябрь РБ_прил4р_к_Приложение_пост_каз_авг_Приложение_реал_рус 2011-2013 Уточнение_Приложение_рус _2012-2014_29,30 2" xfId="5713" xr:uid="{00000000-0005-0000-0000-00002E140000}"/>
    <cellStyle name="_Приложение 02 русс на 16.04.2009 г. 1 сессия_Приложение рус_ноябрь РБ_прил4р_к_Приложение_пост_каз_авг_Приложение_рус _2012-2014_29,30" xfId="2286" xr:uid="{00000000-0005-0000-0000-00002F140000}"/>
    <cellStyle name="_Приложение 02 русс на 16.04.2009 г. 1 сессия_Приложение рус_ноябрь РБ_прил4р_к_Приложение_пост_каз_авг_Приложение_рус _2012-2014_29,30 2" xfId="5714" xr:uid="{00000000-0005-0000-0000-000030140000}"/>
    <cellStyle name="_Приложение 02 русс на 16.04.2009 г. 1 сессия_Приложение рус_ноябрь РБ_прил4р_к_Приложение_пост_каз_авг_приложения 2012 рус" xfId="2287" xr:uid="{00000000-0005-0000-0000-000031140000}"/>
    <cellStyle name="_Приложение 02 русс на 16.04.2009 г. 1 сессия_Приложение рус_ноябрь РБ_прил4р_к_Приложение_пост_каз_авг_приложения 2012 рус 2" xfId="5715" xr:uid="{00000000-0005-0000-0000-000032140000}"/>
    <cellStyle name="_Приложение 02 русс на 16.04.2009 г. 1 сессия_Приложение рус_ноябрь РБ_прил4р_к_Приложение_пост_рус_авг" xfId="2288" xr:uid="{00000000-0005-0000-0000-000033140000}"/>
    <cellStyle name="_Приложение 02 русс на 16.04.2009 г. 1 сессия_Приложение рус_ноябрь РБ_прил4р_к_Приложение_пост_рус_авг 2" xfId="5716" xr:uid="{00000000-0005-0000-0000-000034140000}"/>
    <cellStyle name="_Приложение 02 русс на 16.04.2009 г. 1 сессия_Приложение рус_ноябрь РБ_прил4р_к_Приложение_пост_рус_авг_Анализ" xfId="2289" xr:uid="{00000000-0005-0000-0000-000035140000}"/>
    <cellStyle name="_Приложение 02 русс на 16.04.2009 г. 1 сессия_Приложение рус_ноябрь РБ_прил4р_к_Приложение_пост_рус_авг_Анализ 2" xfId="5717" xr:uid="{00000000-0005-0000-0000-000036140000}"/>
    <cellStyle name="_Приложение 02 русс на 16.04.2009 г. 1 сессия_Приложение рус_ноябрь РБ_прил4р_к_Приложение_пост_рус_авг_Анализ 3.03.2011г." xfId="3284" xr:uid="{00000000-0005-0000-0000-000037140000}"/>
    <cellStyle name="_Приложение 02 русс на 16.04.2009 г. 1 сессия_Приложение рус_ноябрь РБ_прил4р_к_Приложение_пост_рус_авг_Анализ 6.03.2011г." xfId="3285" xr:uid="{00000000-0005-0000-0000-000038140000}"/>
    <cellStyle name="_Приложение 02 русс на 16.04.2009 г. 1 сессия_Приложение рус_ноябрь РБ_прил4р_к_Приложение_пост_рус_авг_Анализ 9.03.2011г." xfId="3286" xr:uid="{00000000-0005-0000-0000-000039140000}"/>
    <cellStyle name="_Приложение 02 русс на 16.04.2009 г. 1 сессия_Приложение рус_ноябрь РБ_прил4р_к_Приложение_пост_рус_авг_Анализ_Приложение_рус _2012-2014_29,30" xfId="2290" xr:uid="{00000000-0005-0000-0000-00003A140000}"/>
    <cellStyle name="_Приложение 02 русс на 16.04.2009 г. 1 сессия_Приложение рус_ноябрь РБ_прил4р_к_Приложение_пост_рус_авг_Анализ_Приложение_рус _2012-2014_29,30 2" xfId="5718" xr:uid="{00000000-0005-0000-0000-00003B140000}"/>
    <cellStyle name="_Приложение 02 русс на 16.04.2009 г. 1 сессия_Приложение рус_ноябрь РБ_прил4р_к_Приложение_пост_рус_авг_Пр 4     11.05.11. ИКС" xfId="2291" xr:uid="{00000000-0005-0000-0000-00003C140000}"/>
    <cellStyle name="_Приложение 02 русс на 16.04.2009 г. 1 сессия_Приложение рус_ноябрь РБ_прил4р_к_Приложение_пост_рус_авг_Пр 4     11.05.11. ИКС 2" xfId="5719" xr:uid="{00000000-0005-0000-0000-00003D140000}"/>
    <cellStyle name="_Приложение 02 русс на 16.04.2009 г. 1 сессия_Приложение рус_ноябрь РБ_прил4р_к_Приложение_пост_рус_авг_Пр 4     11.05.11. ИКС_Приложение_рус _2012-2014_29,30" xfId="2292" xr:uid="{00000000-0005-0000-0000-00003E140000}"/>
    <cellStyle name="_Приложение 02 русс на 16.04.2009 г. 1 сессия_Приложение рус_ноябрь РБ_прил4р_к_Приложение_пост_рус_авг_Пр 4     11.05.11. ИКС_Приложение_рус _2012-2014_29,30 2" xfId="5720" xr:uid="{00000000-0005-0000-0000-00003F140000}"/>
    <cellStyle name="_Приложение 02 русс на 16.04.2009 г. 1 сессия_Приложение рус_ноябрь РБ_прил4р_к_Приложение_пост_рус_авг_Приложение 4 русс,каз 16.03.11. посл" xfId="2293" xr:uid="{00000000-0005-0000-0000-000040140000}"/>
    <cellStyle name="_Приложение 02 русс на 16.04.2009 г. 1 сессия_Приложение рус_ноябрь РБ_прил4р_к_Приложение_пост_рус_авг_Приложение 4 русс,каз 16.03.11. посл 2" xfId="5721" xr:uid="{00000000-0005-0000-0000-000041140000}"/>
    <cellStyle name="_Приложение 02 русс на 16.04.2009 г. 1 сессия_Приложение рус_ноябрь РБ_прил4р_к_Приложение_пост_рус_авг_Приложение 4 русс,каз 16.03.11. посл_Приложение_рус _2012-2014_29,30" xfId="2294" xr:uid="{00000000-0005-0000-0000-000042140000}"/>
    <cellStyle name="_Приложение 02 русс на 16.04.2009 г. 1 сессия_Приложение рус_ноябрь РБ_прил4р_к_Приложение_пост_рус_авг_Приложение 4 русс,каз 16.03.11. посл_Приложение_рус _2012-2014_29,30 2" xfId="5722" xr:uid="{00000000-0005-0000-0000-000043140000}"/>
    <cellStyle name="_Приложение 02 русс на 16.04.2009 г. 1 сессия_Приложение рус_ноябрь РБ_прил4р_к_Приложение_пост_рус_авг_Приложение_реал_рус 2011-2013 Уточнение" xfId="2295" xr:uid="{00000000-0005-0000-0000-000044140000}"/>
    <cellStyle name="_Приложение 02 русс на 16.04.2009 г. 1 сессия_Приложение рус_ноябрь РБ_прил4р_к_Приложение_пост_рус_авг_Приложение_реал_рус 2011-2013 Уточнение 2" xfId="5723" xr:uid="{00000000-0005-0000-0000-000045140000}"/>
    <cellStyle name="_Приложение 02 русс на 16.04.2009 г. 1 сессия_Приложение рус_ноябрь РБ_прил4р_к_Приложение_пост_рус_авг_Приложение_реал_рус 2011-2013 Уточнение_Приложение_рус _2012-2014_29,30" xfId="2296" xr:uid="{00000000-0005-0000-0000-000046140000}"/>
    <cellStyle name="_Приложение 02 русс на 16.04.2009 г. 1 сессия_Приложение рус_ноябрь РБ_прил4р_к_Приложение_пост_рус_авг_Приложение_реал_рус 2011-2013 Уточнение_Приложение_рус _2012-2014_29,30 2" xfId="5724" xr:uid="{00000000-0005-0000-0000-000047140000}"/>
    <cellStyle name="_Приложение 02 русс на 16.04.2009 г. 1 сессия_Приложение рус_ноябрь РБ_прил4р_к_Приложение_пост_рус_авг_Приложение_рус _2012-2014_29,30" xfId="2297" xr:uid="{00000000-0005-0000-0000-000048140000}"/>
    <cellStyle name="_Приложение 02 русс на 16.04.2009 г. 1 сессия_Приложение рус_ноябрь РБ_прил4р_к_Приложение_пост_рус_авг_Приложение_рус _2012-2014_29,30 2" xfId="5725" xr:uid="{00000000-0005-0000-0000-000049140000}"/>
    <cellStyle name="_Приложение 02 русс на 16.04.2009 г. 1 сессия_Приложение рус_ноябрь РБ_прил4р_к_Приложение_пост_рус_авг_приложения 2012 рус" xfId="2298" xr:uid="{00000000-0005-0000-0000-00004A140000}"/>
    <cellStyle name="_Приложение 02 русс на 16.04.2009 г. 1 сессия_Приложение рус_ноябрь РБ_прил4р_к_Приложение_пост_рус_авг_приложения 2012 рус 2" xfId="5726" xr:uid="{00000000-0005-0000-0000-00004B140000}"/>
    <cellStyle name="_Приложение 02 русс на 16.04.2009 г. 1 сессия_Приложение рус_ноябрь РБ_прил4р_к_Приложение_реал_рус 2011-2013 Уточнение" xfId="2299" xr:uid="{00000000-0005-0000-0000-00004C140000}"/>
    <cellStyle name="_Приложение 02 русс на 16.04.2009 г. 1 сессия_Приложение рус_ноябрь РБ_прил4р_к_Приложение_реал_рус 2011-2013 Уточнение 2" xfId="5727" xr:uid="{00000000-0005-0000-0000-00004D140000}"/>
    <cellStyle name="_Приложение 02 русс на 16.04.2009 г. 1 сессия_Приложение рус_ноябрь РБ_прил4р_к_Приложение_реал_рус 2011-2013 Уточнение_Приложение_рус _2012-2014_29,30" xfId="2300" xr:uid="{00000000-0005-0000-0000-00004E140000}"/>
    <cellStyle name="_Приложение 02 русс на 16.04.2009 г. 1 сессия_Приложение рус_ноябрь РБ_прил4р_к_Приложение_реал_рус 2011-2013 Уточнение_Приложение_рус _2012-2014_29,30 2" xfId="5728" xr:uid="{00000000-0005-0000-0000-00004F140000}"/>
    <cellStyle name="_Приложение 02 русс на 16.04.2009 г. 1 сессия_Приложение рус_ноябрь РБ_прил4р_к_Приложение_рус _2012-2014_29,30" xfId="2301" xr:uid="{00000000-0005-0000-0000-000050140000}"/>
    <cellStyle name="_Приложение 02 русс на 16.04.2009 г. 1 сессия_Приложение рус_ноябрь РБ_прил4р_к_Приложение_рус _2012-2014_29,30 2" xfId="5729" xr:uid="{00000000-0005-0000-0000-000051140000}"/>
    <cellStyle name="_Приложение 02 русс на 16.04.2009 г. 1 сессия_Приложение рус_ноябрь РБ_прил4р_к_приложения 2012 рус" xfId="2302" xr:uid="{00000000-0005-0000-0000-000052140000}"/>
    <cellStyle name="_Приложение 02 русс на 16.04.2009 г. 1 сессия_Приложение рус_ноябрь РБ_прил4р_к_приложения 2012 рус 2" xfId="5730" xr:uid="{00000000-0005-0000-0000-000053140000}"/>
    <cellStyle name="_Приложение 02 русс на 16.04.2009 г. 1 сессия_Приложение рус_ноябрь РБ_Приложение 4 русс,каз 16.03.11. посл" xfId="2303" xr:uid="{00000000-0005-0000-0000-000054140000}"/>
    <cellStyle name="_Приложение 02 русс на 16.04.2009 г. 1 сессия_Приложение рус_ноябрь РБ_Приложение 4 русс,каз 16.03.11. посл 2" xfId="5731" xr:uid="{00000000-0005-0000-0000-000055140000}"/>
    <cellStyle name="_Приложение 02 русс на 16.04.2009 г. 1 сессия_Приложение рус_ноябрь РБ_Приложение 4 русс,каз 16.03.11. посл_Приложение_рус _2012-2014_29,30" xfId="2304" xr:uid="{00000000-0005-0000-0000-000056140000}"/>
    <cellStyle name="_Приложение 02 русс на 16.04.2009 г. 1 сессия_Приложение рус_ноябрь РБ_Приложение 4 русс,каз 16.03.11. посл_Приложение_рус _2012-2014_29,30 2" xfId="5732" xr:uid="{00000000-0005-0000-0000-000057140000}"/>
    <cellStyle name="_Приложение 02 русс на 16.04.2009 г. 1 сессия_Приложение рус_ноябрь РБ_Приложение_2010-2012 каз 04.08.10_ДК-2020" xfId="2305" xr:uid="{00000000-0005-0000-0000-000058140000}"/>
    <cellStyle name="_Приложение 02 русс на 16.04.2009 г. 1 сессия_Приложение рус_ноябрь РБ_Приложение_2010-2012 каз 04.08.10_ДК-2020 2" xfId="5733" xr:uid="{00000000-0005-0000-0000-000059140000}"/>
    <cellStyle name="_Приложение 02 русс на 16.04.2009 г. 1 сессия_Приложение рус_ноябрь РБ_Приложение_2010-2012 каз 04.08.10_ДК-2020_Анализ" xfId="2306" xr:uid="{00000000-0005-0000-0000-00005A140000}"/>
    <cellStyle name="_Приложение 02 русс на 16.04.2009 г. 1 сессия_Приложение рус_ноябрь РБ_Приложение_2010-2012 каз 04.08.10_ДК-2020_Анализ 2" xfId="5734" xr:uid="{00000000-0005-0000-0000-00005B140000}"/>
    <cellStyle name="_Приложение 02 русс на 16.04.2009 г. 1 сессия_Приложение рус_ноябрь РБ_Приложение_2010-2012 каз 04.08.10_ДК-2020_Анализ 3.03.2011г." xfId="3287" xr:uid="{00000000-0005-0000-0000-00005C140000}"/>
    <cellStyle name="_Приложение 02 русс на 16.04.2009 г. 1 сессия_Приложение рус_ноябрь РБ_Приложение_2010-2012 каз 04.08.10_ДК-2020_Анализ 6.03.2011г." xfId="3288" xr:uid="{00000000-0005-0000-0000-00005D140000}"/>
    <cellStyle name="_Приложение 02 русс на 16.04.2009 г. 1 сессия_Приложение рус_ноябрь РБ_Приложение_2010-2012 каз 04.08.10_ДК-2020_Анализ 9.03.2011г." xfId="3289" xr:uid="{00000000-0005-0000-0000-00005E140000}"/>
    <cellStyle name="_Приложение 02 русс на 16.04.2009 г. 1 сессия_Приложение рус_ноябрь РБ_Приложение_2010-2012 каз 04.08.10_ДК-2020_Анализ_Приложение_рус _2012-2014_29,30" xfId="2307" xr:uid="{00000000-0005-0000-0000-00005F140000}"/>
    <cellStyle name="_Приложение 02 русс на 16.04.2009 г. 1 сессия_Приложение рус_ноябрь РБ_Приложение_2010-2012 каз 04.08.10_ДК-2020_Анализ_Приложение_рус _2012-2014_29,30 2" xfId="5735" xr:uid="{00000000-0005-0000-0000-000060140000}"/>
    <cellStyle name="_Приложение 02 русс на 16.04.2009 г. 1 сессия_Приложение рус_ноябрь РБ_Приложение_2010-2012 каз 04.08.10_ДК-2020_Пр 4     11.05.11. ИКС" xfId="2308" xr:uid="{00000000-0005-0000-0000-000061140000}"/>
    <cellStyle name="_Приложение 02 русс на 16.04.2009 г. 1 сессия_Приложение рус_ноябрь РБ_Приложение_2010-2012 каз 04.08.10_ДК-2020_Пр 4     11.05.11. ИКС 2" xfId="5736" xr:uid="{00000000-0005-0000-0000-000062140000}"/>
    <cellStyle name="_Приложение 02 русс на 16.04.2009 г. 1 сессия_Приложение рус_ноябрь РБ_Приложение_2010-2012 каз 04.08.10_ДК-2020_Пр 4     11.05.11. ИКС_Приложение_рус _2012-2014_29,30" xfId="2309" xr:uid="{00000000-0005-0000-0000-000063140000}"/>
    <cellStyle name="_Приложение 02 русс на 16.04.2009 г. 1 сессия_Приложение рус_ноябрь РБ_Приложение_2010-2012 каз 04.08.10_ДК-2020_Пр 4     11.05.11. ИКС_Приложение_рус _2012-2014_29,30 2" xfId="5737" xr:uid="{00000000-0005-0000-0000-000064140000}"/>
    <cellStyle name="_Приложение 02 русс на 16.04.2009 г. 1 сессия_Приложение рус_ноябрь РБ_Приложение_2010-2012 каз 04.08.10_ДК-2020_Приложение 4 русс,каз 16.03.11. посл" xfId="2310" xr:uid="{00000000-0005-0000-0000-000065140000}"/>
    <cellStyle name="_Приложение 02 русс на 16.04.2009 г. 1 сессия_Приложение рус_ноябрь РБ_Приложение_2010-2012 каз 04.08.10_ДК-2020_Приложение 4 русс,каз 16.03.11. посл 2" xfId="5738" xr:uid="{00000000-0005-0000-0000-000066140000}"/>
    <cellStyle name="_Приложение 02 русс на 16.04.2009 г. 1 сессия_Приложение рус_ноябрь РБ_Приложение_2010-2012 каз 04.08.10_ДК-2020_Приложение 4 русс,каз 16.03.11. посл_Приложение_рус _2012-2014_29,30" xfId="2311" xr:uid="{00000000-0005-0000-0000-000067140000}"/>
    <cellStyle name="_Приложение 02 русс на 16.04.2009 г. 1 сессия_Приложение рус_ноябрь РБ_Приложение_2010-2012 каз 04.08.10_ДК-2020_Приложение 4 русс,каз 16.03.11. посл_Приложение_рус _2012-2014_29,30 2" xfId="5739" xr:uid="{00000000-0005-0000-0000-000068140000}"/>
    <cellStyle name="_Приложение 02 русс на 16.04.2009 г. 1 сессия_Приложение рус_ноябрь РБ_Приложение_2010-2012 каз 04.08.10_ДК-2020_Приложение_реал_рус 2011-2013 Уточнение" xfId="2312" xr:uid="{00000000-0005-0000-0000-000069140000}"/>
    <cellStyle name="_Приложение 02 русс на 16.04.2009 г. 1 сессия_Приложение рус_ноябрь РБ_Приложение_2010-2012 каз 04.08.10_ДК-2020_Приложение_реал_рус 2011-2013 Уточнение 2" xfId="5740" xr:uid="{00000000-0005-0000-0000-00006A140000}"/>
    <cellStyle name="_Приложение 02 русс на 16.04.2009 г. 1 сессия_Приложение рус_ноябрь РБ_Приложение_2010-2012 каз 04.08.10_ДК-2020_Приложение_реал_рус 2011-2013 Уточнение_Приложение_рус _2012-2014_29,30" xfId="2313" xr:uid="{00000000-0005-0000-0000-00006B140000}"/>
    <cellStyle name="_Приложение 02 русс на 16.04.2009 г. 1 сессия_Приложение рус_ноябрь РБ_Приложение_2010-2012 каз 04.08.10_ДК-2020_Приложение_реал_рус 2011-2013 Уточнение_Приложение_рус _2012-2014_29,30 2" xfId="5741" xr:uid="{00000000-0005-0000-0000-00006C140000}"/>
    <cellStyle name="_Приложение 02 русс на 16.04.2009 г. 1 сессия_Приложение рус_ноябрь РБ_Приложение_2010-2012 каз 04.08.10_ДК-2020_Приложение_рус _2012-2014_29,30" xfId="2314" xr:uid="{00000000-0005-0000-0000-00006D140000}"/>
    <cellStyle name="_Приложение 02 русс на 16.04.2009 г. 1 сессия_Приложение рус_ноябрь РБ_Приложение_2010-2012 каз 04.08.10_ДК-2020_Приложение_рус _2012-2014_29,30 2" xfId="5742" xr:uid="{00000000-0005-0000-0000-00006E140000}"/>
    <cellStyle name="_Приложение 02 русс на 16.04.2009 г. 1 сессия_Приложение рус_ноябрь РБ_Приложение_2010-2012 каз 04.08.10_ДК-2020_приложения 2012 рус" xfId="2315" xr:uid="{00000000-0005-0000-0000-00006F140000}"/>
    <cellStyle name="_Приложение 02 русс на 16.04.2009 г. 1 сессия_Приложение рус_ноябрь РБ_Приложение_2010-2012 каз 04.08.10_ДК-2020_приложения 2012 рус 2" xfId="5743" xr:uid="{00000000-0005-0000-0000-000070140000}"/>
    <cellStyle name="_Приложение 02 русс на 16.04.2009 г. 1 сессия_Приложение рус_ноябрь РБ_Приложение_2010-2012 каз_март" xfId="2316" xr:uid="{00000000-0005-0000-0000-000071140000}"/>
    <cellStyle name="_Приложение 02 русс на 16.04.2009 г. 1 сессия_Приложение рус_ноябрь РБ_Приложение_2010-2012 каз_март 2" xfId="2317" xr:uid="{00000000-0005-0000-0000-000072140000}"/>
    <cellStyle name="_Приложение 02 русс на 16.04.2009 г. 1 сессия_Приложение рус_ноябрь РБ_Приложение_2010-2012 каз_март 2 2" xfId="5745" xr:uid="{00000000-0005-0000-0000-000073140000}"/>
    <cellStyle name="_Приложение 02 русс на 16.04.2009 г. 1 сессия_Приложение рус_ноябрь РБ_Приложение_2010-2012 каз_март 3" xfId="5744" xr:uid="{00000000-0005-0000-0000-000074140000}"/>
    <cellStyle name="_Приложение 02 русс на 16.04.2009 г. 1 сессия_Приложение рус_ноябрь РБ_Приложение_2010-2012 каз_март_Анализ" xfId="2318" xr:uid="{00000000-0005-0000-0000-000075140000}"/>
    <cellStyle name="_Приложение 02 русс на 16.04.2009 г. 1 сессия_Приложение рус_ноябрь РБ_Приложение_2010-2012 каз_март_Анализ 2" xfId="5746" xr:uid="{00000000-0005-0000-0000-000076140000}"/>
    <cellStyle name="_Приложение 02 русс на 16.04.2009 г. 1 сессия_Приложение рус_ноябрь РБ_Приложение_2010-2012 каз_март_Анализ 3.03.2011г." xfId="3290" xr:uid="{00000000-0005-0000-0000-000077140000}"/>
    <cellStyle name="_Приложение 02 русс на 16.04.2009 г. 1 сессия_Приложение рус_ноябрь РБ_Приложение_2010-2012 каз_март_Анализ 6.03.2011г." xfId="3291" xr:uid="{00000000-0005-0000-0000-000078140000}"/>
    <cellStyle name="_Приложение 02 русс на 16.04.2009 г. 1 сессия_Приложение рус_ноябрь РБ_Приложение_2010-2012 каз_март_Анализ 9.03.2011г." xfId="3292" xr:uid="{00000000-0005-0000-0000-000079140000}"/>
    <cellStyle name="_Приложение 02 русс на 16.04.2009 г. 1 сессия_Приложение рус_ноябрь РБ_Приложение_2010-2012 каз_март_Анализ_Приложение_рус _2012-2014_29,30" xfId="2319" xr:uid="{00000000-0005-0000-0000-00007A140000}"/>
    <cellStyle name="_Приложение 02 русс на 16.04.2009 г. 1 сессия_Приложение рус_ноябрь РБ_Приложение_2010-2012 каз_март_Анализ_Приложение_рус _2012-2014_29,30 2" xfId="5747" xr:uid="{00000000-0005-0000-0000-00007B140000}"/>
    <cellStyle name="_Приложение 02 русс на 16.04.2009 г. 1 сессия_Приложение рус_ноябрь РБ_Приложение_2010-2012 каз_март_Пр 4     11.05.11. ИКС" xfId="2320" xr:uid="{00000000-0005-0000-0000-00007C140000}"/>
    <cellStyle name="_Приложение 02 русс на 16.04.2009 г. 1 сессия_Приложение рус_ноябрь РБ_Приложение_2010-2012 каз_март_Пр 4     11.05.11. ИКС 2" xfId="5748" xr:uid="{00000000-0005-0000-0000-00007D140000}"/>
    <cellStyle name="_Приложение 02 русс на 16.04.2009 г. 1 сессия_Приложение рус_ноябрь РБ_Приложение_2010-2012 каз_март_Пр 4     11.05.11. ИКС_Приложение_рус _2012-2014_29,30" xfId="2321" xr:uid="{00000000-0005-0000-0000-00007E140000}"/>
    <cellStyle name="_Приложение 02 русс на 16.04.2009 г. 1 сессия_Приложение рус_ноябрь РБ_Приложение_2010-2012 каз_март_Пр 4     11.05.11. ИКС_Приложение_рус _2012-2014_29,30 2" xfId="5749" xr:uid="{00000000-0005-0000-0000-00007F140000}"/>
    <cellStyle name="_Приложение 02 русс на 16.04.2009 г. 1 сессия_Приложение рус_ноябрь РБ_Приложение_2010-2012 каз_март_Приложение 4 русс,каз 16.03.11. посл" xfId="2322" xr:uid="{00000000-0005-0000-0000-000080140000}"/>
    <cellStyle name="_Приложение 02 русс на 16.04.2009 г. 1 сессия_Приложение рус_ноябрь РБ_Приложение_2010-2012 каз_март_Приложение 4 русс,каз 16.03.11. посл 2" xfId="5750" xr:uid="{00000000-0005-0000-0000-000081140000}"/>
    <cellStyle name="_Приложение 02 русс на 16.04.2009 г. 1 сессия_Приложение рус_ноябрь РБ_Приложение_2010-2012 каз_март_Приложение 4 русс,каз 16.03.11. посл_Приложение_рус _2012-2014_29,30" xfId="2323" xr:uid="{00000000-0005-0000-0000-000082140000}"/>
    <cellStyle name="_Приложение 02 русс на 16.04.2009 г. 1 сессия_Приложение рус_ноябрь РБ_Приложение_2010-2012 каз_март_Приложение 4 русс,каз 16.03.11. посл_Приложение_рус _2012-2014_29,30 2" xfId="5751" xr:uid="{00000000-0005-0000-0000-000083140000}"/>
    <cellStyle name="_Приложение 02 русс на 16.04.2009 г. 1 сессия_Приложение рус_ноябрь РБ_Приложение_2010-2012 каз_март_Приложение_пост_каз_авг" xfId="2324" xr:uid="{00000000-0005-0000-0000-000084140000}"/>
    <cellStyle name="_Приложение 02 русс на 16.04.2009 г. 1 сессия_Приложение рус_ноябрь РБ_Приложение_2010-2012 каз_март_Приложение_пост_каз_авг 2" xfId="5752" xr:uid="{00000000-0005-0000-0000-000085140000}"/>
    <cellStyle name="_Приложение 02 русс на 16.04.2009 г. 1 сессия_Приложение рус_ноябрь РБ_Приложение_2010-2012 каз_март_Приложение_пост_каз_авг_Анализ" xfId="2325" xr:uid="{00000000-0005-0000-0000-000086140000}"/>
    <cellStyle name="_Приложение 02 русс на 16.04.2009 г. 1 сессия_Приложение рус_ноябрь РБ_Приложение_2010-2012 каз_март_Приложение_пост_каз_авг_Анализ 2" xfId="5753" xr:uid="{00000000-0005-0000-0000-000087140000}"/>
    <cellStyle name="_Приложение 02 русс на 16.04.2009 г. 1 сессия_Приложение рус_ноябрь РБ_Приложение_2010-2012 каз_март_Приложение_пост_каз_авг_Анализ 3.03.2011г." xfId="3293" xr:uid="{00000000-0005-0000-0000-000088140000}"/>
    <cellStyle name="_Приложение 02 русс на 16.04.2009 г. 1 сессия_Приложение рус_ноябрь РБ_Приложение_2010-2012 каз_март_Приложение_пост_каз_авг_Анализ 6.03.2011г." xfId="3294" xr:uid="{00000000-0005-0000-0000-000089140000}"/>
    <cellStyle name="_Приложение 02 русс на 16.04.2009 г. 1 сессия_Приложение рус_ноябрь РБ_Приложение_2010-2012 каз_март_Приложение_пост_каз_авг_Анализ 9.03.2011г." xfId="3295" xr:uid="{00000000-0005-0000-0000-00008A140000}"/>
    <cellStyle name="_Приложение 02 русс на 16.04.2009 г. 1 сессия_Приложение рус_ноябрь РБ_Приложение_2010-2012 каз_март_Приложение_пост_каз_авг_Анализ_Приложение_рус _2012-2014_29,30" xfId="2326" xr:uid="{00000000-0005-0000-0000-00008B140000}"/>
    <cellStyle name="_Приложение 02 русс на 16.04.2009 г. 1 сессия_Приложение рус_ноябрь РБ_Приложение_2010-2012 каз_март_Приложение_пост_каз_авг_Анализ_Приложение_рус _2012-2014_29,30 2" xfId="5754" xr:uid="{00000000-0005-0000-0000-00008C140000}"/>
    <cellStyle name="_Приложение 02 русс на 16.04.2009 г. 1 сессия_Приложение рус_ноябрь РБ_Приложение_2010-2012 каз_март_Приложение_пост_каз_авг_Пр 4     11.05.11. ИКС" xfId="2327" xr:uid="{00000000-0005-0000-0000-00008D140000}"/>
    <cellStyle name="_Приложение 02 русс на 16.04.2009 г. 1 сессия_Приложение рус_ноябрь РБ_Приложение_2010-2012 каз_март_Приложение_пост_каз_авг_Пр 4     11.05.11. ИКС 2" xfId="5755" xr:uid="{00000000-0005-0000-0000-00008E140000}"/>
    <cellStyle name="_Приложение 02 русс на 16.04.2009 г. 1 сессия_Приложение рус_ноябрь РБ_Приложение_2010-2012 каз_март_Приложение_пост_каз_авг_Пр 4     11.05.11. ИКС_Приложение_рус _2012-2014_29,30" xfId="2328" xr:uid="{00000000-0005-0000-0000-00008F140000}"/>
    <cellStyle name="_Приложение 02 русс на 16.04.2009 г. 1 сессия_Приложение рус_ноябрь РБ_Приложение_2010-2012 каз_март_Приложение_пост_каз_авг_Пр 4     11.05.11. ИКС_Приложение_рус _2012-2014_29,30 2" xfId="5756" xr:uid="{00000000-0005-0000-0000-000090140000}"/>
    <cellStyle name="_Приложение 02 русс на 16.04.2009 г. 1 сессия_Приложение рус_ноябрь РБ_Приложение_2010-2012 каз_март_Приложение_пост_каз_авг_Приложение 4 русс,каз 16.03.11. посл" xfId="2329" xr:uid="{00000000-0005-0000-0000-000091140000}"/>
    <cellStyle name="_Приложение 02 русс на 16.04.2009 г. 1 сессия_Приложение рус_ноябрь РБ_Приложение_2010-2012 каз_март_Приложение_пост_каз_авг_Приложение 4 русс,каз 16.03.11. посл 2" xfId="5757" xr:uid="{00000000-0005-0000-0000-000092140000}"/>
    <cellStyle name="_Приложение 02 русс на 16.04.2009 г. 1 сессия_Приложение рус_ноябрь РБ_Приложение_2010-2012 каз_март_Приложение_пост_каз_авг_Приложение 4 русс,каз 16.03.11. посл_Приложение_рус _2012-2014_29,30" xfId="2330" xr:uid="{00000000-0005-0000-0000-000093140000}"/>
    <cellStyle name="_Приложение 02 русс на 16.04.2009 г. 1 сессия_Приложение рус_ноябрь РБ_Приложение_2010-2012 каз_март_Приложение_пост_каз_авг_Приложение 4 русс,каз 16.03.11. посл_Приложение_рус _2012-2014_29,30 2" xfId="5758" xr:uid="{00000000-0005-0000-0000-000094140000}"/>
    <cellStyle name="_Приложение 02 русс на 16.04.2009 г. 1 сессия_Приложение рус_ноябрь РБ_Приложение_2010-2012 каз_март_Приложение_пост_каз_авг_Приложение_реал_рус 2011-2013 Уточнение" xfId="2331" xr:uid="{00000000-0005-0000-0000-000095140000}"/>
    <cellStyle name="_Приложение 02 русс на 16.04.2009 г. 1 сессия_Приложение рус_ноябрь РБ_Приложение_2010-2012 каз_март_Приложение_пост_каз_авг_Приложение_реал_рус 2011-2013 Уточнение 2" xfId="5759" xr:uid="{00000000-0005-0000-0000-000096140000}"/>
    <cellStyle name="_Приложение 02 русс на 16.04.2009 г. 1 сессия_Приложение рус_ноябрь РБ_Приложение_2010-2012 каз_март_Приложение_пост_каз_авг_Приложение_реал_рус 2011-2013 Уточнение_Приложение_рус _2012-2014_29,30" xfId="2332" xr:uid="{00000000-0005-0000-0000-000097140000}"/>
    <cellStyle name="_Приложение 02 русс на 16.04.2009 г. 1 сессия_Приложение рус_ноябрь РБ_Приложение_2010-2012 каз_март_Приложение_пост_каз_авг_Приложение_реал_рус 2011-2013 Уточнение_Приложение_рус _2012-2014_29,30 2" xfId="5760" xr:uid="{00000000-0005-0000-0000-000098140000}"/>
    <cellStyle name="_Приложение 02 русс на 16.04.2009 г. 1 сессия_Приложение рус_ноябрь РБ_Приложение_2010-2012 каз_март_Приложение_пост_каз_авг_Приложение_рус _2012-2014_29,30" xfId="2333" xr:uid="{00000000-0005-0000-0000-000099140000}"/>
    <cellStyle name="_Приложение 02 русс на 16.04.2009 г. 1 сессия_Приложение рус_ноябрь РБ_Приложение_2010-2012 каз_март_Приложение_пост_каз_авг_Приложение_рус _2012-2014_29,30 2" xfId="5761" xr:uid="{00000000-0005-0000-0000-00009A140000}"/>
    <cellStyle name="_Приложение 02 русс на 16.04.2009 г. 1 сессия_Приложение рус_ноябрь РБ_Приложение_2010-2012 каз_март_Приложение_пост_каз_авг_приложения 2012 рус" xfId="2334" xr:uid="{00000000-0005-0000-0000-00009B140000}"/>
    <cellStyle name="_Приложение 02 русс на 16.04.2009 г. 1 сессия_Приложение рус_ноябрь РБ_Приложение_2010-2012 каз_март_Приложение_пост_каз_авг_приложения 2012 рус 2" xfId="5762" xr:uid="{00000000-0005-0000-0000-00009C140000}"/>
    <cellStyle name="_Приложение 02 русс на 16.04.2009 г. 1 сессия_Приложение рус_ноябрь РБ_Приложение_2010-2012 каз_март_Приложение_пост_рус_авг" xfId="2335" xr:uid="{00000000-0005-0000-0000-00009D140000}"/>
    <cellStyle name="_Приложение 02 русс на 16.04.2009 г. 1 сессия_Приложение рус_ноябрь РБ_Приложение_2010-2012 каз_март_Приложение_пост_рус_авг 2" xfId="5763" xr:uid="{00000000-0005-0000-0000-00009E140000}"/>
    <cellStyle name="_Приложение 02 русс на 16.04.2009 г. 1 сессия_Приложение рус_ноябрь РБ_Приложение_2010-2012 каз_март_Приложение_пост_рус_авг_Анализ" xfId="2336" xr:uid="{00000000-0005-0000-0000-00009F140000}"/>
    <cellStyle name="_Приложение 02 русс на 16.04.2009 г. 1 сессия_Приложение рус_ноябрь РБ_Приложение_2010-2012 каз_март_Приложение_пост_рус_авг_Анализ 2" xfId="5764" xr:uid="{00000000-0005-0000-0000-0000A0140000}"/>
    <cellStyle name="_Приложение 02 русс на 16.04.2009 г. 1 сессия_Приложение рус_ноябрь РБ_Приложение_2010-2012 каз_март_Приложение_пост_рус_авг_Анализ 3.03.2011г." xfId="3296" xr:uid="{00000000-0005-0000-0000-0000A1140000}"/>
    <cellStyle name="_Приложение 02 русс на 16.04.2009 г. 1 сессия_Приложение рус_ноябрь РБ_Приложение_2010-2012 каз_март_Приложение_пост_рус_авг_Анализ 6.03.2011г." xfId="3297" xr:uid="{00000000-0005-0000-0000-0000A2140000}"/>
    <cellStyle name="_Приложение 02 русс на 16.04.2009 г. 1 сессия_Приложение рус_ноябрь РБ_Приложение_2010-2012 каз_март_Приложение_пост_рус_авг_Анализ 9.03.2011г." xfId="3298" xr:uid="{00000000-0005-0000-0000-0000A3140000}"/>
    <cellStyle name="_Приложение 02 русс на 16.04.2009 г. 1 сессия_Приложение рус_ноябрь РБ_Приложение_2010-2012 каз_март_Приложение_пост_рус_авг_Анализ_Приложение_рус _2012-2014_29,30" xfId="2337" xr:uid="{00000000-0005-0000-0000-0000A4140000}"/>
    <cellStyle name="_Приложение 02 русс на 16.04.2009 г. 1 сессия_Приложение рус_ноябрь РБ_Приложение_2010-2012 каз_март_Приложение_пост_рус_авг_Анализ_Приложение_рус _2012-2014_29,30 2" xfId="5765" xr:uid="{00000000-0005-0000-0000-0000A5140000}"/>
    <cellStyle name="_Приложение 02 русс на 16.04.2009 г. 1 сессия_Приложение рус_ноябрь РБ_Приложение_2010-2012 каз_март_Приложение_пост_рус_авг_Пр 4     11.05.11. ИКС" xfId="2338" xr:uid="{00000000-0005-0000-0000-0000A6140000}"/>
    <cellStyle name="_Приложение 02 русс на 16.04.2009 г. 1 сессия_Приложение рус_ноябрь РБ_Приложение_2010-2012 каз_март_Приложение_пост_рус_авг_Пр 4     11.05.11. ИКС 2" xfId="5766" xr:uid="{00000000-0005-0000-0000-0000A7140000}"/>
    <cellStyle name="_Приложение 02 русс на 16.04.2009 г. 1 сессия_Приложение рус_ноябрь РБ_Приложение_2010-2012 каз_март_Приложение_пост_рус_авг_Пр 4     11.05.11. ИКС_Приложение_рус _2012-2014_29,30" xfId="2339" xr:uid="{00000000-0005-0000-0000-0000A8140000}"/>
    <cellStyle name="_Приложение 02 русс на 16.04.2009 г. 1 сессия_Приложение рус_ноябрь РБ_Приложение_2010-2012 каз_март_Приложение_пост_рус_авг_Пр 4     11.05.11. ИКС_Приложение_рус _2012-2014_29,30 2" xfId="5767" xr:uid="{00000000-0005-0000-0000-0000A9140000}"/>
    <cellStyle name="_Приложение 02 русс на 16.04.2009 г. 1 сессия_Приложение рус_ноябрь РБ_Приложение_2010-2012 каз_март_Приложение_пост_рус_авг_Приложение 4 русс,каз 16.03.11. посл" xfId="2340" xr:uid="{00000000-0005-0000-0000-0000AA140000}"/>
    <cellStyle name="_Приложение 02 русс на 16.04.2009 г. 1 сессия_Приложение рус_ноябрь РБ_Приложение_2010-2012 каз_март_Приложение_пост_рус_авг_Приложение 4 русс,каз 16.03.11. посл 2" xfId="5768" xr:uid="{00000000-0005-0000-0000-0000AB140000}"/>
    <cellStyle name="_Приложение 02 русс на 16.04.2009 г. 1 сессия_Приложение рус_ноябрь РБ_Приложение_2010-2012 каз_март_Приложение_пост_рус_авг_Приложение 4 русс,каз 16.03.11. посл_Приложение_рус _2012-2014_29,30" xfId="2341" xr:uid="{00000000-0005-0000-0000-0000AC140000}"/>
    <cellStyle name="_Приложение 02 русс на 16.04.2009 г. 1 сессия_Приложение рус_ноябрь РБ_Приложение_2010-2012 каз_март_Приложение_пост_рус_авг_Приложение 4 русс,каз 16.03.11. посл_Приложение_рус _2012-2014_29,30 2" xfId="5769" xr:uid="{00000000-0005-0000-0000-0000AD140000}"/>
    <cellStyle name="_Приложение 02 русс на 16.04.2009 г. 1 сессия_Приложение рус_ноябрь РБ_Приложение_2010-2012 каз_март_Приложение_пост_рус_авг_Приложение_реал_рус 2011-2013 Уточнение" xfId="2342" xr:uid="{00000000-0005-0000-0000-0000AE140000}"/>
    <cellStyle name="_Приложение 02 русс на 16.04.2009 г. 1 сессия_Приложение рус_ноябрь РБ_Приложение_2010-2012 каз_март_Приложение_пост_рус_авг_Приложение_реал_рус 2011-2013 Уточнение 2" xfId="5770" xr:uid="{00000000-0005-0000-0000-0000AF140000}"/>
    <cellStyle name="_Приложение 02 русс на 16.04.2009 г. 1 сессия_Приложение рус_ноябрь РБ_Приложение_2010-2012 каз_март_Приложение_пост_рус_авг_Приложение_реал_рус 2011-2013 Уточнение_Приложение_рус _2012-2014_29,30" xfId="2343" xr:uid="{00000000-0005-0000-0000-0000B0140000}"/>
    <cellStyle name="_Приложение 02 русс на 16.04.2009 г. 1 сессия_Приложение рус_ноябрь РБ_Приложение_2010-2012 каз_март_Приложение_пост_рус_авг_Приложение_реал_рус 2011-2013 Уточнение_Приложение_рус _2012-2014_29,30 2" xfId="5771" xr:uid="{00000000-0005-0000-0000-0000B1140000}"/>
    <cellStyle name="_Приложение 02 русс на 16.04.2009 г. 1 сессия_Приложение рус_ноябрь РБ_Приложение_2010-2012 каз_март_Приложение_пост_рус_авг_Приложение_рус _2012-2014_29,30" xfId="2344" xr:uid="{00000000-0005-0000-0000-0000B2140000}"/>
    <cellStyle name="_Приложение 02 русс на 16.04.2009 г. 1 сессия_Приложение рус_ноябрь РБ_Приложение_2010-2012 каз_март_Приложение_пост_рус_авг_Приложение_рус _2012-2014_29,30 2" xfId="5772" xr:uid="{00000000-0005-0000-0000-0000B3140000}"/>
    <cellStyle name="_Приложение 02 русс на 16.04.2009 г. 1 сессия_Приложение рус_ноябрь РБ_Приложение_2010-2012 каз_март_Приложение_пост_рус_авг_приложения 2012 рус" xfId="2345" xr:uid="{00000000-0005-0000-0000-0000B4140000}"/>
    <cellStyle name="_Приложение 02 русс на 16.04.2009 г. 1 сессия_Приложение рус_ноябрь РБ_Приложение_2010-2012 каз_март_Приложение_пост_рус_авг_приложения 2012 рус 2" xfId="5773" xr:uid="{00000000-0005-0000-0000-0000B5140000}"/>
    <cellStyle name="_Приложение 02 русс на 16.04.2009 г. 1 сессия_Приложение рус_ноябрь РБ_Приложение_2010-2012 каз_март_Приложение_реал_рус 2011-2013 Уточнение" xfId="2346" xr:uid="{00000000-0005-0000-0000-0000B6140000}"/>
    <cellStyle name="_Приложение 02 русс на 16.04.2009 г. 1 сессия_Приложение рус_ноябрь РБ_Приложение_2010-2012 каз_март_Приложение_реал_рус 2011-2013 Уточнение 2" xfId="5774" xr:uid="{00000000-0005-0000-0000-0000B7140000}"/>
    <cellStyle name="_Приложение 02 русс на 16.04.2009 г. 1 сессия_Приложение рус_ноябрь РБ_Приложение_2010-2012 каз_март_Приложение_реал_рус 2011-2013 Уточнение_Приложение_рус _2012-2014_29,30" xfId="2347" xr:uid="{00000000-0005-0000-0000-0000B8140000}"/>
    <cellStyle name="_Приложение 02 русс на 16.04.2009 г. 1 сессия_Приложение рус_ноябрь РБ_Приложение_2010-2012 каз_март_Приложение_реал_рус 2011-2013 Уточнение_Приложение_рус _2012-2014_29,30 2" xfId="5775" xr:uid="{00000000-0005-0000-0000-0000B9140000}"/>
    <cellStyle name="_Приложение 02 русс на 16.04.2009 г. 1 сессия_Приложение рус_ноябрь РБ_Приложение_2010-2012 каз_март_Приложение_рус _2012-2014_29,30" xfId="2348" xr:uid="{00000000-0005-0000-0000-0000BA140000}"/>
    <cellStyle name="_Приложение 02 русс на 16.04.2009 г. 1 сессия_Приложение рус_ноябрь РБ_Приложение_2010-2012 каз_март_Приложение_рус _2012-2014_29,30 2" xfId="5776" xr:uid="{00000000-0005-0000-0000-0000BB140000}"/>
    <cellStyle name="_Приложение 02 русс на 16.04.2009 г. 1 сессия_Приложение рус_ноябрь РБ_Приложение_2010-2012 каз_март_приложения 2012 рус" xfId="2349" xr:uid="{00000000-0005-0000-0000-0000BC140000}"/>
    <cellStyle name="_Приложение 02 русс на 16.04.2009 г. 1 сессия_Приложение рус_ноябрь РБ_Приложение_2010-2012 каз_март_приложения 2012 рус 2" xfId="5777" xr:uid="{00000000-0005-0000-0000-0000BD140000}"/>
    <cellStyle name="_Приложение 02 русс на 16.04.2009 г. 1 сессия_Приложение рус_ноябрь РБ_Приложение_2010-2012 рус  КОРРЕКТИРОВКА" xfId="2350" xr:uid="{00000000-0005-0000-0000-0000BE140000}"/>
    <cellStyle name="_Приложение 02 русс на 16.04.2009 г. 1 сессия_Приложение рус_ноябрь РБ_Приложение_2010-2012 рус  КОРРЕКТИРОВКА 2" xfId="5778" xr:uid="{00000000-0005-0000-0000-0000BF140000}"/>
    <cellStyle name="_Приложение 02 русс на 16.04.2009 г. 1 сессия_Приложение рус_ноябрь РБ_Приложение_2010-2012 рус  КОРРЕКТИРОВКА_Анализ" xfId="2351" xr:uid="{00000000-0005-0000-0000-0000C0140000}"/>
    <cellStyle name="_Приложение 02 русс на 16.04.2009 г. 1 сессия_Приложение рус_ноябрь РБ_Приложение_2010-2012 рус  КОРРЕКТИРОВКА_Анализ 2" xfId="5779" xr:uid="{00000000-0005-0000-0000-0000C1140000}"/>
    <cellStyle name="_Приложение 02 русс на 16.04.2009 г. 1 сессия_Приложение рус_ноябрь РБ_Приложение_2010-2012 рус  КОРРЕКТИРОВКА_Анализ 3.03.2011г." xfId="3299" xr:uid="{00000000-0005-0000-0000-0000C2140000}"/>
    <cellStyle name="_Приложение 02 русс на 16.04.2009 г. 1 сессия_Приложение рус_ноябрь РБ_Приложение_2010-2012 рус  КОРРЕКТИРОВКА_Анализ 6.03.2011г." xfId="3300" xr:uid="{00000000-0005-0000-0000-0000C3140000}"/>
    <cellStyle name="_Приложение 02 русс на 16.04.2009 г. 1 сессия_Приложение рус_ноябрь РБ_Приложение_2010-2012 рус  КОРРЕКТИРОВКА_Анализ 9.03.2011г." xfId="3301" xr:uid="{00000000-0005-0000-0000-0000C4140000}"/>
    <cellStyle name="_Приложение 02 русс на 16.04.2009 г. 1 сессия_Приложение рус_ноябрь РБ_Приложение_2010-2012 рус  КОРРЕКТИРОВКА_Анализ_Приложение_рус _2012-2014_29,30" xfId="2352" xr:uid="{00000000-0005-0000-0000-0000C5140000}"/>
    <cellStyle name="_Приложение 02 русс на 16.04.2009 г. 1 сессия_Приложение рус_ноябрь РБ_Приложение_2010-2012 рус  КОРРЕКТИРОВКА_Анализ_Приложение_рус _2012-2014_29,30 2" xfId="5780" xr:uid="{00000000-0005-0000-0000-0000C6140000}"/>
    <cellStyle name="_Приложение 02 русс на 16.04.2009 г. 1 сессия_Приложение рус_ноябрь РБ_Приложение_2010-2012 рус  КОРРЕКТИРОВКА_Пр 4     11.05.11. ИКС" xfId="2353" xr:uid="{00000000-0005-0000-0000-0000C7140000}"/>
    <cellStyle name="_Приложение 02 русс на 16.04.2009 г. 1 сессия_Приложение рус_ноябрь РБ_Приложение_2010-2012 рус  КОРРЕКТИРОВКА_Пр 4     11.05.11. ИКС 2" xfId="5781" xr:uid="{00000000-0005-0000-0000-0000C8140000}"/>
    <cellStyle name="_Приложение 02 русс на 16.04.2009 г. 1 сессия_Приложение рус_ноябрь РБ_Приложение_2010-2012 рус  КОРРЕКТИРОВКА_Пр 4     11.05.11. ИКС_Приложение_рус _2012-2014_29,30" xfId="2354" xr:uid="{00000000-0005-0000-0000-0000C9140000}"/>
    <cellStyle name="_Приложение 02 русс на 16.04.2009 г. 1 сессия_Приложение рус_ноябрь РБ_Приложение_2010-2012 рус  КОРРЕКТИРОВКА_Пр 4     11.05.11. ИКС_Приложение_рус _2012-2014_29,30 2" xfId="5782" xr:uid="{00000000-0005-0000-0000-0000CA140000}"/>
    <cellStyle name="_Приложение 02 русс на 16.04.2009 г. 1 сессия_Приложение рус_ноябрь РБ_Приложение_2010-2012 рус  КОРРЕКТИРОВКА_Приложение 4 русс,каз 16.03.11. посл" xfId="2355" xr:uid="{00000000-0005-0000-0000-0000CB140000}"/>
    <cellStyle name="_Приложение 02 русс на 16.04.2009 г. 1 сессия_Приложение рус_ноябрь РБ_Приложение_2010-2012 рус  КОРРЕКТИРОВКА_Приложение 4 русс,каз 16.03.11. посл 2" xfId="5783" xr:uid="{00000000-0005-0000-0000-0000CC140000}"/>
    <cellStyle name="_Приложение 02 русс на 16.04.2009 г. 1 сессия_Приложение рус_ноябрь РБ_Приложение_2010-2012 рус  КОРРЕКТИРОВКА_Приложение 4 русс,каз 16.03.11. посл_Приложение_рус _2012-2014_29,30" xfId="2356" xr:uid="{00000000-0005-0000-0000-0000CD140000}"/>
    <cellStyle name="_Приложение 02 русс на 16.04.2009 г. 1 сессия_Приложение рус_ноябрь РБ_Приложение_2010-2012 рус  КОРРЕКТИРОВКА_Приложение 4 русс,каз 16.03.11. посл_Приложение_рус _2012-2014_29,30 2" xfId="5784" xr:uid="{00000000-0005-0000-0000-0000CE140000}"/>
    <cellStyle name="_Приложение 02 русс на 16.04.2009 г. 1 сессия_Приложение рус_ноябрь РБ_Приложение_2010-2012 рус  КОРРЕКТИРОВКА_Приложение_2010-2012 рус 04.08.10" xfId="2357" xr:uid="{00000000-0005-0000-0000-0000CF140000}"/>
    <cellStyle name="_Приложение 02 русс на 16.04.2009 г. 1 сессия_Приложение рус_ноябрь РБ_Приложение_2010-2012 рус  КОРРЕКТИРОВКА_Приложение_2010-2012 рус 04.08.10 2" xfId="5785" xr:uid="{00000000-0005-0000-0000-0000D0140000}"/>
    <cellStyle name="_Приложение 02 русс на 16.04.2009 г. 1 сессия_Приложение рус_ноябрь РБ_Приложение_2010-2012 рус  КОРРЕКТИРОВКА_Приложение_2010-2012 рус 04.08.10_Анализ" xfId="2358" xr:uid="{00000000-0005-0000-0000-0000D1140000}"/>
    <cellStyle name="_Приложение 02 русс на 16.04.2009 г. 1 сессия_Приложение рус_ноябрь РБ_Приложение_2010-2012 рус  КОРРЕКТИРОВКА_Приложение_2010-2012 рус 04.08.10_Анализ 2" xfId="5786" xr:uid="{00000000-0005-0000-0000-0000D2140000}"/>
    <cellStyle name="_Приложение 02 русс на 16.04.2009 г. 1 сессия_Приложение рус_ноябрь РБ_Приложение_2010-2012 рус  КОРРЕКТИРОВКА_Приложение_2010-2012 рус 04.08.10_Анализ 3.03.2011г." xfId="3302" xr:uid="{00000000-0005-0000-0000-0000D3140000}"/>
    <cellStyle name="_Приложение 02 русс на 16.04.2009 г. 1 сессия_Приложение рус_ноябрь РБ_Приложение_2010-2012 рус  КОРРЕКТИРОВКА_Приложение_2010-2012 рус 04.08.10_Анализ 6.03.2011г." xfId="3303" xr:uid="{00000000-0005-0000-0000-0000D4140000}"/>
    <cellStyle name="_Приложение 02 русс на 16.04.2009 г. 1 сессия_Приложение рус_ноябрь РБ_Приложение_2010-2012 рус  КОРРЕКТИРОВКА_Приложение_2010-2012 рус 04.08.10_Анализ 9.03.2011г." xfId="3304" xr:uid="{00000000-0005-0000-0000-0000D5140000}"/>
    <cellStyle name="_Приложение 02 русс на 16.04.2009 г. 1 сессия_Приложение рус_ноябрь РБ_Приложение_2010-2012 рус  КОРРЕКТИРОВКА_Приложение_2010-2012 рус 04.08.10_Анализ_Приложение_рус _2012-2014_29,30" xfId="2359" xr:uid="{00000000-0005-0000-0000-0000D6140000}"/>
    <cellStyle name="_Приложение 02 русс на 16.04.2009 г. 1 сессия_Приложение рус_ноябрь РБ_Приложение_2010-2012 рус  КОРРЕКТИРОВКА_Приложение_2010-2012 рус 04.08.10_Анализ_Приложение_рус _2012-2014_29,30 2" xfId="5787" xr:uid="{00000000-0005-0000-0000-0000D7140000}"/>
    <cellStyle name="_Приложение 02 русс на 16.04.2009 г. 1 сессия_Приложение рус_ноябрь РБ_Приложение_2010-2012 рус  КОРРЕКТИРОВКА_Приложение_2010-2012 рус 04.08.10_Пр 4     11.05.11. ИКС" xfId="2360" xr:uid="{00000000-0005-0000-0000-0000D8140000}"/>
    <cellStyle name="_Приложение 02 русс на 16.04.2009 г. 1 сессия_Приложение рус_ноябрь РБ_Приложение_2010-2012 рус  КОРРЕКТИРОВКА_Приложение_2010-2012 рус 04.08.10_Пр 4     11.05.11. ИКС 2" xfId="5788" xr:uid="{00000000-0005-0000-0000-0000D9140000}"/>
    <cellStyle name="_Приложение 02 русс на 16.04.2009 г. 1 сессия_Приложение рус_ноябрь РБ_Приложение_2010-2012 рус  КОРРЕКТИРОВКА_Приложение_2010-2012 рус 04.08.10_Пр 4     11.05.11. ИКС_Приложение_рус _2012-2014_29,30" xfId="2361" xr:uid="{00000000-0005-0000-0000-0000DA140000}"/>
    <cellStyle name="_Приложение 02 русс на 16.04.2009 г. 1 сессия_Приложение рус_ноябрь РБ_Приложение_2010-2012 рус  КОРРЕКТИРОВКА_Приложение_2010-2012 рус 04.08.10_Пр 4     11.05.11. ИКС_Приложение_рус _2012-2014_29,30 2" xfId="5789" xr:uid="{00000000-0005-0000-0000-0000DB140000}"/>
    <cellStyle name="_Приложение 02 русс на 16.04.2009 г. 1 сессия_Приложение рус_ноябрь РБ_Приложение_2010-2012 рус  КОРРЕКТИРОВКА_Приложение_2010-2012 рус 04.08.10_Приложение 4 русс,каз 16.03.11. посл" xfId="2362" xr:uid="{00000000-0005-0000-0000-0000DC140000}"/>
    <cellStyle name="_Приложение 02 русс на 16.04.2009 г. 1 сессия_Приложение рус_ноябрь РБ_Приложение_2010-2012 рус  КОРРЕКТИРОВКА_Приложение_2010-2012 рус 04.08.10_Приложение 4 русс,каз 16.03.11. посл 2" xfId="5790" xr:uid="{00000000-0005-0000-0000-0000DD140000}"/>
    <cellStyle name="_Приложение 02 русс на 16.04.2009 г. 1 сессия_Приложение рус_ноябрь РБ_Приложение_2010-2012 рус  КОРРЕКТИРОВКА_Приложение_2010-2012 рус 04.08.10_Приложение 4 русс,каз 16.03.11. посл_Приложение_рус _2012-2014_29,30" xfId="2363" xr:uid="{00000000-0005-0000-0000-0000DE140000}"/>
    <cellStyle name="_Приложение 02 русс на 16.04.2009 г. 1 сессия_Приложение рус_ноябрь РБ_Приложение_2010-2012 рус  КОРРЕКТИРОВКА_Приложение_2010-2012 рус 04.08.10_Приложение 4 русс,каз 16.03.11. посл_Приложение_рус _2012-2014_29,30 2" xfId="5791" xr:uid="{00000000-0005-0000-0000-0000DF140000}"/>
    <cellStyle name="_Приложение 02 русс на 16.04.2009 г. 1 сессия_Приложение рус_ноябрь РБ_Приложение_2010-2012 рус  КОРРЕКТИРОВКА_Приложение_2010-2012 рус 04.08.10_Приложение_реал_рус 2011-2013 Уточнение" xfId="2364" xr:uid="{00000000-0005-0000-0000-0000E0140000}"/>
    <cellStyle name="_Приложение 02 русс на 16.04.2009 г. 1 сессия_Приложение рус_ноябрь РБ_Приложение_2010-2012 рус  КОРРЕКТИРОВКА_Приложение_2010-2012 рус 04.08.10_Приложение_реал_рус 2011-2013 Уточнение 2" xfId="5792" xr:uid="{00000000-0005-0000-0000-0000E1140000}"/>
    <cellStyle name="_Приложение 02 русс на 16.04.2009 г. 1 сессия_Приложение рус_ноябрь РБ_Приложение_2010-2012 рус  КОРРЕКТИРОВКА_Приложение_2010-2012 рус 04.08.10_Приложение_реал_рус 2011-2013 Уточнение_Приложение_рус _2012-2014_29,30" xfId="2365" xr:uid="{00000000-0005-0000-0000-0000E2140000}"/>
    <cellStyle name="_Приложение 02 русс на 16.04.2009 г. 1 сессия_Приложение рус_ноябрь РБ_Приложение_2010-2012 рус  КОРРЕКТИРОВКА_Приложение_2010-2012 рус 04.08.10_Приложение_реал_рус 2011-2013 Уточнение_Приложение_рус _2012-2014_29,30 2" xfId="5793" xr:uid="{00000000-0005-0000-0000-0000E3140000}"/>
    <cellStyle name="_Приложение 02 русс на 16.04.2009 г. 1 сессия_Приложение рус_ноябрь РБ_Приложение_2010-2012 рус  КОРРЕКТИРОВКА_Приложение_2010-2012 рус 04.08.10_Приложение_рус _2012-2014_29,30" xfId="2366" xr:uid="{00000000-0005-0000-0000-0000E4140000}"/>
    <cellStyle name="_Приложение 02 русс на 16.04.2009 г. 1 сессия_Приложение рус_ноябрь РБ_Приложение_2010-2012 рус  КОРРЕКТИРОВКА_Приложение_2010-2012 рус 04.08.10_Приложение_рус _2012-2014_29,30 2" xfId="5794" xr:uid="{00000000-0005-0000-0000-0000E5140000}"/>
    <cellStyle name="_Приложение 02 русс на 16.04.2009 г. 1 сессия_Приложение рус_ноябрь РБ_Приложение_2010-2012 рус  КОРРЕКТИРОВКА_Приложение_2010-2012 рус 04.08.10_приложения 2012 рус" xfId="2367" xr:uid="{00000000-0005-0000-0000-0000E6140000}"/>
    <cellStyle name="_Приложение 02 русс на 16.04.2009 г. 1 сессия_Приложение рус_ноябрь РБ_Приложение_2010-2012 рус  КОРРЕКТИРОВКА_Приложение_2010-2012 рус 04.08.10_приложения 2012 рус 2" xfId="5795" xr:uid="{00000000-0005-0000-0000-0000E7140000}"/>
    <cellStyle name="_Приложение 02 русс на 16.04.2009 г. 1 сессия_Приложение рус_ноябрь РБ_Приложение_2010-2012 рус  КОРРЕКТИРОВКА_Приложение_пост_рус_авг" xfId="2368" xr:uid="{00000000-0005-0000-0000-0000E8140000}"/>
    <cellStyle name="_Приложение 02 русс на 16.04.2009 г. 1 сессия_Приложение рус_ноябрь РБ_Приложение_2010-2012 рус  КОРРЕКТИРОВКА_Приложение_пост_рус_авг 2" xfId="5796" xr:uid="{00000000-0005-0000-0000-0000E9140000}"/>
    <cellStyle name="_Приложение 02 русс на 16.04.2009 г. 1 сессия_Приложение рус_ноябрь РБ_Приложение_2010-2012 рус  КОРРЕКТИРОВКА_Приложение_пост_рус_авг_Анализ" xfId="2369" xr:uid="{00000000-0005-0000-0000-0000EA140000}"/>
    <cellStyle name="_Приложение 02 русс на 16.04.2009 г. 1 сессия_Приложение рус_ноябрь РБ_Приложение_2010-2012 рус  КОРРЕКТИРОВКА_Приложение_пост_рус_авг_Анализ 2" xfId="5797" xr:uid="{00000000-0005-0000-0000-0000EB140000}"/>
    <cellStyle name="_Приложение 02 русс на 16.04.2009 г. 1 сессия_Приложение рус_ноябрь РБ_Приложение_2010-2012 рус  КОРРЕКТИРОВКА_Приложение_пост_рус_авг_Анализ 3.03.2011г." xfId="3305" xr:uid="{00000000-0005-0000-0000-0000EC140000}"/>
    <cellStyle name="_Приложение 02 русс на 16.04.2009 г. 1 сессия_Приложение рус_ноябрь РБ_Приложение_2010-2012 рус  КОРРЕКТИРОВКА_Приложение_пост_рус_авг_Анализ 6.03.2011г." xfId="3306" xr:uid="{00000000-0005-0000-0000-0000ED140000}"/>
    <cellStyle name="_Приложение 02 русс на 16.04.2009 г. 1 сессия_Приложение рус_ноябрь РБ_Приложение_2010-2012 рус  КОРРЕКТИРОВКА_Приложение_пост_рус_авг_Анализ 9.03.2011г." xfId="3307" xr:uid="{00000000-0005-0000-0000-0000EE140000}"/>
    <cellStyle name="_Приложение 02 русс на 16.04.2009 г. 1 сессия_Приложение рус_ноябрь РБ_Приложение_2010-2012 рус  КОРРЕКТИРОВКА_Приложение_пост_рус_авг_Анализ_Приложение_рус _2012-2014_29,30" xfId="2370" xr:uid="{00000000-0005-0000-0000-0000EF140000}"/>
    <cellStyle name="_Приложение 02 русс на 16.04.2009 г. 1 сессия_Приложение рус_ноябрь РБ_Приложение_2010-2012 рус  КОРРЕКТИРОВКА_Приложение_пост_рус_авг_Анализ_Приложение_рус _2012-2014_29,30 2" xfId="5798" xr:uid="{00000000-0005-0000-0000-0000F0140000}"/>
    <cellStyle name="_Приложение 02 русс на 16.04.2009 г. 1 сессия_Приложение рус_ноябрь РБ_Приложение_2010-2012 рус  КОРРЕКТИРОВКА_Приложение_пост_рус_авг_Пр 4     11.05.11. ИКС" xfId="2371" xr:uid="{00000000-0005-0000-0000-0000F1140000}"/>
    <cellStyle name="_Приложение 02 русс на 16.04.2009 г. 1 сессия_Приложение рус_ноябрь РБ_Приложение_2010-2012 рус  КОРРЕКТИРОВКА_Приложение_пост_рус_авг_Пр 4     11.05.11. ИКС 2" xfId="5799" xr:uid="{00000000-0005-0000-0000-0000F2140000}"/>
    <cellStyle name="_Приложение 02 русс на 16.04.2009 г. 1 сессия_Приложение рус_ноябрь РБ_Приложение_2010-2012 рус  КОРРЕКТИРОВКА_Приложение_пост_рус_авг_Пр 4     11.05.11. ИКС_Приложение_рус _2012-2014_29,30" xfId="2372" xr:uid="{00000000-0005-0000-0000-0000F3140000}"/>
    <cellStyle name="_Приложение 02 русс на 16.04.2009 г. 1 сессия_Приложение рус_ноябрь РБ_Приложение_2010-2012 рус  КОРРЕКТИРОВКА_Приложение_пост_рус_авг_Пр 4     11.05.11. ИКС_Приложение_рус _2012-2014_29,30 2" xfId="5800" xr:uid="{00000000-0005-0000-0000-0000F4140000}"/>
    <cellStyle name="_Приложение 02 русс на 16.04.2009 г. 1 сессия_Приложение рус_ноябрь РБ_Приложение_2010-2012 рус  КОРРЕКТИРОВКА_Приложение_пост_рус_авг_Приложение 4 русс,каз 16.03.11. посл" xfId="2373" xr:uid="{00000000-0005-0000-0000-0000F5140000}"/>
    <cellStyle name="_Приложение 02 русс на 16.04.2009 г. 1 сессия_Приложение рус_ноябрь РБ_Приложение_2010-2012 рус  КОРРЕКТИРОВКА_Приложение_пост_рус_авг_Приложение 4 русс,каз 16.03.11. посл 2" xfId="5801" xr:uid="{00000000-0005-0000-0000-0000F6140000}"/>
    <cellStyle name="_Приложение 02 русс на 16.04.2009 г. 1 сессия_Приложение рус_ноябрь РБ_Приложение_2010-2012 рус  КОРРЕКТИРОВКА_Приложение_пост_рус_авг_Приложение 4 русс,каз 16.03.11. посл_Приложение_рус _2012-2014_29,30" xfId="2374" xr:uid="{00000000-0005-0000-0000-0000F7140000}"/>
    <cellStyle name="_Приложение 02 русс на 16.04.2009 г. 1 сессия_Приложение рус_ноябрь РБ_Приложение_2010-2012 рус  КОРРЕКТИРОВКА_Приложение_пост_рус_авг_Приложение 4 русс,каз 16.03.11. посл_Приложение_рус _2012-2014_29,30 2" xfId="5802" xr:uid="{00000000-0005-0000-0000-0000F8140000}"/>
    <cellStyle name="_Приложение 02 русс на 16.04.2009 г. 1 сессия_Приложение рус_ноябрь РБ_Приложение_2010-2012 рус  КОРРЕКТИРОВКА_Приложение_пост_рус_авг_Приложение_реал_рус 2011-2013 Уточнение" xfId="2375" xr:uid="{00000000-0005-0000-0000-0000F9140000}"/>
    <cellStyle name="_Приложение 02 русс на 16.04.2009 г. 1 сессия_Приложение рус_ноябрь РБ_Приложение_2010-2012 рус  КОРРЕКТИРОВКА_Приложение_пост_рус_авг_Приложение_реал_рус 2011-2013 Уточнение 2" xfId="5803" xr:uid="{00000000-0005-0000-0000-0000FA140000}"/>
    <cellStyle name="_Приложение 02 русс на 16.04.2009 г. 1 сессия_Приложение рус_ноябрь РБ_Приложение_2010-2012 рус  КОРРЕКТИРОВКА_Приложение_пост_рус_авг_Приложение_реал_рус 2011-2013 Уточнение_Приложение_рус _2012-2014_29,30" xfId="2376" xr:uid="{00000000-0005-0000-0000-0000FB140000}"/>
    <cellStyle name="_Приложение 02 русс на 16.04.2009 г. 1 сессия_Приложение рус_ноябрь РБ_Приложение_2010-2012 рус  КОРРЕКТИРОВКА_Приложение_пост_рус_авг_Приложение_реал_рус 2011-2013 Уточнение_Приложение_рус _2012-2014_29,30 2" xfId="5804" xr:uid="{00000000-0005-0000-0000-0000FC140000}"/>
    <cellStyle name="_Приложение 02 русс на 16.04.2009 г. 1 сессия_Приложение рус_ноябрь РБ_Приложение_2010-2012 рус  КОРРЕКТИРОВКА_Приложение_пост_рус_авг_Приложение_рус _2012-2014_29,30" xfId="2377" xr:uid="{00000000-0005-0000-0000-0000FD140000}"/>
    <cellStyle name="_Приложение 02 русс на 16.04.2009 г. 1 сессия_Приложение рус_ноябрь РБ_Приложение_2010-2012 рус  КОРРЕКТИРОВКА_Приложение_пост_рус_авг_Приложение_рус _2012-2014_29,30 2" xfId="5805" xr:uid="{00000000-0005-0000-0000-0000FE140000}"/>
    <cellStyle name="_Приложение 02 русс на 16.04.2009 г. 1 сессия_Приложение рус_ноябрь РБ_Приложение_2010-2012 рус  КОРРЕКТИРОВКА_Приложение_пост_рус_авг_приложения 2012 рус" xfId="2378" xr:uid="{00000000-0005-0000-0000-0000FF140000}"/>
    <cellStyle name="_Приложение 02 русс на 16.04.2009 г. 1 сессия_Приложение рус_ноябрь РБ_Приложение_2010-2012 рус  КОРРЕКТИРОВКА_Приложение_пост_рус_авг_приложения 2012 рус 2" xfId="5806" xr:uid="{00000000-0005-0000-0000-000000150000}"/>
    <cellStyle name="_Приложение 02 русс на 16.04.2009 г. 1 сессия_Приложение рус_ноябрь РБ_Приложение_2010-2012 рус  КОРРЕКТИРОВКА_Приложение_реал_рус 2011-2013 Уточнение" xfId="2379" xr:uid="{00000000-0005-0000-0000-000001150000}"/>
    <cellStyle name="_Приложение 02 русс на 16.04.2009 г. 1 сессия_Приложение рус_ноябрь РБ_Приложение_2010-2012 рус  КОРРЕКТИРОВКА_Приложение_реал_рус 2011-2013 Уточнение 2" xfId="5807" xr:uid="{00000000-0005-0000-0000-000002150000}"/>
    <cellStyle name="_Приложение 02 русс на 16.04.2009 г. 1 сессия_Приложение рус_ноябрь РБ_Приложение_2010-2012 рус  КОРРЕКТИРОВКА_Приложение_реал_рус 2011-2013 Уточнение_Приложение_рус _2012-2014_29,30" xfId="2380" xr:uid="{00000000-0005-0000-0000-000003150000}"/>
    <cellStyle name="_Приложение 02 русс на 16.04.2009 г. 1 сессия_Приложение рус_ноябрь РБ_Приложение_2010-2012 рус  КОРРЕКТИРОВКА_Приложение_реал_рус 2011-2013 Уточнение_Приложение_рус _2012-2014_29,30 2" xfId="5808" xr:uid="{00000000-0005-0000-0000-000004150000}"/>
    <cellStyle name="_Приложение 02 русс на 16.04.2009 г. 1 сессия_Приложение рус_ноябрь РБ_Приложение_2010-2012 рус  КОРРЕКТИРОВКА_Приложение_рус _2012-2014_29,30" xfId="2381" xr:uid="{00000000-0005-0000-0000-000005150000}"/>
    <cellStyle name="_Приложение 02 русс на 16.04.2009 г. 1 сессия_Приложение рус_ноябрь РБ_Приложение_2010-2012 рус  КОРРЕКТИРОВКА_Приложение_рус _2012-2014_29,30 2" xfId="5809" xr:uid="{00000000-0005-0000-0000-000006150000}"/>
    <cellStyle name="_Приложение 02 русс на 16.04.2009 г. 1 сессия_Приложение рус_ноябрь РБ_Приложение_2010-2012 рус  КОРРЕКТИРОВКА_приложения 2012 рус" xfId="2382" xr:uid="{00000000-0005-0000-0000-000007150000}"/>
    <cellStyle name="_Приложение 02 русс на 16.04.2009 г. 1 сессия_Приложение рус_ноябрь РБ_Приложение_2010-2012 рус  КОРРЕКТИРОВКА_приложения 2012 рус 2" xfId="5810" xr:uid="{00000000-0005-0000-0000-000008150000}"/>
    <cellStyle name="_Приложение 02 русс на 16.04.2009 г. 1 сессия_Приложение рус_ноябрь РБ_Приложение_2010-2012 рус 04.08.10" xfId="2383" xr:uid="{00000000-0005-0000-0000-000009150000}"/>
    <cellStyle name="_Приложение 02 русс на 16.04.2009 г. 1 сессия_Приложение рус_ноябрь РБ_Приложение_2010-2012 рус 04.08.10 2" xfId="5811" xr:uid="{00000000-0005-0000-0000-00000A150000}"/>
    <cellStyle name="_Приложение 02 русс на 16.04.2009 г. 1 сессия_Приложение рус_ноябрь РБ_Приложение_2010-2012 рус 04.08.10_Анализ" xfId="2384" xr:uid="{00000000-0005-0000-0000-00000B150000}"/>
    <cellStyle name="_Приложение 02 русс на 16.04.2009 г. 1 сессия_Приложение рус_ноябрь РБ_Приложение_2010-2012 рус 04.08.10_Анализ 2" xfId="5812" xr:uid="{00000000-0005-0000-0000-00000C150000}"/>
    <cellStyle name="_Приложение 02 русс на 16.04.2009 г. 1 сессия_Приложение рус_ноябрь РБ_Приложение_2010-2012 рус 04.08.10_Анализ 3.03.2011г." xfId="3308" xr:uid="{00000000-0005-0000-0000-00000D150000}"/>
    <cellStyle name="_Приложение 02 русс на 16.04.2009 г. 1 сессия_Приложение рус_ноябрь РБ_Приложение_2010-2012 рус 04.08.10_Анализ 6.03.2011г." xfId="3309" xr:uid="{00000000-0005-0000-0000-00000E150000}"/>
    <cellStyle name="_Приложение 02 русс на 16.04.2009 г. 1 сессия_Приложение рус_ноябрь РБ_Приложение_2010-2012 рус 04.08.10_Анализ 9.03.2011г." xfId="3310" xr:uid="{00000000-0005-0000-0000-00000F150000}"/>
    <cellStyle name="_Приложение 02 русс на 16.04.2009 г. 1 сессия_Приложение рус_ноябрь РБ_Приложение_2010-2012 рус 04.08.10_Анализ_Приложение_рус _2012-2014_29,30" xfId="2385" xr:uid="{00000000-0005-0000-0000-000010150000}"/>
    <cellStyle name="_Приложение 02 русс на 16.04.2009 г. 1 сессия_Приложение рус_ноябрь РБ_Приложение_2010-2012 рус 04.08.10_Анализ_Приложение_рус _2012-2014_29,30 2" xfId="5813" xr:uid="{00000000-0005-0000-0000-000011150000}"/>
    <cellStyle name="_Приложение 02 русс на 16.04.2009 г. 1 сессия_Приложение рус_ноябрь РБ_Приложение_2010-2012 рус 04.08.10_Пр 4     11.05.11. ИКС" xfId="2386" xr:uid="{00000000-0005-0000-0000-000012150000}"/>
    <cellStyle name="_Приложение 02 русс на 16.04.2009 г. 1 сессия_Приложение рус_ноябрь РБ_Приложение_2010-2012 рус 04.08.10_Пр 4     11.05.11. ИКС 2" xfId="5814" xr:uid="{00000000-0005-0000-0000-000013150000}"/>
    <cellStyle name="_Приложение 02 русс на 16.04.2009 г. 1 сессия_Приложение рус_ноябрь РБ_Приложение_2010-2012 рус 04.08.10_Пр 4     11.05.11. ИКС_Приложение_рус _2012-2014_29,30" xfId="2387" xr:uid="{00000000-0005-0000-0000-000014150000}"/>
    <cellStyle name="_Приложение 02 русс на 16.04.2009 г. 1 сессия_Приложение рус_ноябрь РБ_Приложение_2010-2012 рус 04.08.10_Пр 4     11.05.11. ИКС_Приложение_рус _2012-2014_29,30 2" xfId="5815" xr:uid="{00000000-0005-0000-0000-000015150000}"/>
    <cellStyle name="_Приложение 02 русс на 16.04.2009 г. 1 сессия_Приложение рус_ноябрь РБ_Приложение_2010-2012 рус 04.08.10_Приложение 4 русс,каз 16.03.11. посл" xfId="2388" xr:uid="{00000000-0005-0000-0000-000016150000}"/>
    <cellStyle name="_Приложение 02 русс на 16.04.2009 г. 1 сессия_Приложение рус_ноябрь РБ_Приложение_2010-2012 рус 04.08.10_Приложение 4 русс,каз 16.03.11. посл 2" xfId="5816" xr:uid="{00000000-0005-0000-0000-000017150000}"/>
    <cellStyle name="_Приложение 02 русс на 16.04.2009 г. 1 сессия_Приложение рус_ноябрь РБ_Приложение_2010-2012 рус 04.08.10_Приложение 4 русс,каз 16.03.11. посл_Приложение_рус _2012-2014_29,30" xfId="2389" xr:uid="{00000000-0005-0000-0000-000018150000}"/>
    <cellStyle name="_Приложение 02 русс на 16.04.2009 г. 1 сессия_Приложение рус_ноябрь РБ_Приложение_2010-2012 рус 04.08.10_Приложение 4 русс,каз 16.03.11. посл_Приложение_рус _2012-2014_29,30 2" xfId="5817" xr:uid="{00000000-0005-0000-0000-000019150000}"/>
    <cellStyle name="_Приложение 02 русс на 16.04.2009 г. 1 сессия_Приложение рус_ноябрь РБ_Приложение_2010-2012 рус 04.08.10_Приложение_реал_рус 2011-2013 Уточнение" xfId="2390" xr:uid="{00000000-0005-0000-0000-00001A150000}"/>
    <cellStyle name="_Приложение 02 русс на 16.04.2009 г. 1 сессия_Приложение рус_ноябрь РБ_Приложение_2010-2012 рус 04.08.10_Приложение_реал_рус 2011-2013 Уточнение 2" xfId="5818" xr:uid="{00000000-0005-0000-0000-00001B150000}"/>
    <cellStyle name="_Приложение 02 русс на 16.04.2009 г. 1 сессия_Приложение рус_ноябрь РБ_Приложение_2010-2012 рус 04.08.10_Приложение_реал_рус 2011-2013 Уточнение_Приложение_рус _2012-2014_29,30" xfId="2391" xr:uid="{00000000-0005-0000-0000-00001C150000}"/>
    <cellStyle name="_Приложение 02 русс на 16.04.2009 г. 1 сессия_Приложение рус_ноябрь РБ_Приложение_2010-2012 рус 04.08.10_Приложение_реал_рус 2011-2013 Уточнение_Приложение_рус _2012-2014_29,30 2" xfId="5819" xr:uid="{00000000-0005-0000-0000-00001D150000}"/>
    <cellStyle name="_Приложение 02 русс на 16.04.2009 г. 1 сессия_Приложение рус_ноябрь РБ_Приложение_2010-2012 рус 04.08.10_Приложение_рус _2012-2014_29,30" xfId="2392" xr:uid="{00000000-0005-0000-0000-00001E150000}"/>
    <cellStyle name="_Приложение 02 русс на 16.04.2009 г. 1 сессия_Приложение рус_ноябрь РБ_Приложение_2010-2012 рус 04.08.10_Приложение_рус _2012-2014_29,30 2" xfId="5820" xr:uid="{00000000-0005-0000-0000-00001F150000}"/>
    <cellStyle name="_Приложение 02 русс на 16.04.2009 г. 1 сессия_Приложение рус_ноябрь РБ_Приложение_2010-2012 рус 04.08.10_приложения 2012 рус" xfId="2393" xr:uid="{00000000-0005-0000-0000-000020150000}"/>
    <cellStyle name="_Приложение 02 русс на 16.04.2009 г. 1 сессия_Приложение рус_ноябрь РБ_Приложение_2010-2012 рус 04.08.10_приложения 2012 рус 2" xfId="5821" xr:uid="{00000000-0005-0000-0000-000021150000}"/>
    <cellStyle name="_Приложение 02 русс на 16.04.2009 г. 1 сессия_Приложение рус_ноябрь РБ_Приложение_2010-2012 рус март" xfId="2394" xr:uid="{00000000-0005-0000-0000-000022150000}"/>
    <cellStyle name="_Приложение 02 русс на 16.04.2009 г. 1 сессия_Приложение рус_ноябрь РБ_Приложение_2010-2012 рус март 2" xfId="5822" xr:uid="{00000000-0005-0000-0000-000023150000}"/>
    <cellStyle name="_Приложение 02 русс на 16.04.2009 г. 1 сессия_Приложение рус_ноябрь РБ_Приложение_2010-2012 рус март_Анализ" xfId="2395" xr:uid="{00000000-0005-0000-0000-000024150000}"/>
    <cellStyle name="_Приложение 02 русс на 16.04.2009 г. 1 сессия_Приложение рус_ноябрь РБ_Приложение_2010-2012 рус март_Анализ 2" xfId="5823" xr:uid="{00000000-0005-0000-0000-000025150000}"/>
    <cellStyle name="_Приложение 02 русс на 16.04.2009 г. 1 сессия_Приложение рус_ноябрь РБ_Приложение_2010-2012 рус март_Анализ 3.03.2011г." xfId="3311" xr:uid="{00000000-0005-0000-0000-000026150000}"/>
    <cellStyle name="_Приложение 02 русс на 16.04.2009 г. 1 сессия_Приложение рус_ноябрь РБ_Приложение_2010-2012 рус март_Анализ 6.03.2011г." xfId="3312" xr:uid="{00000000-0005-0000-0000-000027150000}"/>
    <cellStyle name="_Приложение 02 русс на 16.04.2009 г. 1 сессия_Приложение рус_ноябрь РБ_Приложение_2010-2012 рус март_Анализ 9.03.2011г." xfId="3313" xr:uid="{00000000-0005-0000-0000-000028150000}"/>
    <cellStyle name="_Приложение 02 русс на 16.04.2009 г. 1 сессия_Приложение рус_ноябрь РБ_Приложение_2010-2012 рус март_Анализ_Приложение_рус _2012-2014_29,30" xfId="2396" xr:uid="{00000000-0005-0000-0000-000029150000}"/>
    <cellStyle name="_Приложение 02 русс на 16.04.2009 г. 1 сессия_Приложение рус_ноябрь РБ_Приложение_2010-2012 рус март_Анализ_Приложение_рус _2012-2014_29,30 2" xfId="5824" xr:uid="{00000000-0005-0000-0000-00002A150000}"/>
    <cellStyle name="_Приложение 02 русс на 16.04.2009 г. 1 сессия_Приложение рус_ноябрь РБ_Приложение_2010-2012 рус март_Пр 4     11.05.11. ИКС" xfId="2397" xr:uid="{00000000-0005-0000-0000-00002B150000}"/>
    <cellStyle name="_Приложение 02 русс на 16.04.2009 г. 1 сессия_Приложение рус_ноябрь РБ_Приложение_2010-2012 рус март_Пр 4     11.05.11. ИКС 2" xfId="5825" xr:uid="{00000000-0005-0000-0000-00002C150000}"/>
    <cellStyle name="_Приложение 02 русс на 16.04.2009 г. 1 сессия_Приложение рус_ноябрь РБ_Приложение_2010-2012 рус март_Пр 4     11.05.11. ИКС_Приложение_рус _2012-2014_29,30" xfId="2398" xr:uid="{00000000-0005-0000-0000-00002D150000}"/>
    <cellStyle name="_Приложение 02 русс на 16.04.2009 г. 1 сессия_Приложение рус_ноябрь РБ_Приложение_2010-2012 рус март_Пр 4     11.05.11. ИКС_Приложение_рус _2012-2014_29,30 2" xfId="5826" xr:uid="{00000000-0005-0000-0000-00002E150000}"/>
    <cellStyle name="_Приложение 02 русс на 16.04.2009 г. 1 сессия_Приложение рус_ноябрь РБ_Приложение_2010-2012 рус март_Приложение 4 русс,каз 16.03.11. посл" xfId="2399" xr:uid="{00000000-0005-0000-0000-00002F150000}"/>
    <cellStyle name="_Приложение 02 русс на 16.04.2009 г. 1 сессия_Приложение рус_ноябрь РБ_Приложение_2010-2012 рус март_Приложение 4 русс,каз 16.03.11. посл 2" xfId="5827" xr:uid="{00000000-0005-0000-0000-000030150000}"/>
    <cellStyle name="_Приложение 02 русс на 16.04.2009 г. 1 сессия_Приложение рус_ноябрь РБ_Приложение_2010-2012 рус март_Приложение 4 русс,каз 16.03.11. посл_Приложение_рус _2012-2014_29,30" xfId="2400" xr:uid="{00000000-0005-0000-0000-000031150000}"/>
    <cellStyle name="_Приложение 02 русс на 16.04.2009 г. 1 сессия_Приложение рус_ноябрь РБ_Приложение_2010-2012 рус март_Приложение 4 русс,каз 16.03.11. посл_Приложение_рус _2012-2014_29,30 2" xfId="5828" xr:uid="{00000000-0005-0000-0000-000032150000}"/>
    <cellStyle name="_Приложение 02 русс на 16.04.2009 г. 1 сессия_Приложение рус_ноябрь РБ_Приложение_2010-2012 рус март_Приложение_2010-2012 рус 04.08.10" xfId="2401" xr:uid="{00000000-0005-0000-0000-000033150000}"/>
    <cellStyle name="_Приложение 02 русс на 16.04.2009 г. 1 сессия_Приложение рус_ноябрь РБ_Приложение_2010-2012 рус март_Приложение_2010-2012 рус 04.08.10 2" xfId="5829" xr:uid="{00000000-0005-0000-0000-000034150000}"/>
    <cellStyle name="_Приложение 02 русс на 16.04.2009 г. 1 сессия_Приложение рус_ноябрь РБ_Приложение_2010-2012 рус март_Приложение_2010-2012 рус 04.08.10_Анализ" xfId="2402" xr:uid="{00000000-0005-0000-0000-000035150000}"/>
    <cellStyle name="_Приложение 02 русс на 16.04.2009 г. 1 сессия_Приложение рус_ноябрь РБ_Приложение_2010-2012 рус март_Приложение_2010-2012 рус 04.08.10_Анализ 2" xfId="5830" xr:uid="{00000000-0005-0000-0000-000036150000}"/>
    <cellStyle name="_Приложение 02 русс на 16.04.2009 г. 1 сессия_Приложение рус_ноябрь РБ_Приложение_2010-2012 рус март_Приложение_2010-2012 рус 04.08.10_Анализ 3.03.2011г." xfId="3314" xr:uid="{00000000-0005-0000-0000-000037150000}"/>
    <cellStyle name="_Приложение 02 русс на 16.04.2009 г. 1 сессия_Приложение рус_ноябрь РБ_Приложение_2010-2012 рус март_Приложение_2010-2012 рус 04.08.10_Анализ 6.03.2011г." xfId="3315" xr:uid="{00000000-0005-0000-0000-000038150000}"/>
    <cellStyle name="_Приложение 02 русс на 16.04.2009 г. 1 сессия_Приложение рус_ноябрь РБ_Приложение_2010-2012 рус март_Приложение_2010-2012 рус 04.08.10_Анализ 9.03.2011г." xfId="3316" xr:uid="{00000000-0005-0000-0000-000039150000}"/>
    <cellStyle name="_Приложение 02 русс на 16.04.2009 г. 1 сессия_Приложение рус_ноябрь РБ_Приложение_2010-2012 рус март_Приложение_2010-2012 рус 04.08.10_Анализ_Приложение_рус _2012-2014_29,30" xfId="2403" xr:uid="{00000000-0005-0000-0000-00003A150000}"/>
    <cellStyle name="_Приложение 02 русс на 16.04.2009 г. 1 сессия_Приложение рус_ноябрь РБ_Приложение_2010-2012 рус март_Приложение_2010-2012 рус 04.08.10_Анализ_Приложение_рус _2012-2014_29,30 2" xfId="5831" xr:uid="{00000000-0005-0000-0000-00003B150000}"/>
    <cellStyle name="_Приложение 02 русс на 16.04.2009 г. 1 сессия_Приложение рус_ноябрь РБ_Приложение_2010-2012 рус март_Приложение_2010-2012 рус 04.08.10_Пр 4     11.05.11. ИКС" xfId="2404" xr:uid="{00000000-0005-0000-0000-00003C150000}"/>
    <cellStyle name="_Приложение 02 русс на 16.04.2009 г. 1 сессия_Приложение рус_ноябрь РБ_Приложение_2010-2012 рус март_Приложение_2010-2012 рус 04.08.10_Пр 4     11.05.11. ИКС 2" xfId="5832" xr:uid="{00000000-0005-0000-0000-00003D150000}"/>
    <cellStyle name="_Приложение 02 русс на 16.04.2009 г. 1 сессия_Приложение рус_ноябрь РБ_Приложение_2010-2012 рус март_Приложение_2010-2012 рус 04.08.10_Пр 4     11.05.11. ИКС_Приложение_рус _2012-2014_29,30" xfId="2405" xr:uid="{00000000-0005-0000-0000-00003E150000}"/>
    <cellStyle name="_Приложение 02 русс на 16.04.2009 г. 1 сессия_Приложение рус_ноябрь РБ_Приложение_2010-2012 рус март_Приложение_2010-2012 рус 04.08.10_Пр 4     11.05.11. ИКС_Приложение_рус _2012-2014_29,30 2" xfId="5833" xr:uid="{00000000-0005-0000-0000-00003F150000}"/>
    <cellStyle name="_Приложение 02 русс на 16.04.2009 г. 1 сессия_Приложение рус_ноябрь РБ_Приложение_2010-2012 рус март_Приложение_2010-2012 рус 04.08.10_Приложение 4 русс,каз 16.03.11. посл" xfId="2406" xr:uid="{00000000-0005-0000-0000-000040150000}"/>
    <cellStyle name="_Приложение 02 русс на 16.04.2009 г. 1 сессия_Приложение рус_ноябрь РБ_Приложение_2010-2012 рус март_Приложение_2010-2012 рус 04.08.10_Приложение 4 русс,каз 16.03.11. посл 2" xfId="5834" xr:uid="{00000000-0005-0000-0000-000041150000}"/>
    <cellStyle name="_Приложение 02 русс на 16.04.2009 г. 1 сессия_Приложение рус_ноябрь РБ_Приложение_2010-2012 рус март_Приложение_2010-2012 рус 04.08.10_Приложение 4 русс,каз 16.03.11. посл_Приложение_рус _2012-2014_29,30" xfId="2407" xr:uid="{00000000-0005-0000-0000-000042150000}"/>
    <cellStyle name="_Приложение 02 русс на 16.04.2009 г. 1 сессия_Приложение рус_ноябрь РБ_Приложение_2010-2012 рус март_Приложение_2010-2012 рус 04.08.10_Приложение 4 русс,каз 16.03.11. посл_Приложение_рус _2012-2014_29,30 2" xfId="5835" xr:uid="{00000000-0005-0000-0000-000043150000}"/>
    <cellStyle name="_Приложение 02 русс на 16.04.2009 г. 1 сессия_Приложение рус_ноябрь РБ_Приложение_2010-2012 рус март_Приложение_2010-2012 рус 04.08.10_Приложение_реал_рус 2011-2013 Уточнение" xfId="2408" xr:uid="{00000000-0005-0000-0000-000044150000}"/>
    <cellStyle name="_Приложение 02 русс на 16.04.2009 г. 1 сессия_Приложение рус_ноябрь РБ_Приложение_2010-2012 рус март_Приложение_2010-2012 рус 04.08.10_Приложение_реал_рус 2011-2013 Уточнение 2" xfId="5836" xr:uid="{00000000-0005-0000-0000-000045150000}"/>
    <cellStyle name="_Приложение 02 русс на 16.04.2009 г. 1 сессия_Приложение рус_ноябрь РБ_Приложение_2010-2012 рус март_Приложение_2010-2012 рус 04.08.10_Приложение_реал_рус 2011-2013 Уточнение_Приложение_рус _2012-2014_29,30" xfId="2409" xr:uid="{00000000-0005-0000-0000-000046150000}"/>
    <cellStyle name="_Приложение 02 русс на 16.04.2009 г. 1 сессия_Приложение рус_ноябрь РБ_Приложение_2010-2012 рус март_Приложение_2010-2012 рус 04.08.10_Приложение_реал_рус 2011-2013 Уточнение_Приложение_рус _2012-2014_29,30 2" xfId="5837" xr:uid="{00000000-0005-0000-0000-000047150000}"/>
    <cellStyle name="_Приложение 02 русс на 16.04.2009 г. 1 сессия_Приложение рус_ноябрь РБ_Приложение_2010-2012 рус март_Приложение_2010-2012 рус 04.08.10_Приложение_рус _2012-2014_29,30" xfId="2410" xr:uid="{00000000-0005-0000-0000-000048150000}"/>
    <cellStyle name="_Приложение 02 русс на 16.04.2009 г. 1 сессия_Приложение рус_ноябрь РБ_Приложение_2010-2012 рус март_Приложение_2010-2012 рус 04.08.10_Приложение_рус _2012-2014_29,30 2" xfId="5838" xr:uid="{00000000-0005-0000-0000-000049150000}"/>
    <cellStyle name="_Приложение 02 русс на 16.04.2009 г. 1 сессия_Приложение рус_ноябрь РБ_Приложение_2010-2012 рус март_Приложение_2010-2012 рус 04.08.10_приложения 2012 рус" xfId="2411" xr:uid="{00000000-0005-0000-0000-00004A150000}"/>
    <cellStyle name="_Приложение 02 русс на 16.04.2009 г. 1 сессия_Приложение рус_ноябрь РБ_Приложение_2010-2012 рус март_Приложение_2010-2012 рус 04.08.10_приложения 2012 рус 2" xfId="5839" xr:uid="{00000000-0005-0000-0000-00004B150000}"/>
    <cellStyle name="_Приложение 02 русс на 16.04.2009 г. 1 сессия_Приложение рус_ноябрь РБ_Приложение_2010-2012 рус март_Приложение_пост_рус_авг" xfId="2412" xr:uid="{00000000-0005-0000-0000-00004C150000}"/>
    <cellStyle name="_Приложение 02 русс на 16.04.2009 г. 1 сессия_Приложение рус_ноябрь РБ_Приложение_2010-2012 рус март_Приложение_пост_рус_авг 2" xfId="5840" xr:uid="{00000000-0005-0000-0000-00004D150000}"/>
    <cellStyle name="_Приложение 02 русс на 16.04.2009 г. 1 сессия_Приложение рус_ноябрь РБ_Приложение_2010-2012 рус март_Приложение_пост_рус_авг_Анализ" xfId="2413" xr:uid="{00000000-0005-0000-0000-00004E150000}"/>
    <cellStyle name="_Приложение 02 русс на 16.04.2009 г. 1 сессия_Приложение рус_ноябрь РБ_Приложение_2010-2012 рус март_Приложение_пост_рус_авг_Анализ 2" xfId="5841" xr:uid="{00000000-0005-0000-0000-00004F150000}"/>
    <cellStyle name="_Приложение 02 русс на 16.04.2009 г. 1 сессия_Приложение рус_ноябрь РБ_Приложение_2010-2012 рус март_Приложение_пост_рус_авг_Анализ 3.03.2011г." xfId="3317" xr:uid="{00000000-0005-0000-0000-000050150000}"/>
    <cellStyle name="_Приложение 02 русс на 16.04.2009 г. 1 сессия_Приложение рус_ноябрь РБ_Приложение_2010-2012 рус март_Приложение_пост_рус_авг_Анализ 6.03.2011г." xfId="3318" xr:uid="{00000000-0005-0000-0000-000051150000}"/>
    <cellStyle name="_Приложение 02 русс на 16.04.2009 г. 1 сессия_Приложение рус_ноябрь РБ_Приложение_2010-2012 рус март_Приложение_пост_рус_авг_Анализ 9.03.2011г." xfId="3319" xr:uid="{00000000-0005-0000-0000-000052150000}"/>
    <cellStyle name="_Приложение 02 русс на 16.04.2009 г. 1 сессия_Приложение рус_ноябрь РБ_Приложение_2010-2012 рус март_Приложение_пост_рус_авг_Анализ_Приложение_рус _2012-2014_29,30" xfId="2414" xr:uid="{00000000-0005-0000-0000-000053150000}"/>
    <cellStyle name="_Приложение 02 русс на 16.04.2009 г. 1 сессия_Приложение рус_ноябрь РБ_Приложение_2010-2012 рус март_Приложение_пост_рус_авг_Анализ_Приложение_рус _2012-2014_29,30 2" xfId="5842" xr:uid="{00000000-0005-0000-0000-000054150000}"/>
    <cellStyle name="_Приложение 02 русс на 16.04.2009 г. 1 сессия_Приложение рус_ноябрь РБ_Приложение_2010-2012 рус март_Приложение_пост_рус_авг_Пр 4     11.05.11. ИКС" xfId="2415" xr:uid="{00000000-0005-0000-0000-000055150000}"/>
    <cellStyle name="_Приложение 02 русс на 16.04.2009 г. 1 сессия_Приложение рус_ноябрь РБ_Приложение_2010-2012 рус март_Приложение_пост_рус_авг_Пр 4     11.05.11. ИКС 2" xfId="5843" xr:uid="{00000000-0005-0000-0000-000056150000}"/>
    <cellStyle name="_Приложение 02 русс на 16.04.2009 г. 1 сессия_Приложение рус_ноябрь РБ_Приложение_2010-2012 рус март_Приложение_пост_рус_авг_Пр 4     11.05.11. ИКС_Приложение_рус _2012-2014_29,30" xfId="2416" xr:uid="{00000000-0005-0000-0000-000057150000}"/>
    <cellStyle name="_Приложение 02 русс на 16.04.2009 г. 1 сессия_Приложение рус_ноябрь РБ_Приложение_2010-2012 рус март_Приложение_пост_рус_авг_Пр 4     11.05.11. ИКС_Приложение_рус _2012-2014_29,30 2" xfId="5844" xr:uid="{00000000-0005-0000-0000-000058150000}"/>
    <cellStyle name="_Приложение 02 русс на 16.04.2009 г. 1 сессия_Приложение рус_ноябрь РБ_Приложение_2010-2012 рус март_Приложение_пост_рус_авг_Приложение 4 русс,каз 16.03.11. посл" xfId="2417" xr:uid="{00000000-0005-0000-0000-000059150000}"/>
    <cellStyle name="_Приложение 02 русс на 16.04.2009 г. 1 сессия_Приложение рус_ноябрь РБ_Приложение_2010-2012 рус март_Приложение_пост_рус_авг_Приложение 4 русс,каз 16.03.11. посл 2" xfId="5845" xr:uid="{00000000-0005-0000-0000-00005A150000}"/>
    <cellStyle name="_Приложение 02 русс на 16.04.2009 г. 1 сессия_Приложение рус_ноябрь РБ_Приложение_2010-2012 рус март_Приложение_пост_рус_авг_Приложение 4 русс,каз 16.03.11. посл_Приложение_рус _2012-2014_29,30" xfId="2418" xr:uid="{00000000-0005-0000-0000-00005B150000}"/>
    <cellStyle name="_Приложение 02 русс на 16.04.2009 г. 1 сессия_Приложение рус_ноябрь РБ_Приложение_2010-2012 рус март_Приложение_пост_рус_авг_Приложение 4 русс,каз 16.03.11. посл_Приложение_рус _2012-2014_29,30 2" xfId="5846" xr:uid="{00000000-0005-0000-0000-00005C150000}"/>
    <cellStyle name="_Приложение 02 русс на 16.04.2009 г. 1 сессия_Приложение рус_ноябрь РБ_Приложение_2010-2012 рус март_Приложение_пост_рус_авг_Приложение_реал_рус 2011-2013 Уточнение" xfId="2419" xr:uid="{00000000-0005-0000-0000-00005D150000}"/>
    <cellStyle name="_Приложение 02 русс на 16.04.2009 г. 1 сессия_Приложение рус_ноябрь РБ_Приложение_2010-2012 рус март_Приложение_пост_рус_авг_Приложение_реал_рус 2011-2013 Уточнение 2" xfId="5847" xr:uid="{00000000-0005-0000-0000-00005E150000}"/>
    <cellStyle name="_Приложение 02 русс на 16.04.2009 г. 1 сессия_Приложение рус_ноябрь РБ_Приложение_2010-2012 рус март_Приложение_пост_рус_авг_Приложение_реал_рус 2011-2013 Уточнение_Приложение_рус _2012-2014_29,30" xfId="2420" xr:uid="{00000000-0005-0000-0000-00005F150000}"/>
    <cellStyle name="_Приложение 02 русс на 16.04.2009 г. 1 сессия_Приложение рус_ноябрь РБ_Приложение_2010-2012 рус март_Приложение_пост_рус_авг_Приложение_реал_рус 2011-2013 Уточнение_Приложение_рус _2012-2014_29,30 2" xfId="5848" xr:uid="{00000000-0005-0000-0000-000060150000}"/>
    <cellStyle name="_Приложение 02 русс на 16.04.2009 г. 1 сессия_Приложение рус_ноябрь РБ_Приложение_2010-2012 рус март_Приложение_пост_рус_авг_Приложение_рус _2012-2014_29,30" xfId="2421" xr:uid="{00000000-0005-0000-0000-000061150000}"/>
    <cellStyle name="_Приложение 02 русс на 16.04.2009 г. 1 сессия_Приложение рус_ноябрь РБ_Приложение_2010-2012 рус март_Приложение_пост_рус_авг_Приложение_рус _2012-2014_29,30 2" xfId="5849" xr:uid="{00000000-0005-0000-0000-000062150000}"/>
    <cellStyle name="_Приложение 02 русс на 16.04.2009 г. 1 сессия_Приложение рус_ноябрь РБ_Приложение_2010-2012 рус март_Приложение_пост_рус_авг_приложения 2012 рус" xfId="2422" xr:uid="{00000000-0005-0000-0000-000063150000}"/>
    <cellStyle name="_Приложение 02 русс на 16.04.2009 г. 1 сессия_Приложение рус_ноябрь РБ_Приложение_2010-2012 рус март_Приложение_пост_рус_авг_приложения 2012 рус 2" xfId="5850" xr:uid="{00000000-0005-0000-0000-000064150000}"/>
    <cellStyle name="_Приложение 02 русс на 16.04.2009 г. 1 сессия_Приложение рус_ноябрь РБ_Приложение_2010-2012 рус март_Приложение_реал_рус 2011-2013 Уточнение" xfId="2423" xr:uid="{00000000-0005-0000-0000-000065150000}"/>
    <cellStyle name="_Приложение 02 русс на 16.04.2009 г. 1 сессия_Приложение рус_ноябрь РБ_Приложение_2010-2012 рус март_Приложение_реал_рус 2011-2013 Уточнение 2" xfId="5851" xr:uid="{00000000-0005-0000-0000-000066150000}"/>
    <cellStyle name="_Приложение 02 русс на 16.04.2009 г. 1 сессия_Приложение рус_ноябрь РБ_Приложение_2010-2012 рус март_Приложение_реал_рус 2011-2013 Уточнение_Приложение_рус _2012-2014_29,30" xfId="2424" xr:uid="{00000000-0005-0000-0000-000067150000}"/>
    <cellStyle name="_Приложение 02 русс на 16.04.2009 г. 1 сессия_Приложение рус_ноябрь РБ_Приложение_2010-2012 рус март_Приложение_реал_рус 2011-2013 Уточнение_Приложение_рус _2012-2014_29,30 2" xfId="5852" xr:uid="{00000000-0005-0000-0000-000068150000}"/>
    <cellStyle name="_Приложение 02 русс на 16.04.2009 г. 1 сессия_Приложение рус_ноябрь РБ_Приложение_2010-2012 рус март_Приложение_рус _2012-2014_29,30" xfId="2425" xr:uid="{00000000-0005-0000-0000-000069150000}"/>
    <cellStyle name="_Приложение 02 русс на 16.04.2009 г. 1 сессия_Приложение рус_ноябрь РБ_Приложение_2010-2012 рус март_Приложение_рус _2012-2014_29,30 2" xfId="5853" xr:uid="{00000000-0005-0000-0000-00006A150000}"/>
    <cellStyle name="_Приложение 02 русс на 16.04.2009 г. 1 сессия_Приложение рус_ноябрь РБ_Приложение_2010-2012 рус март_приложения 2012 рус" xfId="2426" xr:uid="{00000000-0005-0000-0000-00006B150000}"/>
    <cellStyle name="_Приложение 02 русс на 16.04.2009 г. 1 сессия_Приложение рус_ноябрь РБ_Приложение_2010-2012 рус март_приложения 2012 рус 2" xfId="5854" xr:uid="{00000000-0005-0000-0000-00006C150000}"/>
    <cellStyle name="_Приложение 02 русс на 16.04.2009 г. 1 сессия_Приложение рус_ноябрь РБ_Приложение_пост_каз_авг" xfId="2427" xr:uid="{00000000-0005-0000-0000-00006D150000}"/>
    <cellStyle name="_Приложение 02 русс на 16.04.2009 г. 1 сессия_Приложение рус_ноябрь РБ_Приложение_пост_каз_авг 2" xfId="5855" xr:uid="{00000000-0005-0000-0000-00006E150000}"/>
    <cellStyle name="_Приложение 02 русс на 16.04.2009 г. 1 сессия_Приложение рус_ноябрь РБ_Приложение_пост_каз_авг_Анализ" xfId="2428" xr:uid="{00000000-0005-0000-0000-00006F150000}"/>
    <cellStyle name="_Приложение 02 русс на 16.04.2009 г. 1 сессия_Приложение рус_ноябрь РБ_Приложение_пост_каз_авг_Анализ 2" xfId="5856" xr:uid="{00000000-0005-0000-0000-000070150000}"/>
    <cellStyle name="_Приложение 02 русс на 16.04.2009 г. 1 сессия_Приложение рус_ноябрь РБ_Приложение_пост_каз_авг_Анализ 3.03.2011г." xfId="3320" xr:uid="{00000000-0005-0000-0000-000071150000}"/>
    <cellStyle name="_Приложение 02 русс на 16.04.2009 г. 1 сессия_Приложение рус_ноябрь РБ_Приложение_пост_каз_авг_Анализ 6.03.2011г." xfId="3321" xr:uid="{00000000-0005-0000-0000-000072150000}"/>
    <cellStyle name="_Приложение 02 русс на 16.04.2009 г. 1 сессия_Приложение рус_ноябрь РБ_Приложение_пост_каз_авг_Анализ 9.03.2011г." xfId="3322" xr:uid="{00000000-0005-0000-0000-000073150000}"/>
    <cellStyle name="_Приложение 02 русс на 16.04.2009 г. 1 сессия_Приложение рус_ноябрь РБ_Приложение_пост_каз_авг_Анализ_Приложение_рус _2012-2014_29,30" xfId="2429" xr:uid="{00000000-0005-0000-0000-000074150000}"/>
    <cellStyle name="_Приложение 02 русс на 16.04.2009 г. 1 сессия_Приложение рус_ноябрь РБ_Приложение_пост_каз_авг_Анализ_Приложение_рус _2012-2014_29,30 2" xfId="5857" xr:uid="{00000000-0005-0000-0000-000075150000}"/>
    <cellStyle name="_Приложение 02 русс на 16.04.2009 г. 1 сессия_Приложение рус_ноябрь РБ_Приложение_пост_каз_авг_Пр 4     11.05.11. ИКС" xfId="2430" xr:uid="{00000000-0005-0000-0000-000076150000}"/>
    <cellStyle name="_Приложение 02 русс на 16.04.2009 г. 1 сессия_Приложение рус_ноябрь РБ_Приложение_пост_каз_авг_Пр 4     11.05.11. ИКС 2" xfId="5858" xr:uid="{00000000-0005-0000-0000-000077150000}"/>
    <cellStyle name="_Приложение 02 русс на 16.04.2009 г. 1 сессия_Приложение рус_ноябрь РБ_Приложение_пост_каз_авг_Пр 4     11.05.11. ИКС_Приложение_рус _2012-2014_29,30" xfId="2431" xr:uid="{00000000-0005-0000-0000-000078150000}"/>
    <cellStyle name="_Приложение 02 русс на 16.04.2009 г. 1 сессия_Приложение рус_ноябрь РБ_Приложение_пост_каз_авг_Пр 4     11.05.11. ИКС_Приложение_рус _2012-2014_29,30 2" xfId="5859" xr:uid="{00000000-0005-0000-0000-000079150000}"/>
    <cellStyle name="_Приложение 02 русс на 16.04.2009 г. 1 сессия_Приложение рус_ноябрь РБ_Приложение_пост_каз_авг_Приложение 4 русс,каз 16.03.11. посл" xfId="2432" xr:uid="{00000000-0005-0000-0000-00007A150000}"/>
    <cellStyle name="_Приложение 02 русс на 16.04.2009 г. 1 сессия_Приложение рус_ноябрь РБ_Приложение_пост_каз_авг_Приложение 4 русс,каз 16.03.11. посл 2" xfId="5860" xr:uid="{00000000-0005-0000-0000-00007B150000}"/>
    <cellStyle name="_Приложение 02 русс на 16.04.2009 г. 1 сессия_Приложение рус_ноябрь РБ_Приложение_пост_каз_авг_Приложение 4 русс,каз 16.03.11. посл_Приложение_рус _2012-2014_29,30" xfId="2433" xr:uid="{00000000-0005-0000-0000-00007C150000}"/>
    <cellStyle name="_Приложение 02 русс на 16.04.2009 г. 1 сессия_Приложение рус_ноябрь РБ_Приложение_пост_каз_авг_Приложение 4 русс,каз 16.03.11. посл_Приложение_рус _2012-2014_29,30 2" xfId="5861" xr:uid="{00000000-0005-0000-0000-00007D150000}"/>
    <cellStyle name="_Приложение 02 русс на 16.04.2009 г. 1 сессия_Приложение рус_ноябрь РБ_Приложение_пост_каз_авг_Приложение_реал_рус 2011-2013 Уточнение" xfId="2434" xr:uid="{00000000-0005-0000-0000-00007E150000}"/>
    <cellStyle name="_Приложение 02 русс на 16.04.2009 г. 1 сессия_Приложение рус_ноябрь РБ_Приложение_пост_каз_авг_Приложение_реал_рус 2011-2013 Уточнение 2" xfId="5862" xr:uid="{00000000-0005-0000-0000-00007F150000}"/>
    <cellStyle name="_Приложение 02 русс на 16.04.2009 г. 1 сессия_Приложение рус_ноябрь РБ_Приложение_пост_каз_авг_Приложение_реал_рус 2011-2013 Уточнение_Приложение_рус _2012-2014_29,30" xfId="2435" xr:uid="{00000000-0005-0000-0000-000080150000}"/>
    <cellStyle name="_Приложение 02 русс на 16.04.2009 г. 1 сессия_Приложение рус_ноябрь РБ_Приложение_пост_каз_авг_Приложение_реал_рус 2011-2013 Уточнение_Приложение_рус _2012-2014_29,30 2" xfId="5863" xr:uid="{00000000-0005-0000-0000-000081150000}"/>
    <cellStyle name="_Приложение 02 русс на 16.04.2009 г. 1 сессия_Приложение рус_ноябрь РБ_Приложение_пост_каз_авг_Приложение_рус _2012-2014_29,30" xfId="2436" xr:uid="{00000000-0005-0000-0000-000082150000}"/>
    <cellStyle name="_Приложение 02 русс на 16.04.2009 г. 1 сессия_Приложение рус_ноябрь РБ_Приложение_пост_каз_авг_Приложение_рус _2012-2014_29,30 2" xfId="5864" xr:uid="{00000000-0005-0000-0000-000083150000}"/>
    <cellStyle name="_Приложение 02 русс на 16.04.2009 г. 1 сессия_Приложение рус_ноябрь РБ_Приложение_пост_каз_авг_приложения 2012 рус" xfId="2437" xr:uid="{00000000-0005-0000-0000-000084150000}"/>
    <cellStyle name="_Приложение 02 русс на 16.04.2009 г. 1 сессия_Приложение рус_ноябрь РБ_Приложение_пост_каз_авг_приложения 2012 рус 2" xfId="5865" xr:uid="{00000000-0005-0000-0000-000085150000}"/>
    <cellStyle name="_Приложение 02 русс на 16.04.2009 г. 1 сессия_Приложение рус_ноябрь РБ_Приложение_пост_рус_авг" xfId="2438" xr:uid="{00000000-0005-0000-0000-000086150000}"/>
    <cellStyle name="_Приложение 02 русс на 16.04.2009 г. 1 сессия_Приложение рус_ноябрь РБ_Приложение_пост_рус_авг 2" xfId="5866" xr:uid="{00000000-0005-0000-0000-000087150000}"/>
    <cellStyle name="_Приложение 02 русс на 16.04.2009 г. 1 сессия_Приложение рус_ноябрь РБ_Приложение_пост_рус_авг_Анализ" xfId="2439" xr:uid="{00000000-0005-0000-0000-000088150000}"/>
    <cellStyle name="_Приложение 02 русс на 16.04.2009 г. 1 сессия_Приложение рус_ноябрь РБ_Приложение_пост_рус_авг_Анализ 2" xfId="5867" xr:uid="{00000000-0005-0000-0000-000089150000}"/>
    <cellStyle name="_Приложение 02 русс на 16.04.2009 г. 1 сессия_Приложение рус_ноябрь РБ_Приложение_пост_рус_авг_Анализ 3.03.2011г." xfId="3323" xr:uid="{00000000-0005-0000-0000-00008A150000}"/>
    <cellStyle name="_Приложение 02 русс на 16.04.2009 г. 1 сессия_Приложение рус_ноябрь РБ_Приложение_пост_рус_авг_Анализ 6.03.2011г." xfId="3324" xr:uid="{00000000-0005-0000-0000-00008B150000}"/>
    <cellStyle name="_Приложение 02 русс на 16.04.2009 г. 1 сессия_Приложение рус_ноябрь РБ_Приложение_пост_рус_авг_Анализ 9.03.2011г." xfId="3325" xr:uid="{00000000-0005-0000-0000-00008C150000}"/>
    <cellStyle name="_Приложение 02 русс на 16.04.2009 г. 1 сессия_Приложение рус_ноябрь РБ_Приложение_пост_рус_авг_Анализ_Приложение_рус _2012-2014_29,30" xfId="2440" xr:uid="{00000000-0005-0000-0000-00008D150000}"/>
    <cellStyle name="_Приложение 02 русс на 16.04.2009 г. 1 сессия_Приложение рус_ноябрь РБ_Приложение_пост_рус_авг_Анализ_Приложение_рус _2012-2014_29,30 2" xfId="5868" xr:uid="{00000000-0005-0000-0000-00008E150000}"/>
    <cellStyle name="_Приложение 02 русс на 16.04.2009 г. 1 сессия_Приложение рус_ноябрь РБ_Приложение_пост_рус_авг_Пр 4     11.05.11. ИКС" xfId="2441" xr:uid="{00000000-0005-0000-0000-00008F150000}"/>
    <cellStyle name="_Приложение 02 русс на 16.04.2009 г. 1 сессия_Приложение рус_ноябрь РБ_Приложение_пост_рус_авг_Пр 4     11.05.11. ИКС 2" xfId="5869" xr:uid="{00000000-0005-0000-0000-000090150000}"/>
    <cellStyle name="_Приложение 02 русс на 16.04.2009 г. 1 сессия_Приложение рус_ноябрь РБ_Приложение_пост_рус_авг_Пр 4     11.05.11. ИКС_Приложение_рус _2012-2014_29,30" xfId="2442" xr:uid="{00000000-0005-0000-0000-000091150000}"/>
    <cellStyle name="_Приложение 02 русс на 16.04.2009 г. 1 сессия_Приложение рус_ноябрь РБ_Приложение_пост_рус_авг_Пр 4     11.05.11. ИКС_Приложение_рус _2012-2014_29,30 2" xfId="5870" xr:uid="{00000000-0005-0000-0000-000092150000}"/>
    <cellStyle name="_Приложение 02 русс на 16.04.2009 г. 1 сессия_Приложение рус_ноябрь РБ_Приложение_пост_рус_авг_Приложение 4 русс,каз 16.03.11. посл" xfId="2443" xr:uid="{00000000-0005-0000-0000-000093150000}"/>
    <cellStyle name="_Приложение 02 русс на 16.04.2009 г. 1 сессия_Приложение рус_ноябрь РБ_Приложение_пост_рус_авг_Приложение 4 русс,каз 16.03.11. посл 2" xfId="5871" xr:uid="{00000000-0005-0000-0000-000094150000}"/>
    <cellStyle name="_Приложение 02 русс на 16.04.2009 г. 1 сессия_Приложение рус_ноябрь РБ_Приложение_пост_рус_авг_Приложение 4 русс,каз 16.03.11. посл_Приложение_рус _2012-2014_29,30" xfId="2444" xr:uid="{00000000-0005-0000-0000-000095150000}"/>
    <cellStyle name="_Приложение 02 русс на 16.04.2009 г. 1 сессия_Приложение рус_ноябрь РБ_Приложение_пост_рус_авг_Приложение 4 русс,каз 16.03.11. посл_Приложение_рус _2012-2014_29,30 2" xfId="5872" xr:uid="{00000000-0005-0000-0000-000096150000}"/>
    <cellStyle name="_Приложение 02 русс на 16.04.2009 г. 1 сессия_Приложение рус_ноябрь РБ_Приложение_пост_рус_авг_Приложение_реал_рус 2011-2013 Уточнение" xfId="2445" xr:uid="{00000000-0005-0000-0000-000097150000}"/>
    <cellStyle name="_Приложение 02 русс на 16.04.2009 г. 1 сессия_Приложение рус_ноябрь РБ_Приложение_пост_рус_авг_Приложение_реал_рус 2011-2013 Уточнение 2" xfId="5873" xr:uid="{00000000-0005-0000-0000-000098150000}"/>
    <cellStyle name="_Приложение 02 русс на 16.04.2009 г. 1 сессия_Приложение рус_ноябрь РБ_Приложение_пост_рус_авг_Приложение_реал_рус 2011-2013 Уточнение_Приложение_рус _2012-2014_29,30" xfId="2446" xr:uid="{00000000-0005-0000-0000-000099150000}"/>
    <cellStyle name="_Приложение 02 русс на 16.04.2009 г. 1 сессия_Приложение рус_ноябрь РБ_Приложение_пост_рус_авг_Приложение_реал_рус 2011-2013 Уточнение_Приложение_рус _2012-2014_29,30 2" xfId="5874" xr:uid="{00000000-0005-0000-0000-00009A150000}"/>
    <cellStyle name="_Приложение 02 русс на 16.04.2009 г. 1 сессия_Приложение рус_ноябрь РБ_Приложение_пост_рус_авг_Приложение_рус _2012-2014_29,30" xfId="2447" xr:uid="{00000000-0005-0000-0000-00009B150000}"/>
    <cellStyle name="_Приложение 02 русс на 16.04.2009 г. 1 сессия_Приложение рус_ноябрь РБ_Приложение_пост_рус_авг_Приложение_рус _2012-2014_29,30 2" xfId="5875" xr:uid="{00000000-0005-0000-0000-00009C150000}"/>
    <cellStyle name="_Приложение 02 русс на 16.04.2009 г. 1 сессия_Приложение рус_ноябрь РБ_Приложение_пост_рус_авг_приложения 2012 рус" xfId="2448" xr:uid="{00000000-0005-0000-0000-00009D150000}"/>
    <cellStyle name="_Приложение 02 русс на 16.04.2009 г. 1 сессия_Приложение рус_ноябрь РБ_Приложение_пост_рус_авг_приложения 2012 рус 2" xfId="5876" xr:uid="{00000000-0005-0000-0000-00009E150000}"/>
    <cellStyle name="_Приложение 02 русс на 16.04.2009 г. 1 сессия_Приложение рус_ноябрь РБ_Приложение_реал_рус 2011-2013 Уточнение" xfId="2449" xr:uid="{00000000-0005-0000-0000-00009F150000}"/>
    <cellStyle name="_Приложение 02 русс на 16.04.2009 г. 1 сессия_Приложение рус_ноябрь РБ_Приложение_реал_рус 2011-2013 Уточнение 2" xfId="5877" xr:uid="{00000000-0005-0000-0000-0000A0150000}"/>
    <cellStyle name="_Приложение 02 русс на 16.04.2009 г. 1 сессия_Приложение рус_ноябрь РБ_Приложение_реал_рус 2011-2013 Уточнение_Приложение_рус _2012-2014_29,30" xfId="2450" xr:uid="{00000000-0005-0000-0000-0000A1150000}"/>
    <cellStyle name="_Приложение 02 русс на 16.04.2009 г. 1 сессия_Приложение рус_ноябрь РБ_Приложение_реал_рус 2011-2013 Уточнение_Приложение_рус _2012-2014_29,30 2" xfId="5878" xr:uid="{00000000-0005-0000-0000-0000A2150000}"/>
    <cellStyle name="_Приложение 02 русс на 16.04.2009 г. 1 сессия_Приложение рус_ноябрь РБ_Приложение_рус _2012-2014_29,30" xfId="2451" xr:uid="{00000000-0005-0000-0000-0000A3150000}"/>
    <cellStyle name="_Приложение 02 русс на 16.04.2009 г. 1 сессия_Приложение рус_ноябрь РБ_Приложение_рус _2012-2014_29,30 2" xfId="5879" xr:uid="{00000000-0005-0000-0000-0000A4150000}"/>
    <cellStyle name="_Приложение 02 русс на 16.04.2009 г. 1 сессия_Приложение рус_ноябрь РБ_приложения 2012 рус" xfId="2452" xr:uid="{00000000-0005-0000-0000-0000A5150000}"/>
    <cellStyle name="_Приложение 02 русс на 16.04.2009 г. 1 сессия_Приложение рус_ноябрь РБ_приложения 2012 рус 2" xfId="5880" xr:uid="{00000000-0005-0000-0000-0000A6150000}"/>
    <cellStyle name="_Приложение 02 русс на 16.04.2009 г. 1 сессия_Приложение_2010-2012 рус  КОРРЕКТИРОВКА" xfId="2453" xr:uid="{00000000-0005-0000-0000-0000A7150000}"/>
    <cellStyle name="_Приложение 02 русс на 16.04.2009 г. 1 сессия_Приложение_2010-2012 рус  КОРРЕКТИРОВКА 2" xfId="5881" xr:uid="{00000000-0005-0000-0000-0000A8150000}"/>
    <cellStyle name="_Приложение 02 русс на 16.04.2009 г. 1 сессия_Приложение_2010-2012 рус  КОРРЕКТИРОВКА_Анализ" xfId="2454" xr:uid="{00000000-0005-0000-0000-0000A9150000}"/>
    <cellStyle name="_Приложение 02 русс на 16.04.2009 г. 1 сессия_Приложение_2010-2012 рус  КОРРЕКТИРОВКА_Анализ 2" xfId="5882" xr:uid="{00000000-0005-0000-0000-0000AA150000}"/>
    <cellStyle name="_Приложение 02 русс на 16.04.2009 г. 1 сессия_Приложение_2010-2012 рус  КОРРЕКТИРОВКА_Анализ 3.03.2011г." xfId="3326" xr:uid="{00000000-0005-0000-0000-0000AB150000}"/>
    <cellStyle name="_Приложение 02 русс на 16.04.2009 г. 1 сессия_Приложение_2010-2012 рус  КОРРЕКТИРОВКА_Анализ 6.03.2011г." xfId="3327" xr:uid="{00000000-0005-0000-0000-0000AC150000}"/>
    <cellStyle name="_Приложение 02 русс на 16.04.2009 г. 1 сессия_Приложение_2010-2012 рус  КОРРЕКТИРОВКА_Анализ 9.03.2011г." xfId="3328" xr:uid="{00000000-0005-0000-0000-0000AD150000}"/>
    <cellStyle name="_Приложение 02 русс на 16.04.2009 г. 1 сессия_Приложение_2010-2012 рус  КОРРЕКТИРОВКА_Анализ_Приложение_рус _2012-2014_29,30" xfId="2455" xr:uid="{00000000-0005-0000-0000-0000AE150000}"/>
    <cellStyle name="_Приложение 02 русс на 16.04.2009 г. 1 сессия_Приложение_2010-2012 рус  КОРРЕКТИРОВКА_Анализ_Приложение_рус _2012-2014_29,30 2" xfId="5883" xr:uid="{00000000-0005-0000-0000-0000AF150000}"/>
    <cellStyle name="_Приложение 02 русс на 16.04.2009 г. 1 сессия_Приложение_2010-2012 рус  КОРРЕКТИРОВКА_Пр 4     11.05.11. ИКС" xfId="2456" xr:uid="{00000000-0005-0000-0000-0000B0150000}"/>
    <cellStyle name="_Приложение 02 русс на 16.04.2009 г. 1 сессия_Приложение_2010-2012 рус  КОРРЕКТИРОВКА_Пр 4     11.05.11. ИКС 2" xfId="5884" xr:uid="{00000000-0005-0000-0000-0000B1150000}"/>
    <cellStyle name="_Приложение 02 русс на 16.04.2009 г. 1 сессия_Приложение_2010-2012 рус  КОРРЕКТИРОВКА_Пр 4     11.05.11. ИКС_Приложение_рус _2012-2014_29,30" xfId="2457" xr:uid="{00000000-0005-0000-0000-0000B2150000}"/>
    <cellStyle name="_Приложение 02 русс на 16.04.2009 г. 1 сессия_Приложение_2010-2012 рус  КОРРЕКТИРОВКА_Пр 4     11.05.11. ИКС_Приложение_рус _2012-2014_29,30 2" xfId="5885" xr:uid="{00000000-0005-0000-0000-0000B3150000}"/>
    <cellStyle name="_Приложение 02 русс на 16.04.2009 г. 1 сессия_Приложение_2010-2012 рус  КОРРЕКТИРОВКА_Приложение 4 русс,каз 16.03.11. посл" xfId="2458" xr:uid="{00000000-0005-0000-0000-0000B4150000}"/>
    <cellStyle name="_Приложение 02 русс на 16.04.2009 г. 1 сессия_Приложение_2010-2012 рус  КОРРЕКТИРОВКА_Приложение 4 русс,каз 16.03.11. посл 2" xfId="5886" xr:uid="{00000000-0005-0000-0000-0000B5150000}"/>
    <cellStyle name="_Приложение 02 русс на 16.04.2009 г. 1 сессия_Приложение_2010-2012 рус  КОРРЕКТИРОВКА_Приложение 4 русс,каз 16.03.11. посл_Приложение_рус _2012-2014_29,30" xfId="2459" xr:uid="{00000000-0005-0000-0000-0000B6150000}"/>
    <cellStyle name="_Приложение 02 русс на 16.04.2009 г. 1 сессия_Приложение_2010-2012 рус  КОРРЕКТИРОВКА_Приложение 4 русс,каз 16.03.11. посл_Приложение_рус _2012-2014_29,30 2" xfId="5887" xr:uid="{00000000-0005-0000-0000-0000B7150000}"/>
    <cellStyle name="_Приложение 02 русс на 16.04.2009 г. 1 сессия_Приложение_2010-2012 рус  КОРРЕКТИРОВКА_Приложение_2010-2012 рус 04.08.10" xfId="2460" xr:uid="{00000000-0005-0000-0000-0000B8150000}"/>
    <cellStyle name="_Приложение 02 русс на 16.04.2009 г. 1 сессия_Приложение_2010-2012 рус  КОРРЕКТИРОВКА_Приложение_2010-2012 рус 04.08.10 2" xfId="5888" xr:uid="{00000000-0005-0000-0000-0000B9150000}"/>
    <cellStyle name="_Приложение 02 русс на 16.04.2009 г. 1 сессия_Приложение_2010-2012 рус  КОРРЕКТИРОВКА_Приложение_2010-2012 рус 04.08.10_Анализ" xfId="2461" xr:uid="{00000000-0005-0000-0000-0000BA150000}"/>
    <cellStyle name="_Приложение 02 русс на 16.04.2009 г. 1 сессия_Приложение_2010-2012 рус  КОРРЕКТИРОВКА_Приложение_2010-2012 рус 04.08.10_Анализ 2" xfId="5889" xr:uid="{00000000-0005-0000-0000-0000BB150000}"/>
    <cellStyle name="_Приложение 02 русс на 16.04.2009 г. 1 сессия_Приложение_2010-2012 рус  КОРРЕКТИРОВКА_Приложение_2010-2012 рус 04.08.10_Анализ 3.03.2011г." xfId="3329" xr:uid="{00000000-0005-0000-0000-0000BC150000}"/>
    <cellStyle name="_Приложение 02 русс на 16.04.2009 г. 1 сессия_Приложение_2010-2012 рус  КОРРЕКТИРОВКА_Приложение_2010-2012 рус 04.08.10_Анализ 6.03.2011г." xfId="3330" xr:uid="{00000000-0005-0000-0000-0000BD150000}"/>
    <cellStyle name="_Приложение 02 русс на 16.04.2009 г. 1 сессия_Приложение_2010-2012 рус  КОРРЕКТИРОВКА_Приложение_2010-2012 рус 04.08.10_Анализ 9.03.2011г." xfId="3331" xr:uid="{00000000-0005-0000-0000-0000BE150000}"/>
    <cellStyle name="_Приложение 02 русс на 16.04.2009 г. 1 сессия_Приложение_2010-2012 рус  КОРРЕКТИРОВКА_Приложение_2010-2012 рус 04.08.10_Анализ_Приложение_рус _2012-2014_29,30" xfId="2462" xr:uid="{00000000-0005-0000-0000-0000BF150000}"/>
    <cellStyle name="_Приложение 02 русс на 16.04.2009 г. 1 сессия_Приложение_2010-2012 рус  КОРРЕКТИРОВКА_Приложение_2010-2012 рус 04.08.10_Анализ_Приложение_рус _2012-2014_29,30 2" xfId="5890" xr:uid="{00000000-0005-0000-0000-0000C0150000}"/>
    <cellStyle name="_Приложение 02 русс на 16.04.2009 г. 1 сессия_Приложение_2010-2012 рус  КОРРЕКТИРОВКА_Приложение_2010-2012 рус 04.08.10_Пр 4     11.05.11. ИКС" xfId="2463" xr:uid="{00000000-0005-0000-0000-0000C1150000}"/>
    <cellStyle name="_Приложение 02 русс на 16.04.2009 г. 1 сессия_Приложение_2010-2012 рус  КОРРЕКТИРОВКА_Приложение_2010-2012 рус 04.08.10_Пр 4     11.05.11. ИКС 2" xfId="5891" xr:uid="{00000000-0005-0000-0000-0000C2150000}"/>
    <cellStyle name="_Приложение 02 русс на 16.04.2009 г. 1 сессия_Приложение_2010-2012 рус  КОРРЕКТИРОВКА_Приложение_2010-2012 рус 04.08.10_Пр 4     11.05.11. ИКС_Приложение_рус _2012-2014_29,30" xfId="2464" xr:uid="{00000000-0005-0000-0000-0000C3150000}"/>
    <cellStyle name="_Приложение 02 русс на 16.04.2009 г. 1 сессия_Приложение_2010-2012 рус  КОРРЕКТИРОВКА_Приложение_2010-2012 рус 04.08.10_Пр 4     11.05.11. ИКС_Приложение_рус _2012-2014_29,30 2" xfId="5892" xr:uid="{00000000-0005-0000-0000-0000C4150000}"/>
    <cellStyle name="_Приложение 02 русс на 16.04.2009 г. 1 сессия_Приложение_2010-2012 рус  КОРРЕКТИРОВКА_Приложение_2010-2012 рус 04.08.10_Приложение 4 русс,каз 16.03.11. посл" xfId="2465" xr:uid="{00000000-0005-0000-0000-0000C5150000}"/>
    <cellStyle name="_Приложение 02 русс на 16.04.2009 г. 1 сессия_Приложение_2010-2012 рус  КОРРЕКТИРОВКА_Приложение_2010-2012 рус 04.08.10_Приложение 4 русс,каз 16.03.11. посл 2" xfId="5893" xr:uid="{00000000-0005-0000-0000-0000C6150000}"/>
    <cellStyle name="_Приложение 02 русс на 16.04.2009 г. 1 сессия_Приложение_2010-2012 рус  КОРРЕКТИРОВКА_Приложение_2010-2012 рус 04.08.10_Приложение 4 русс,каз 16.03.11. посл_Приложение_рус _2012-2014_29,30" xfId="2466" xr:uid="{00000000-0005-0000-0000-0000C7150000}"/>
    <cellStyle name="_Приложение 02 русс на 16.04.2009 г. 1 сессия_Приложение_2010-2012 рус  КОРРЕКТИРОВКА_Приложение_2010-2012 рус 04.08.10_Приложение 4 русс,каз 16.03.11. посл_Приложение_рус _2012-2014_29,30 2" xfId="5894" xr:uid="{00000000-0005-0000-0000-0000C8150000}"/>
    <cellStyle name="_Приложение 02 русс на 16.04.2009 г. 1 сессия_Приложение_2010-2012 рус  КОРРЕКТИРОВКА_Приложение_2010-2012 рус 04.08.10_Приложение_реал_рус 2011-2013 Уточнение" xfId="2467" xr:uid="{00000000-0005-0000-0000-0000C9150000}"/>
    <cellStyle name="_Приложение 02 русс на 16.04.2009 г. 1 сессия_Приложение_2010-2012 рус  КОРРЕКТИРОВКА_Приложение_2010-2012 рус 04.08.10_Приложение_реал_рус 2011-2013 Уточнение 2" xfId="5895" xr:uid="{00000000-0005-0000-0000-0000CA150000}"/>
    <cellStyle name="_Приложение 02 русс на 16.04.2009 г. 1 сессия_Приложение_2010-2012 рус  КОРРЕКТИРОВКА_Приложение_2010-2012 рус 04.08.10_Приложение_реал_рус 2011-2013 Уточнение_Приложение_рус _2012-2014_29,30" xfId="2468" xr:uid="{00000000-0005-0000-0000-0000CB150000}"/>
    <cellStyle name="_Приложение 02 русс на 16.04.2009 г. 1 сессия_Приложение_2010-2012 рус  КОРРЕКТИРОВКА_Приложение_2010-2012 рус 04.08.10_Приложение_реал_рус 2011-2013 Уточнение_Приложение_рус _2012-2014_29,30 2" xfId="5896" xr:uid="{00000000-0005-0000-0000-0000CC150000}"/>
    <cellStyle name="_Приложение 02 русс на 16.04.2009 г. 1 сессия_Приложение_2010-2012 рус  КОРРЕКТИРОВКА_Приложение_2010-2012 рус 04.08.10_Приложение_рус _2012-2014_29,30" xfId="2469" xr:uid="{00000000-0005-0000-0000-0000CD150000}"/>
    <cellStyle name="_Приложение 02 русс на 16.04.2009 г. 1 сессия_Приложение_2010-2012 рус  КОРРЕКТИРОВКА_Приложение_2010-2012 рус 04.08.10_Приложение_рус _2012-2014_29,30 2" xfId="5897" xr:uid="{00000000-0005-0000-0000-0000CE150000}"/>
    <cellStyle name="_Приложение 02 русс на 16.04.2009 г. 1 сессия_Приложение_2010-2012 рус  КОРРЕКТИРОВКА_Приложение_2010-2012 рус 04.08.10_приложения 2012 рус" xfId="2470" xr:uid="{00000000-0005-0000-0000-0000CF150000}"/>
    <cellStyle name="_Приложение 02 русс на 16.04.2009 г. 1 сессия_Приложение_2010-2012 рус  КОРРЕКТИРОВКА_Приложение_2010-2012 рус 04.08.10_приложения 2012 рус 2" xfId="5898" xr:uid="{00000000-0005-0000-0000-0000D0150000}"/>
    <cellStyle name="_Приложение 02 русс на 16.04.2009 г. 1 сессия_Приложение_2010-2012 рус  КОРРЕКТИРОВКА_Приложение_пост_рус_авг" xfId="2471" xr:uid="{00000000-0005-0000-0000-0000D1150000}"/>
    <cellStyle name="_Приложение 02 русс на 16.04.2009 г. 1 сессия_Приложение_2010-2012 рус  КОРРЕКТИРОВКА_Приложение_пост_рус_авг 2" xfId="5899" xr:uid="{00000000-0005-0000-0000-0000D2150000}"/>
    <cellStyle name="_Приложение 02 русс на 16.04.2009 г. 1 сессия_Приложение_2010-2012 рус  КОРРЕКТИРОВКА_Приложение_пост_рус_авг_Анализ" xfId="2472" xr:uid="{00000000-0005-0000-0000-0000D3150000}"/>
    <cellStyle name="_Приложение 02 русс на 16.04.2009 г. 1 сессия_Приложение_2010-2012 рус  КОРРЕКТИРОВКА_Приложение_пост_рус_авг_Анализ 2" xfId="5900" xr:uid="{00000000-0005-0000-0000-0000D4150000}"/>
    <cellStyle name="_Приложение 02 русс на 16.04.2009 г. 1 сессия_Приложение_2010-2012 рус  КОРРЕКТИРОВКА_Приложение_пост_рус_авг_Анализ 3.03.2011г." xfId="3332" xr:uid="{00000000-0005-0000-0000-0000D5150000}"/>
    <cellStyle name="_Приложение 02 русс на 16.04.2009 г. 1 сессия_Приложение_2010-2012 рус  КОРРЕКТИРОВКА_Приложение_пост_рус_авг_Анализ 6.03.2011г." xfId="3333" xr:uid="{00000000-0005-0000-0000-0000D6150000}"/>
    <cellStyle name="_Приложение 02 русс на 16.04.2009 г. 1 сессия_Приложение_2010-2012 рус  КОРРЕКТИРОВКА_Приложение_пост_рус_авг_Анализ 9.03.2011г." xfId="3334" xr:uid="{00000000-0005-0000-0000-0000D7150000}"/>
    <cellStyle name="_Приложение 02 русс на 16.04.2009 г. 1 сессия_Приложение_2010-2012 рус  КОРРЕКТИРОВКА_Приложение_пост_рус_авг_Анализ_Приложение_рус _2012-2014_29,30" xfId="2473" xr:uid="{00000000-0005-0000-0000-0000D8150000}"/>
    <cellStyle name="_Приложение 02 русс на 16.04.2009 г. 1 сессия_Приложение_2010-2012 рус  КОРРЕКТИРОВКА_Приложение_пост_рус_авг_Анализ_Приложение_рус _2012-2014_29,30 2" xfId="5901" xr:uid="{00000000-0005-0000-0000-0000D9150000}"/>
    <cellStyle name="_Приложение 02 русс на 16.04.2009 г. 1 сессия_Приложение_2010-2012 рус  КОРРЕКТИРОВКА_Приложение_пост_рус_авг_Пр 4     11.05.11. ИКС" xfId="2474" xr:uid="{00000000-0005-0000-0000-0000DA150000}"/>
    <cellStyle name="_Приложение 02 русс на 16.04.2009 г. 1 сессия_Приложение_2010-2012 рус  КОРРЕКТИРОВКА_Приложение_пост_рус_авг_Пр 4     11.05.11. ИКС 2" xfId="5902" xr:uid="{00000000-0005-0000-0000-0000DB150000}"/>
    <cellStyle name="_Приложение 02 русс на 16.04.2009 г. 1 сессия_Приложение_2010-2012 рус  КОРРЕКТИРОВКА_Приложение_пост_рус_авг_Пр 4     11.05.11. ИКС_Приложение_рус _2012-2014_29,30" xfId="2475" xr:uid="{00000000-0005-0000-0000-0000DC150000}"/>
    <cellStyle name="_Приложение 02 русс на 16.04.2009 г. 1 сессия_Приложение_2010-2012 рус  КОРРЕКТИРОВКА_Приложение_пост_рус_авг_Пр 4     11.05.11. ИКС_Приложение_рус _2012-2014_29,30 2" xfId="5903" xr:uid="{00000000-0005-0000-0000-0000DD150000}"/>
    <cellStyle name="_Приложение 02 русс на 16.04.2009 г. 1 сессия_Приложение_2010-2012 рус  КОРРЕКТИРОВКА_Приложение_пост_рус_авг_Приложение 4 русс,каз 16.03.11. посл" xfId="2476" xr:uid="{00000000-0005-0000-0000-0000DE150000}"/>
    <cellStyle name="_Приложение 02 русс на 16.04.2009 г. 1 сессия_Приложение_2010-2012 рус  КОРРЕКТИРОВКА_Приложение_пост_рус_авг_Приложение 4 русс,каз 16.03.11. посл 2" xfId="5904" xr:uid="{00000000-0005-0000-0000-0000DF150000}"/>
    <cellStyle name="_Приложение 02 русс на 16.04.2009 г. 1 сессия_Приложение_2010-2012 рус  КОРРЕКТИРОВКА_Приложение_пост_рус_авг_Приложение 4 русс,каз 16.03.11. посл_Приложение_рус _2012-2014_29,30" xfId="2477" xr:uid="{00000000-0005-0000-0000-0000E0150000}"/>
    <cellStyle name="_Приложение 02 русс на 16.04.2009 г. 1 сессия_Приложение_2010-2012 рус  КОРРЕКТИРОВКА_Приложение_пост_рус_авг_Приложение 4 русс,каз 16.03.11. посл_Приложение_рус _2012-2014_29,30 2" xfId="5905" xr:uid="{00000000-0005-0000-0000-0000E1150000}"/>
    <cellStyle name="_Приложение 02 русс на 16.04.2009 г. 1 сессия_Приложение_2010-2012 рус  КОРРЕКТИРОВКА_Приложение_пост_рус_авг_Приложение_реал_рус 2011-2013 Уточнение" xfId="2478" xr:uid="{00000000-0005-0000-0000-0000E2150000}"/>
    <cellStyle name="_Приложение 02 русс на 16.04.2009 г. 1 сессия_Приложение_2010-2012 рус  КОРРЕКТИРОВКА_Приложение_пост_рус_авг_Приложение_реал_рус 2011-2013 Уточнение 2" xfId="5906" xr:uid="{00000000-0005-0000-0000-0000E3150000}"/>
    <cellStyle name="_Приложение 02 русс на 16.04.2009 г. 1 сессия_Приложение_2010-2012 рус  КОРРЕКТИРОВКА_Приложение_пост_рус_авг_Приложение_реал_рус 2011-2013 Уточнение_Приложение_рус _2012-2014_29,30" xfId="2479" xr:uid="{00000000-0005-0000-0000-0000E4150000}"/>
    <cellStyle name="_Приложение 02 русс на 16.04.2009 г. 1 сессия_Приложение_2010-2012 рус  КОРРЕКТИРОВКА_Приложение_пост_рус_авг_Приложение_реал_рус 2011-2013 Уточнение_Приложение_рус _2012-2014_29,30 2" xfId="5907" xr:uid="{00000000-0005-0000-0000-0000E5150000}"/>
    <cellStyle name="_Приложение 02 русс на 16.04.2009 г. 1 сессия_Приложение_2010-2012 рус  КОРРЕКТИРОВКА_Приложение_пост_рус_авг_Приложение_рус _2012-2014_29,30" xfId="2480" xr:uid="{00000000-0005-0000-0000-0000E6150000}"/>
    <cellStyle name="_Приложение 02 русс на 16.04.2009 г. 1 сессия_Приложение_2010-2012 рус  КОРРЕКТИРОВКА_Приложение_пост_рус_авг_Приложение_рус _2012-2014_29,30 2" xfId="5908" xr:uid="{00000000-0005-0000-0000-0000E7150000}"/>
    <cellStyle name="_Приложение 02 русс на 16.04.2009 г. 1 сессия_Приложение_2010-2012 рус  КОРРЕКТИРОВКА_Приложение_пост_рус_авг_приложения 2012 рус" xfId="2481" xr:uid="{00000000-0005-0000-0000-0000E8150000}"/>
    <cellStyle name="_Приложение 02 русс на 16.04.2009 г. 1 сессия_Приложение_2010-2012 рус  КОРРЕКТИРОВКА_Приложение_пост_рус_авг_приложения 2012 рус 2" xfId="5909" xr:uid="{00000000-0005-0000-0000-0000E9150000}"/>
    <cellStyle name="_Приложение 02 русс на 16.04.2009 г. 1 сессия_Приложение_2010-2012 рус  КОРРЕКТИРОВКА_Приложение_реал_рус 2011-2013 Уточнение" xfId="2482" xr:uid="{00000000-0005-0000-0000-0000EA150000}"/>
    <cellStyle name="_Приложение 02 русс на 16.04.2009 г. 1 сессия_Приложение_2010-2012 рус  КОРРЕКТИРОВКА_Приложение_реал_рус 2011-2013 Уточнение 2" xfId="5910" xr:uid="{00000000-0005-0000-0000-0000EB150000}"/>
    <cellStyle name="_Приложение 02 русс на 16.04.2009 г. 1 сессия_Приложение_2010-2012 рус  КОРРЕКТИРОВКА_Приложение_реал_рус 2011-2013 Уточнение_Приложение_рус _2012-2014_29,30" xfId="2483" xr:uid="{00000000-0005-0000-0000-0000EC150000}"/>
    <cellStyle name="_Приложение 02 русс на 16.04.2009 г. 1 сессия_Приложение_2010-2012 рус  КОРРЕКТИРОВКА_Приложение_реал_рус 2011-2013 Уточнение_Приложение_рус _2012-2014_29,30 2" xfId="5911" xr:uid="{00000000-0005-0000-0000-0000ED150000}"/>
    <cellStyle name="_Приложение 02 русс на 16.04.2009 г. 1 сессия_Приложение_2010-2012 рус  КОРРЕКТИРОВКА_Приложение_рус _2012-2014_29,30" xfId="2484" xr:uid="{00000000-0005-0000-0000-0000EE150000}"/>
    <cellStyle name="_Приложение 02 русс на 16.04.2009 г. 1 сессия_Приложение_2010-2012 рус  КОРРЕКТИРОВКА_Приложение_рус _2012-2014_29,30 2" xfId="5912" xr:uid="{00000000-0005-0000-0000-0000EF150000}"/>
    <cellStyle name="_Приложение 02 русс на 16.04.2009 г. 1 сессия_Приложение_2010-2012 рус  КОРРЕКТИРОВКА_приложения 2012 рус" xfId="2485" xr:uid="{00000000-0005-0000-0000-0000F0150000}"/>
    <cellStyle name="_Приложение 02 русс на 16.04.2009 г. 1 сессия_Приложение_2010-2012 рус  КОРРЕКТИРОВКА_приложения 2012 рус 2" xfId="5913" xr:uid="{00000000-0005-0000-0000-0000F1150000}"/>
    <cellStyle name="_Приложение 02 русс на 16.04.2009 г. 1 сессия_Приложение_2010-2012 рус 04.08.10" xfId="2486" xr:uid="{00000000-0005-0000-0000-0000F2150000}"/>
    <cellStyle name="_Приложение 02 русс на 16.04.2009 г. 1 сессия_Приложение_2010-2012 рус 04.08.10 2" xfId="5914" xr:uid="{00000000-0005-0000-0000-0000F3150000}"/>
    <cellStyle name="_Приложение 02 русс на 16.04.2009 г. 1 сессия_Приложение_2010-2012 рус 04.08.10_Анализ" xfId="2487" xr:uid="{00000000-0005-0000-0000-0000F4150000}"/>
    <cellStyle name="_Приложение 02 русс на 16.04.2009 г. 1 сессия_Приложение_2010-2012 рус 04.08.10_Анализ 2" xfId="5915" xr:uid="{00000000-0005-0000-0000-0000F5150000}"/>
    <cellStyle name="_Приложение 02 русс на 16.04.2009 г. 1 сессия_Приложение_2010-2012 рус 04.08.10_Анализ 3.03.2011г." xfId="3335" xr:uid="{00000000-0005-0000-0000-0000F6150000}"/>
    <cellStyle name="_Приложение 02 русс на 16.04.2009 г. 1 сессия_Приложение_2010-2012 рус 04.08.10_Анализ 6.03.2011г." xfId="3336" xr:uid="{00000000-0005-0000-0000-0000F7150000}"/>
    <cellStyle name="_Приложение 02 русс на 16.04.2009 г. 1 сессия_Приложение_2010-2012 рус 04.08.10_Анализ 9.03.2011г." xfId="3337" xr:uid="{00000000-0005-0000-0000-0000F8150000}"/>
    <cellStyle name="_Приложение 02 русс на 16.04.2009 г. 1 сессия_Приложение_2010-2012 рус 04.08.10_Анализ_Приложение_рус _2012-2014_29,30" xfId="2488" xr:uid="{00000000-0005-0000-0000-0000F9150000}"/>
    <cellStyle name="_Приложение 02 русс на 16.04.2009 г. 1 сессия_Приложение_2010-2012 рус 04.08.10_Анализ_Приложение_рус _2012-2014_29,30 2" xfId="5916" xr:uid="{00000000-0005-0000-0000-0000FA150000}"/>
    <cellStyle name="_Приложение 02 русс на 16.04.2009 г. 1 сессия_Приложение_2010-2012 рус 04.08.10_Пр 4     11.05.11. ИКС" xfId="2489" xr:uid="{00000000-0005-0000-0000-0000FB150000}"/>
    <cellStyle name="_Приложение 02 русс на 16.04.2009 г. 1 сессия_Приложение_2010-2012 рус 04.08.10_Пр 4     11.05.11. ИКС 2" xfId="5917" xr:uid="{00000000-0005-0000-0000-0000FC150000}"/>
    <cellStyle name="_Приложение 02 русс на 16.04.2009 г. 1 сессия_Приложение_2010-2012 рус 04.08.10_Пр 4     11.05.11. ИКС_Приложение_рус _2012-2014_29,30" xfId="2490" xr:uid="{00000000-0005-0000-0000-0000FD150000}"/>
    <cellStyle name="_Приложение 02 русс на 16.04.2009 г. 1 сессия_Приложение_2010-2012 рус 04.08.10_Пр 4     11.05.11. ИКС_Приложение_рус _2012-2014_29,30 2" xfId="5918" xr:uid="{00000000-0005-0000-0000-0000FE150000}"/>
    <cellStyle name="_Приложение 02 русс на 16.04.2009 г. 1 сессия_Приложение_2010-2012 рус 04.08.10_Приложение 4 русс,каз 16.03.11. посл" xfId="2491" xr:uid="{00000000-0005-0000-0000-0000FF150000}"/>
    <cellStyle name="_Приложение 02 русс на 16.04.2009 г. 1 сессия_Приложение_2010-2012 рус 04.08.10_Приложение 4 русс,каз 16.03.11. посл 2" xfId="5919" xr:uid="{00000000-0005-0000-0000-000000160000}"/>
    <cellStyle name="_Приложение 02 русс на 16.04.2009 г. 1 сессия_Приложение_2010-2012 рус 04.08.10_Приложение 4 русс,каз 16.03.11. посл_Приложение_рус _2012-2014_29,30" xfId="2492" xr:uid="{00000000-0005-0000-0000-000001160000}"/>
    <cellStyle name="_Приложение 02 русс на 16.04.2009 г. 1 сессия_Приложение_2010-2012 рус 04.08.10_Приложение 4 русс,каз 16.03.11. посл_Приложение_рус _2012-2014_29,30 2" xfId="5920" xr:uid="{00000000-0005-0000-0000-000002160000}"/>
    <cellStyle name="_Приложение 02 русс на 16.04.2009 г. 1 сессия_Приложение_2010-2012 рус 04.08.10_Приложение_реал_рус 2011-2013 Уточнение" xfId="2493" xr:uid="{00000000-0005-0000-0000-000003160000}"/>
    <cellStyle name="_Приложение 02 русс на 16.04.2009 г. 1 сессия_Приложение_2010-2012 рус 04.08.10_Приложение_реал_рус 2011-2013 Уточнение 2" xfId="5921" xr:uid="{00000000-0005-0000-0000-000004160000}"/>
    <cellStyle name="_Приложение 02 русс на 16.04.2009 г. 1 сессия_Приложение_2010-2012 рус 04.08.10_Приложение_реал_рус 2011-2013 Уточнение_Приложение_рус _2012-2014_29,30" xfId="2494" xr:uid="{00000000-0005-0000-0000-000005160000}"/>
    <cellStyle name="_Приложение 02 русс на 16.04.2009 г. 1 сессия_Приложение_2010-2012 рус 04.08.10_Приложение_реал_рус 2011-2013 Уточнение_Приложение_рус _2012-2014_29,30 2" xfId="5922" xr:uid="{00000000-0005-0000-0000-000006160000}"/>
    <cellStyle name="_Приложение 02 русс на 16.04.2009 г. 1 сессия_Приложение_2010-2012 рус 04.08.10_Приложение_рус _2012-2014_29,30" xfId="2495" xr:uid="{00000000-0005-0000-0000-000007160000}"/>
    <cellStyle name="_Приложение 02 русс на 16.04.2009 г. 1 сессия_Приложение_2010-2012 рус 04.08.10_Приложение_рус _2012-2014_29,30 2" xfId="5923" xr:uid="{00000000-0005-0000-0000-000008160000}"/>
    <cellStyle name="_Приложение 02 русс на 16.04.2009 г. 1 сессия_Приложение_2010-2012 рус 04.08.10_приложения 2012 рус" xfId="2496" xr:uid="{00000000-0005-0000-0000-000009160000}"/>
    <cellStyle name="_Приложение 02 русс на 16.04.2009 г. 1 сессия_Приложение_2010-2012 рус 04.08.10_приложения 2012 рус 2" xfId="5924" xr:uid="{00000000-0005-0000-0000-00000A160000}"/>
    <cellStyle name="_Приложение 02 русс на 16.04.2009 г. 1 сессия_Приложение_2010-2012 рус март" xfId="2497" xr:uid="{00000000-0005-0000-0000-00000B160000}"/>
    <cellStyle name="_Приложение 02 русс на 16.04.2009 г. 1 сессия_Приложение_2010-2012 рус март 2" xfId="5925" xr:uid="{00000000-0005-0000-0000-00000C160000}"/>
    <cellStyle name="_Приложение 02 русс на 16.04.2009 г. 1 сессия_Приложение_2010-2012 рус март_Анализ" xfId="2498" xr:uid="{00000000-0005-0000-0000-00000D160000}"/>
    <cellStyle name="_Приложение 02 русс на 16.04.2009 г. 1 сессия_Приложение_2010-2012 рус март_Анализ 2" xfId="5926" xr:uid="{00000000-0005-0000-0000-00000E160000}"/>
    <cellStyle name="_Приложение 02 русс на 16.04.2009 г. 1 сессия_Приложение_2010-2012 рус март_Анализ 3.03.2011г." xfId="3338" xr:uid="{00000000-0005-0000-0000-00000F160000}"/>
    <cellStyle name="_Приложение 02 русс на 16.04.2009 г. 1 сессия_Приложение_2010-2012 рус март_Анализ 6.03.2011г." xfId="3339" xr:uid="{00000000-0005-0000-0000-000010160000}"/>
    <cellStyle name="_Приложение 02 русс на 16.04.2009 г. 1 сессия_Приложение_2010-2012 рус март_Анализ 9.03.2011г." xfId="3340" xr:uid="{00000000-0005-0000-0000-000011160000}"/>
    <cellStyle name="_Приложение 02 русс на 16.04.2009 г. 1 сессия_Приложение_2010-2012 рус март_Анализ_Приложение_рус _2012-2014_29,30" xfId="2499" xr:uid="{00000000-0005-0000-0000-000012160000}"/>
    <cellStyle name="_Приложение 02 русс на 16.04.2009 г. 1 сессия_Приложение_2010-2012 рус март_Анализ_Приложение_рус _2012-2014_29,30 2" xfId="5927" xr:uid="{00000000-0005-0000-0000-000013160000}"/>
    <cellStyle name="_Приложение 02 русс на 16.04.2009 г. 1 сессия_Приложение_2010-2012 рус март_Пр 4     11.05.11. ИКС" xfId="2500" xr:uid="{00000000-0005-0000-0000-000014160000}"/>
    <cellStyle name="_Приложение 02 русс на 16.04.2009 г. 1 сессия_Приложение_2010-2012 рус март_Пр 4     11.05.11. ИКС 2" xfId="5928" xr:uid="{00000000-0005-0000-0000-000015160000}"/>
    <cellStyle name="_Приложение 02 русс на 16.04.2009 г. 1 сессия_Приложение_2010-2012 рус март_Пр 4     11.05.11. ИКС_Приложение_рус _2012-2014_29,30" xfId="2501" xr:uid="{00000000-0005-0000-0000-000016160000}"/>
    <cellStyle name="_Приложение 02 русс на 16.04.2009 г. 1 сессия_Приложение_2010-2012 рус март_Пр 4     11.05.11. ИКС_Приложение_рус _2012-2014_29,30 2" xfId="5929" xr:uid="{00000000-0005-0000-0000-000017160000}"/>
    <cellStyle name="_Приложение 02 русс на 16.04.2009 г. 1 сессия_Приложение_2010-2012 рус март_Приложение 4 русс,каз 16.03.11. посл" xfId="2502" xr:uid="{00000000-0005-0000-0000-000018160000}"/>
    <cellStyle name="_Приложение 02 русс на 16.04.2009 г. 1 сессия_Приложение_2010-2012 рус март_Приложение 4 русс,каз 16.03.11. посл 2" xfId="5930" xr:uid="{00000000-0005-0000-0000-000019160000}"/>
    <cellStyle name="_Приложение 02 русс на 16.04.2009 г. 1 сессия_Приложение_2010-2012 рус март_Приложение 4 русс,каз 16.03.11. посл_Приложение_рус _2012-2014_29,30" xfId="2503" xr:uid="{00000000-0005-0000-0000-00001A160000}"/>
    <cellStyle name="_Приложение 02 русс на 16.04.2009 г. 1 сессия_Приложение_2010-2012 рус март_Приложение 4 русс,каз 16.03.11. посл_Приложение_рус _2012-2014_29,30 2" xfId="5931" xr:uid="{00000000-0005-0000-0000-00001B160000}"/>
    <cellStyle name="_Приложение 02 русс на 16.04.2009 г. 1 сессия_Приложение_2010-2012 рус март_Приложение_2010-2012 рус 04.08.10" xfId="2504" xr:uid="{00000000-0005-0000-0000-00001C160000}"/>
    <cellStyle name="_Приложение 02 русс на 16.04.2009 г. 1 сессия_Приложение_2010-2012 рус март_Приложение_2010-2012 рус 04.08.10 2" xfId="5932" xr:uid="{00000000-0005-0000-0000-00001D160000}"/>
    <cellStyle name="_Приложение 02 русс на 16.04.2009 г. 1 сессия_Приложение_2010-2012 рус март_Приложение_2010-2012 рус 04.08.10_Анализ" xfId="2505" xr:uid="{00000000-0005-0000-0000-00001E160000}"/>
    <cellStyle name="_Приложение 02 русс на 16.04.2009 г. 1 сессия_Приложение_2010-2012 рус март_Приложение_2010-2012 рус 04.08.10_Анализ 2" xfId="5933" xr:uid="{00000000-0005-0000-0000-00001F160000}"/>
    <cellStyle name="_Приложение 02 русс на 16.04.2009 г. 1 сессия_Приложение_2010-2012 рус март_Приложение_2010-2012 рус 04.08.10_Анализ 3.03.2011г." xfId="3341" xr:uid="{00000000-0005-0000-0000-000020160000}"/>
    <cellStyle name="_Приложение 02 русс на 16.04.2009 г. 1 сессия_Приложение_2010-2012 рус март_Приложение_2010-2012 рус 04.08.10_Анализ 6.03.2011г." xfId="3342" xr:uid="{00000000-0005-0000-0000-000021160000}"/>
    <cellStyle name="_Приложение 02 русс на 16.04.2009 г. 1 сессия_Приложение_2010-2012 рус март_Приложение_2010-2012 рус 04.08.10_Анализ 9.03.2011г." xfId="3343" xr:uid="{00000000-0005-0000-0000-000022160000}"/>
    <cellStyle name="_Приложение 02 русс на 16.04.2009 г. 1 сессия_Приложение_2010-2012 рус март_Приложение_2010-2012 рус 04.08.10_Анализ_Приложение_рус _2012-2014_29,30" xfId="2506" xr:uid="{00000000-0005-0000-0000-000023160000}"/>
    <cellStyle name="_Приложение 02 русс на 16.04.2009 г. 1 сессия_Приложение_2010-2012 рус март_Приложение_2010-2012 рус 04.08.10_Анализ_Приложение_рус _2012-2014_29,30 2" xfId="5934" xr:uid="{00000000-0005-0000-0000-000024160000}"/>
    <cellStyle name="_Приложение 02 русс на 16.04.2009 г. 1 сессия_Приложение_2010-2012 рус март_Приложение_2010-2012 рус 04.08.10_Пр 4     11.05.11. ИКС" xfId="2507" xr:uid="{00000000-0005-0000-0000-000025160000}"/>
    <cellStyle name="_Приложение 02 русс на 16.04.2009 г. 1 сессия_Приложение_2010-2012 рус март_Приложение_2010-2012 рус 04.08.10_Пр 4     11.05.11. ИКС 2" xfId="5935" xr:uid="{00000000-0005-0000-0000-000026160000}"/>
    <cellStyle name="_Приложение 02 русс на 16.04.2009 г. 1 сессия_Приложение_2010-2012 рус март_Приложение_2010-2012 рус 04.08.10_Пр 4     11.05.11. ИКС_Приложение_рус _2012-2014_29,30" xfId="2508" xr:uid="{00000000-0005-0000-0000-000027160000}"/>
    <cellStyle name="_Приложение 02 русс на 16.04.2009 г. 1 сессия_Приложение_2010-2012 рус март_Приложение_2010-2012 рус 04.08.10_Пр 4     11.05.11. ИКС_Приложение_рус _2012-2014_29,30 2" xfId="5936" xr:uid="{00000000-0005-0000-0000-000028160000}"/>
    <cellStyle name="_Приложение 02 русс на 16.04.2009 г. 1 сессия_Приложение_2010-2012 рус март_Приложение_2010-2012 рус 04.08.10_Приложение 4 русс,каз 16.03.11. посл" xfId="2509" xr:uid="{00000000-0005-0000-0000-000029160000}"/>
    <cellStyle name="_Приложение 02 русс на 16.04.2009 г. 1 сессия_Приложение_2010-2012 рус март_Приложение_2010-2012 рус 04.08.10_Приложение 4 русс,каз 16.03.11. посл 2" xfId="5937" xr:uid="{00000000-0005-0000-0000-00002A160000}"/>
    <cellStyle name="_Приложение 02 русс на 16.04.2009 г. 1 сессия_Приложение_2010-2012 рус март_Приложение_2010-2012 рус 04.08.10_Приложение 4 русс,каз 16.03.11. посл_Приложение_рус _2012-2014_29,30" xfId="2510" xr:uid="{00000000-0005-0000-0000-00002B160000}"/>
    <cellStyle name="_Приложение 02 русс на 16.04.2009 г. 1 сессия_Приложение_2010-2012 рус март_Приложение_2010-2012 рус 04.08.10_Приложение 4 русс,каз 16.03.11. посл_Приложение_рус _2012-2014_29,30 2" xfId="5938" xr:uid="{00000000-0005-0000-0000-00002C160000}"/>
    <cellStyle name="_Приложение 02 русс на 16.04.2009 г. 1 сессия_Приложение_2010-2012 рус март_Приложение_2010-2012 рус 04.08.10_Приложение_реал_рус 2011-2013 Уточнение" xfId="2511" xr:uid="{00000000-0005-0000-0000-00002D160000}"/>
    <cellStyle name="_Приложение 02 русс на 16.04.2009 г. 1 сессия_Приложение_2010-2012 рус март_Приложение_2010-2012 рус 04.08.10_Приложение_реал_рус 2011-2013 Уточнение 2" xfId="5939" xr:uid="{00000000-0005-0000-0000-00002E160000}"/>
    <cellStyle name="_Приложение 02 русс на 16.04.2009 г. 1 сессия_Приложение_2010-2012 рус март_Приложение_2010-2012 рус 04.08.10_Приложение_реал_рус 2011-2013 Уточнение_Приложение_рус _2012-2014_29,30" xfId="2512" xr:uid="{00000000-0005-0000-0000-00002F160000}"/>
    <cellStyle name="_Приложение 02 русс на 16.04.2009 г. 1 сессия_Приложение_2010-2012 рус март_Приложение_2010-2012 рус 04.08.10_Приложение_реал_рус 2011-2013 Уточнение_Приложение_рус _2012-2014_29,30 2" xfId="5940" xr:uid="{00000000-0005-0000-0000-000030160000}"/>
    <cellStyle name="_Приложение 02 русс на 16.04.2009 г. 1 сессия_Приложение_2010-2012 рус март_Приложение_2010-2012 рус 04.08.10_Приложение_рус _2012-2014_29,30" xfId="2513" xr:uid="{00000000-0005-0000-0000-000031160000}"/>
    <cellStyle name="_Приложение 02 русс на 16.04.2009 г. 1 сессия_Приложение_2010-2012 рус март_Приложение_2010-2012 рус 04.08.10_Приложение_рус _2012-2014_29,30 2" xfId="5941" xr:uid="{00000000-0005-0000-0000-000032160000}"/>
    <cellStyle name="_Приложение 02 русс на 16.04.2009 г. 1 сессия_Приложение_2010-2012 рус март_Приложение_2010-2012 рус 04.08.10_приложения 2012 рус" xfId="2514" xr:uid="{00000000-0005-0000-0000-000033160000}"/>
    <cellStyle name="_Приложение 02 русс на 16.04.2009 г. 1 сессия_Приложение_2010-2012 рус март_Приложение_2010-2012 рус 04.08.10_приложения 2012 рус 2" xfId="5942" xr:uid="{00000000-0005-0000-0000-000034160000}"/>
    <cellStyle name="_Приложение 02 русс на 16.04.2009 г. 1 сессия_Приложение_2010-2012 рус март_Приложение_пост_рус_авг" xfId="2515" xr:uid="{00000000-0005-0000-0000-000035160000}"/>
    <cellStyle name="_Приложение 02 русс на 16.04.2009 г. 1 сессия_Приложение_2010-2012 рус март_Приложение_пост_рус_авг 2" xfId="5943" xr:uid="{00000000-0005-0000-0000-000036160000}"/>
    <cellStyle name="_Приложение 02 русс на 16.04.2009 г. 1 сессия_Приложение_2010-2012 рус март_Приложение_пост_рус_авг_Анализ" xfId="2516" xr:uid="{00000000-0005-0000-0000-000037160000}"/>
    <cellStyle name="_Приложение 02 русс на 16.04.2009 г. 1 сессия_Приложение_2010-2012 рус март_Приложение_пост_рус_авг_Анализ 2" xfId="5944" xr:uid="{00000000-0005-0000-0000-000038160000}"/>
    <cellStyle name="_Приложение 02 русс на 16.04.2009 г. 1 сессия_Приложение_2010-2012 рус март_Приложение_пост_рус_авг_Анализ 3.03.2011г." xfId="3344" xr:uid="{00000000-0005-0000-0000-000039160000}"/>
    <cellStyle name="_Приложение 02 русс на 16.04.2009 г. 1 сессия_Приложение_2010-2012 рус март_Приложение_пост_рус_авг_Анализ 6.03.2011г." xfId="3345" xr:uid="{00000000-0005-0000-0000-00003A160000}"/>
    <cellStyle name="_Приложение 02 русс на 16.04.2009 г. 1 сессия_Приложение_2010-2012 рус март_Приложение_пост_рус_авг_Анализ 9.03.2011г." xfId="3346" xr:uid="{00000000-0005-0000-0000-00003B160000}"/>
    <cellStyle name="_Приложение 02 русс на 16.04.2009 г. 1 сессия_Приложение_2010-2012 рус март_Приложение_пост_рус_авг_Анализ_Приложение_рус _2012-2014_29,30" xfId="2517" xr:uid="{00000000-0005-0000-0000-00003C160000}"/>
    <cellStyle name="_Приложение 02 русс на 16.04.2009 г. 1 сессия_Приложение_2010-2012 рус март_Приложение_пост_рус_авг_Анализ_Приложение_рус _2012-2014_29,30 2" xfId="5945" xr:uid="{00000000-0005-0000-0000-00003D160000}"/>
    <cellStyle name="_Приложение 02 русс на 16.04.2009 г. 1 сессия_Приложение_2010-2012 рус март_Приложение_пост_рус_авг_Пр 4     11.05.11. ИКС" xfId="2518" xr:uid="{00000000-0005-0000-0000-00003E160000}"/>
    <cellStyle name="_Приложение 02 русс на 16.04.2009 г. 1 сессия_Приложение_2010-2012 рус март_Приложение_пост_рус_авг_Пр 4     11.05.11. ИКС 2" xfId="5946" xr:uid="{00000000-0005-0000-0000-00003F160000}"/>
    <cellStyle name="_Приложение 02 русс на 16.04.2009 г. 1 сессия_Приложение_2010-2012 рус март_Приложение_пост_рус_авг_Пр 4     11.05.11. ИКС_Приложение_рус _2012-2014_29,30" xfId="2519" xr:uid="{00000000-0005-0000-0000-000040160000}"/>
    <cellStyle name="_Приложение 02 русс на 16.04.2009 г. 1 сессия_Приложение_2010-2012 рус март_Приложение_пост_рус_авг_Пр 4     11.05.11. ИКС_Приложение_рус _2012-2014_29,30 2" xfId="5947" xr:uid="{00000000-0005-0000-0000-000041160000}"/>
    <cellStyle name="_Приложение 02 русс на 16.04.2009 г. 1 сессия_Приложение_2010-2012 рус март_Приложение_пост_рус_авг_Приложение 4 русс,каз 16.03.11. посл" xfId="2520" xr:uid="{00000000-0005-0000-0000-000042160000}"/>
    <cellStyle name="_Приложение 02 русс на 16.04.2009 г. 1 сессия_Приложение_2010-2012 рус март_Приложение_пост_рус_авг_Приложение 4 русс,каз 16.03.11. посл 2" xfId="5948" xr:uid="{00000000-0005-0000-0000-000043160000}"/>
    <cellStyle name="_Приложение 02 русс на 16.04.2009 г. 1 сессия_Приложение_2010-2012 рус март_Приложение_пост_рус_авг_Приложение 4 русс,каз 16.03.11. посл_Приложение_рус _2012-2014_29,30" xfId="2521" xr:uid="{00000000-0005-0000-0000-000044160000}"/>
    <cellStyle name="_Приложение 02 русс на 16.04.2009 г. 1 сессия_Приложение_2010-2012 рус март_Приложение_пост_рус_авг_Приложение 4 русс,каз 16.03.11. посл_Приложение_рус _2012-2014_29,30 2" xfId="5949" xr:uid="{00000000-0005-0000-0000-000045160000}"/>
    <cellStyle name="_Приложение 02 русс на 16.04.2009 г. 1 сессия_Приложение_2010-2012 рус март_Приложение_пост_рус_авг_Приложение_реал_рус 2011-2013 Уточнение" xfId="2522" xr:uid="{00000000-0005-0000-0000-000046160000}"/>
    <cellStyle name="_Приложение 02 русс на 16.04.2009 г. 1 сессия_Приложение_2010-2012 рус март_Приложение_пост_рус_авг_Приложение_реал_рус 2011-2013 Уточнение 2" xfId="5950" xr:uid="{00000000-0005-0000-0000-000047160000}"/>
    <cellStyle name="_Приложение 02 русс на 16.04.2009 г. 1 сессия_Приложение_2010-2012 рус март_Приложение_пост_рус_авг_Приложение_реал_рус 2011-2013 Уточнение_Приложение_рус _2012-2014_29,30" xfId="2523" xr:uid="{00000000-0005-0000-0000-000048160000}"/>
    <cellStyle name="_Приложение 02 русс на 16.04.2009 г. 1 сессия_Приложение_2010-2012 рус март_Приложение_пост_рус_авг_Приложение_реал_рус 2011-2013 Уточнение_Приложение_рус _2012-2014_29,30 2" xfId="5951" xr:uid="{00000000-0005-0000-0000-000049160000}"/>
    <cellStyle name="_Приложение 02 русс на 16.04.2009 г. 1 сессия_Приложение_2010-2012 рус март_Приложение_пост_рус_авг_Приложение_рус _2012-2014_29,30" xfId="2524" xr:uid="{00000000-0005-0000-0000-00004A160000}"/>
    <cellStyle name="_Приложение 02 русс на 16.04.2009 г. 1 сессия_Приложение_2010-2012 рус март_Приложение_пост_рус_авг_Приложение_рус _2012-2014_29,30 2" xfId="5952" xr:uid="{00000000-0005-0000-0000-00004B160000}"/>
    <cellStyle name="_Приложение 02 русс на 16.04.2009 г. 1 сессия_Приложение_2010-2012 рус март_Приложение_пост_рус_авг_приложения 2012 рус" xfId="2525" xr:uid="{00000000-0005-0000-0000-00004C160000}"/>
    <cellStyle name="_Приложение 02 русс на 16.04.2009 г. 1 сессия_Приложение_2010-2012 рус март_Приложение_пост_рус_авг_приложения 2012 рус 2" xfId="5953" xr:uid="{00000000-0005-0000-0000-00004D160000}"/>
    <cellStyle name="_Приложение 02 русс на 16.04.2009 г. 1 сессия_Приложение_2010-2012 рус март_Приложение_реал_рус 2011-2013 Уточнение" xfId="2526" xr:uid="{00000000-0005-0000-0000-00004E160000}"/>
    <cellStyle name="_Приложение 02 русс на 16.04.2009 г. 1 сессия_Приложение_2010-2012 рус март_Приложение_реал_рус 2011-2013 Уточнение 2" xfId="5954" xr:uid="{00000000-0005-0000-0000-00004F160000}"/>
    <cellStyle name="_Приложение 02 русс на 16.04.2009 г. 1 сессия_Приложение_2010-2012 рус март_Приложение_реал_рус 2011-2013 Уточнение_Приложение_рус _2012-2014_29,30" xfId="2527" xr:uid="{00000000-0005-0000-0000-000050160000}"/>
    <cellStyle name="_Приложение 02 русс на 16.04.2009 г. 1 сессия_Приложение_2010-2012 рус март_Приложение_реал_рус 2011-2013 Уточнение_Приложение_рус _2012-2014_29,30 2" xfId="5955" xr:uid="{00000000-0005-0000-0000-000051160000}"/>
    <cellStyle name="_Приложение 02 русс на 16.04.2009 г. 1 сессия_Приложение_2010-2012 рус март_Приложение_рус _2012-2014_29,30" xfId="2528" xr:uid="{00000000-0005-0000-0000-000052160000}"/>
    <cellStyle name="_Приложение 02 русс на 16.04.2009 г. 1 сессия_Приложение_2010-2012 рус март_Приложение_рус _2012-2014_29,30 2" xfId="5956" xr:uid="{00000000-0005-0000-0000-000053160000}"/>
    <cellStyle name="_Приложение 02 русс на 16.04.2009 г. 1 сессия_Приложение_2010-2012 рус март_приложения 2012 рус" xfId="2529" xr:uid="{00000000-0005-0000-0000-000054160000}"/>
    <cellStyle name="_Приложение 02 русс на 16.04.2009 г. 1 сессия_Приложение_2010-2012 рус март_приложения 2012 рус 2" xfId="5957" xr:uid="{00000000-0005-0000-0000-000055160000}"/>
    <cellStyle name="_Приложение 02 русс на 16.04.2009 г. 1 сессия_Приложение_пост_рус_авг" xfId="2530" xr:uid="{00000000-0005-0000-0000-000056160000}"/>
    <cellStyle name="_Приложение 02 русс на 16.04.2009 г. 1 сессия_Приложение_пост_рус_авг 2" xfId="5958" xr:uid="{00000000-0005-0000-0000-000057160000}"/>
    <cellStyle name="_Приложение 02 русс на 16.04.2009 г. 1 сессия_Приложение_пост_рус_авг_Анализ" xfId="2531" xr:uid="{00000000-0005-0000-0000-000058160000}"/>
    <cellStyle name="_Приложение 02 русс на 16.04.2009 г. 1 сессия_Приложение_пост_рус_авг_Анализ 2" xfId="5959" xr:uid="{00000000-0005-0000-0000-000059160000}"/>
    <cellStyle name="_Приложение 02 русс на 16.04.2009 г. 1 сессия_Приложение_пост_рус_авг_Анализ 3.03.2011г." xfId="3347" xr:uid="{00000000-0005-0000-0000-00005A160000}"/>
    <cellStyle name="_Приложение 02 русс на 16.04.2009 г. 1 сессия_Приложение_пост_рус_авг_Анализ 6.03.2011г." xfId="3348" xr:uid="{00000000-0005-0000-0000-00005B160000}"/>
    <cellStyle name="_Приложение 02 русс на 16.04.2009 г. 1 сессия_Приложение_пост_рус_авг_Анализ 9.03.2011г." xfId="3349" xr:uid="{00000000-0005-0000-0000-00005C160000}"/>
    <cellStyle name="_Приложение 02 русс на 16.04.2009 г. 1 сессия_Приложение_пост_рус_авг_Анализ_Приложение_рус _2012-2014_29,30" xfId="2532" xr:uid="{00000000-0005-0000-0000-00005D160000}"/>
    <cellStyle name="_Приложение 02 русс на 16.04.2009 г. 1 сессия_Приложение_пост_рус_авг_Анализ_Приложение_рус _2012-2014_29,30 2" xfId="5960" xr:uid="{00000000-0005-0000-0000-00005E160000}"/>
    <cellStyle name="_Приложение 02 русс на 16.04.2009 г. 1 сессия_Приложение_пост_рус_авг_Пр 4     11.05.11. ИКС" xfId="2533" xr:uid="{00000000-0005-0000-0000-00005F160000}"/>
    <cellStyle name="_Приложение 02 русс на 16.04.2009 г. 1 сессия_Приложение_пост_рус_авг_Пр 4     11.05.11. ИКС 2" xfId="5961" xr:uid="{00000000-0005-0000-0000-000060160000}"/>
    <cellStyle name="_Приложение 02 русс на 16.04.2009 г. 1 сессия_Приложение_пост_рус_авг_Пр 4     11.05.11. ИКС_Приложение_рус _2012-2014_29,30" xfId="2534" xr:uid="{00000000-0005-0000-0000-000061160000}"/>
    <cellStyle name="_Приложение 02 русс на 16.04.2009 г. 1 сессия_Приложение_пост_рус_авг_Пр 4     11.05.11. ИКС_Приложение_рус _2012-2014_29,30 2" xfId="5962" xr:uid="{00000000-0005-0000-0000-000062160000}"/>
    <cellStyle name="_Приложение 02 русс на 16.04.2009 г. 1 сессия_Приложение_пост_рус_авг_Приложение 4 русс,каз 16.03.11. посл" xfId="2535" xr:uid="{00000000-0005-0000-0000-000063160000}"/>
    <cellStyle name="_Приложение 02 русс на 16.04.2009 г. 1 сессия_Приложение_пост_рус_авг_Приложение 4 русс,каз 16.03.11. посл 2" xfId="5963" xr:uid="{00000000-0005-0000-0000-000064160000}"/>
    <cellStyle name="_Приложение 02 русс на 16.04.2009 г. 1 сессия_Приложение_пост_рус_авг_Приложение 4 русс,каз 16.03.11. посл_Приложение_рус _2012-2014_29,30" xfId="2536" xr:uid="{00000000-0005-0000-0000-000065160000}"/>
    <cellStyle name="_Приложение 02 русс на 16.04.2009 г. 1 сессия_Приложение_пост_рус_авг_Приложение 4 русс,каз 16.03.11. посл_Приложение_рус _2012-2014_29,30 2" xfId="5964" xr:uid="{00000000-0005-0000-0000-000066160000}"/>
    <cellStyle name="_Приложение 02 русс на 16.04.2009 г. 1 сессия_Приложение_пост_рус_авг_Приложение_реал_рус 2011-2013 Уточнение" xfId="2537" xr:uid="{00000000-0005-0000-0000-000067160000}"/>
    <cellStyle name="_Приложение 02 русс на 16.04.2009 г. 1 сессия_Приложение_пост_рус_авг_Приложение_реал_рус 2011-2013 Уточнение 2" xfId="5965" xr:uid="{00000000-0005-0000-0000-000068160000}"/>
    <cellStyle name="_Приложение 02 русс на 16.04.2009 г. 1 сессия_Приложение_пост_рус_авг_Приложение_реал_рус 2011-2013 Уточнение_Приложение_рус _2012-2014_29,30" xfId="2538" xr:uid="{00000000-0005-0000-0000-000069160000}"/>
    <cellStyle name="_Приложение 02 русс на 16.04.2009 г. 1 сессия_Приложение_пост_рус_авг_Приложение_реал_рус 2011-2013 Уточнение_Приложение_рус _2012-2014_29,30 2" xfId="5966" xr:uid="{00000000-0005-0000-0000-00006A160000}"/>
    <cellStyle name="_Приложение 02 русс на 16.04.2009 г. 1 сессия_Приложение_пост_рус_авг_Приложение_рус _2012-2014_29,30" xfId="2539" xr:uid="{00000000-0005-0000-0000-00006B160000}"/>
    <cellStyle name="_Приложение 02 русс на 16.04.2009 г. 1 сессия_Приложение_пост_рус_авг_Приложение_рус _2012-2014_29,30 2" xfId="5967" xr:uid="{00000000-0005-0000-0000-00006C160000}"/>
    <cellStyle name="_Приложение 02 русс на 16.04.2009 г. 1 сессия_Приложение_пост_рус_авг_приложения 2012 рус" xfId="2540" xr:uid="{00000000-0005-0000-0000-00006D160000}"/>
    <cellStyle name="_Приложение 02 русс на 16.04.2009 г. 1 сессия_Приложение_пост_рус_авг_приложения 2012 рус 2" xfId="5968" xr:uid="{00000000-0005-0000-0000-00006E160000}"/>
    <cellStyle name="_Приложение 02 русс на 16.04.2009 г. 1 сессия_Приложение_реал_рус 2011-2013 Уточнение" xfId="2541" xr:uid="{00000000-0005-0000-0000-00006F160000}"/>
    <cellStyle name="_Приложение 02 русс на 16.04.2009 г. 1 сессия_Приложение_реал_рус 2011-2013 Уточнение 2" xfId="5969" xr:uid="{00000000-0005-0000-0000-000070160000}"/>
    <cellStyle name="_Приложение 02 русс на 16.04.2009 г. 1 сессия_Приложение_реал_рус 2011-2013 Уточнение_Приложение_рус _2012-2014_29,30" xfId="2542" xr:uid="{00000000-0005-0000-0000-000071160000}"/>
    <cellStyle name="_Приложение 02 русс на 16.04.2009 г. 1 сессия_Приложение_реал_рус 2011-2013 Уточнение_Приложение_рус _2012-2014_29,30 2" xfId="5970" xr:uid="{00000000-0005-0000-0000-000072160000}"/>
    <cellStyle name="_Приложение 02 русс на 16.04.2009 г. 1 сессия_Приложение_рус _2012-2014_29,30" xfId="2543" xr:uid="{00000000-0005-0000-0000-000073160000}"/>
    <cellStyle name="_Приложение 02 русс на 16.04.2009 г. 1 сессия_Приложение_рус _2012-2014_29,30 2" xfId="5971" xr:uid="{00000000-0005-0000-0000-000074160000}"/>
    <cellStyle name="_Приложение 02 русс на 16.04.2009 г. 1 сессия_приложения 2012 рус" xfId="2544" xr:uid="{00000000-0005-0000-0000-000075160000}"/>
    <cellStyle name="_Приложение 02 русс на 16.04.2009 г. 1 сессия_приложения 2012 рус 2" xfId="5972" xr:uid="{00000000-0005-0000-0000-000076160000}"/>
    <cellStyle name="_Приложение 2" xfId="2545" xr:uid="{00000000-0005-0000-0000-000077160000}"/>
    <cellStyle name="_Приложение 2 2" xfId="2546" xr:uid="{00000000-0005-0000-0000-000078160000}"/>
    <cellStyle name="_Приложение 2 2 2" xfId="5973" xr:uid="{00000000-0005-0000-0000-000079160000}"/>
    <cellStyle name="_Приложение 2 на 2008 год" xfId="2547" xr:uid="{00000000-0005-0000-0000-00007A160000}"/>
    <cellStyle name="_Приложение 2 на 2008 год 2" xfId="2548" xr:uid="{00000000-0005-0000-0000-00007B160000}"/>
    <cellStyle name="_Приложение 2 на 2008 год 2 2" xfId="5974" xr:uid="{00000000-0005-0000-0000-00007C160000}"/>
    <cellStyle name="_Приложение 2 на 2008 год_Прилож_1_к пр_9" xfId="2549" xr:uid="{00000000-0005-0000-0000-00007D160000}"/>
    <cellStyle name="_Приложение 2 на 2008 год_Прилож_1_к пр_9 2" xfId="5975" xr:uid="{00000000-0005-0000-0000-00007E160000}"/>
    <cellStyle name="_Приложение 2 на 2008 год_Приложен протоколоа" xfId="2550" xr:uid="{00000000-0005-0000-0000-00007F160000}"/>
    <cellStyle name="_Приложение 2 на 2008 год_Приложен протоколоа 2" xfId="5976" xr:uid="{00000000-0005-0000-0000-000080160000}"/>
    <cellStyle name="_Приложение 2 на 2008 год_Свод БЗ 2009 год_на уточнение июль 25.06-1" xfId="2551" xr:uid="{00000000-0005-0000-0000-000081160000}"/>
    <cellStyle name="_Приложение 2 на 2008 год_Свод БЗ 2009 год_на уточнение июль 25.06-1 2" xfId="5977" xr:uid="{00000000-0005-0000-0000-000082160000}"/>
    <cellStyle name="_Приложение 2 на 2008 год_Свод БЗ 2009 год_на уточнение июль 25.06-1-1" xfId="2552" xr:uid="{00000000-0005-0000-0000-000083160000}"/>
    <cellStyle name="_Приложение 2 на 2008 год_Свод БЗ 2009 год_на уточнение июль 25.06-1-1 2" xfId="5978" xr:uid="{00000000-0005-0000-0000-000084160000}"/>
    <cellStyle name="_Приложение 2_Прилож_1_к пр_9" xfId="2553" xr:uid="{00000000-0005-0000-0000-000085160000}"/>
    <cellStyle name="_Приложение 2_Прилож_1_к пр_9 2" xfId="5979" xr:uid="{00000000-0005-0000-0000-000086160000}"/>
    <cellStyle name="_Приложение 2_Приложен протоколоа" xfId="2554" xr:uid="{00000000-0005-0000-0000-000087160000}"/>
    <cellStyle name="_Приложение 2_Приложен протоколоа 2" xfId="5980" xr:uid="{00000000-0005-0000-0000-000088160000}"/>
    <cellStyle name="_Приложение 2_Свод БЗ 2009 год_на уточнение июль 25.06-1" xfId="2555" xr:uid="{00000000-0005-0000-0000-000089160000}"/>
    <cellStyle name="_Приложение 2_Свод БЗ 2009 год_на уточнение июль 25.06-1 2" xfId="5981" xr:uid="{00000000-0005-0000-0000-00008A160000}"/>
    <cellStyle name="_Приложение 2_Свод БЗ 2009 год_на уточнение июль 25.06-1-1" xfId="2556" xr:uid="{00000000-0005-0000-0000-00008B160000}"/>
    <cellStyle name="_Приложение 2_Свод БЗ 2009 год_на уточнение июль 25.06-1-1 2" xfId="5982" xr:uid="{00000000-0005-0000-0000-00008C160000}"/>
    <cellStyle name="_Приложение рус" xfId="2557" xr:uid="{00000000-0005-0000-0000-00008D160000}"/>
    <cellStyle name="_Приложение рус 2" xfId="2558" xr:uid="{00000000-0005-0000-0000-00008E160000}"/>
    <cellStyle name="_Приложение рус 2 2" xfId="5983" xr:uid="{00000000-0005-0000-0000-00008F160000}"/>
    <cellStyle name="_Приложение рус реал" xfId="2559" xr:uid="{00000000-0005-0000-0000-000090160000}"/>
    <cellStyle name="_Приложение рус реал 2" xfId="2560" xr:uid="{00000000-0005-0000-0000-000091160000}"/>
    <cellStyle name="_Приложение рус реал 2 2" xfId="5984" xr:uid="{00000000-0005-0000-0000-000092160000}"/>
    <cellStyle name="_Приложение рус реал октя" xfId="2561" xr:uid="{00000000-0005-0000-0000-000093160000}"/>
    <cellStyle name="_Приложение рус реал октя 2" xfId="2562" xr:uid="{00000000-0005-0000-0000-000094160000}"/>
    <cellStyle name="_Приложение рус реал октя 2 2" xfId="5985" xr:uid="{00000000-0005-0000-0000-000095160000}"/>
    <cellStyle name="_Приложение рус реал октя_Прилож_1_к пр_9" xfId="2563" xr:uid="{00000000-0005-0000-0000-000096160000}"/>
    <cellStyle name="_Приложение рус реал октя_Прилож_1_к пр_9 2" xfId="5986" xr:uid="{00000000-0005-0000-0000-000097160000}"/>
    <cellStyle name="_Приложение рус реал октя_Приложен протоколоа" xfId="2564" xr:uid="{00000000-0005-0000-0000-000098160000}"/>
    <cellStyle name="_Приложение рус реал октя_Приложен протоколоа 2" xfId="5987" xr:uid="{00000000-0005-0000-0000-000099160000}"/>
    <cellStyle name="_Приложение рус реал октя_Свод БЗ 2009 год_на уточнение июль 25.06-1" xfId="2565" xr:uid="{00000000-0005-0000-0000-00009A160000}"/>
    <cellStyle name="_Приложение рус реал октя_Свод БЗ 2009 год_на уточнение июль 25.06-1 2" xfId="5988" xr:uid="{00000000-0005-0000-0000-00009B160000}"/>
    <cellStyle name="_Приложение рус реал октя_Свод БЗ 2009 год_на уточнение июль 25.06-1-1" xfId="2566" xr:uid="{00000000-0005-0000-0000-00009C160000}"/>
    <cellStyle name="_Приложение рус реал октя_Свод БЗ 2009 год_на уточнение июль 25.06-1-1 2" xfId="5989" xr:uid="{00000000-0005-0000-0000-00009D160000}"/>
    <cellStyle name="_Приложение рус реал_Прилож_1_к пр_9" xfId="2567" xr:uid="{00000000-0005-0000-0000-00009E160000}"/>
    <cellStyle name="_Приложение рус реал_Прилож_1_к пр_9 2" xfId="5990" xr:uid="{00000000-0005-0000-0000-00009F160000}"/>
    <cellStyle name="_Приложение рус реал_Приложен протоколоа" xfId="2568" xr:uid="{00000000-0005-0000-0000-0000A0160000}"/>
    <cellStyle name="_Приложение рус реал_Приложен протоколоа 2" xfId="5991" xr:uid="{00000000-0005-0000-0000-0000A1160000}"/>
    <cellStyle name="_Приложение рус реал_Свод БЗ 2009 год_на уточнение июль 25.06-1" xfId="2569" xr:uid="{00000000-0005-0000-0000-0000A2160000}"/>
    <cellStyle name="_Приложение рус реал_Свод БЗ 2009 год_на уточнение июль 25.06-1 2" xfId="5992" xr:uid="{00000000-0005-0000-0000-0000A3160000}"/>
    <cellStyle name="_Приложение рус реал_Свод БЗ 2009 год_на уточнение июль 25.06-1-1" xfId="2570" xr:uid="{00000000-0005-0000-0000-0000A4160000}"/>
    <cellStyle name="_Приложение рус реал_Свод БЗ 2009 год_на уточнение июль 25.06-1-1 2" xfId="5993" xr:uid="{00000000-0005-0000-0000-0000A5160000}"/>
    <cellStyle name="_Приложение рус реал06" xfId="2571" xr:uid="{00000000-0005-0000-0000-0000A6160000}"/>
    <cellStyle name="_Приложение рус реал06 2" xfId="2572" xr:uid="{00000000-0005-0000-0000-0000A7160000}"/>
    <cellStyle name="_Приложение рус реал06 2 2" xfId="5994" xr:uid="{00000000-0005-0000-0000-0000A8160000}"/>
    <cellStyle name="_Приложение рус реал06_Прилож_1_к пр_9" xfId="2573" xr:uid="{00000000-0005-0000-0000-0000A9160000}"/>
    <cellStyle name="_Приложение рус реал06_Прилож_1_к пр_9 2" xfId="5995" xr:uid="{00000000-0005-0000-0000-0000AA160000}"/>
    <cellStyle name="_Приложение рус реал06_Приложен протоколоа" xfId="2574" xr:uid="{00000000-0005-0000-0000-0000AB160000}"/>
    <cellStyle name="_Приложение рус реал06_Приложен протоколоа 2" xfId="5996" xr:uid="{00000000-0005-0000-0000-0000AC160000}"/>
    <cellStyle name="_Приложение рус реал06_Свод БЗ 2009 год_на уточнение июль 25.06-1" xfId="2575" xr:uid="{00000000-0005-0000-0000-0000AD160000}"/>
    <cellStyle name="_Приложение рус реал06_Свод БЗ 2009 год_на уточнение июль 25.06-1 2" xfId="5997" xr:uid="{00000000-0005-0000-0000-0000AE160000}"/>
    <cellStyle name="_Приложение рус реал06_Свод БЗ 2009 год_на уточнение июль 25.06-1-1" xfId="2576" xr:uid="{00000000-0005-0000-0000-0000AF160000}"/>
    <cellStyle name="_Приложение рус реал06_Свод БЗ 2009 год_на уточнение июль 25.06-1-1 2" xfId="5998" xr:uid="{00000000-0005-0000-0000-0000B0160000}"/>
    <cellStyle name="_Приложение рус_Прилож_1_к пр_9" xfId="2577" xr:uid="{00000000-0005-0000-0000-0000B1160000}"/>
    <cellStyle name="_Приложение рус_Прилож_1_к пр_9 2" xfId="5999" xr:uid="{00000000-0005-0000-0000-0000B2160000}"/>
    <cellStyle name="_Приложение рус_Приложен протоколоа" xfId="2578" xr:uid="{00000000-0005-0000-0000-0000B3160000}"/>
    <cellStyle name="_Приложение рус_Приложен протоколоа 2" xfId="6000" xr:uid="{00000000-0005-0000-0000-0000B4160000}"/>
    <cellStyle name="_Приложение рус_Свод БЗ 2009 год_на уточнение июль 25.06-1" xfId="2579" xr:uid="{00000000-0005-0000-0000-0000B5160000}"/>
    <cellStyle name="_Приложение рус_Свод БЗ 2009 год_на уточнение июль 25.06-1 2" xfId="6001" xr:uid="{00000000-0005-0000-0000-0000B6160000}"/>
    <cellStyle name="_Приложение рус_Свод БЗ 2009 год_на уточнение июль 25.06-1-1" xfId="2580" xr:uid="{00000000-0005-0000-0000-0000B7160000}"/>
    <cellStyle name="_Приложение рус_Свод БЗ 2009 год_на уточнение июль 25.06-1-1 2" xfId="6002" xr:uid="{00000000-0005-0000-0000-0000B8160000}"/>
    <cellStyle name="_Природа" xfId="2581" xr:uid="{00000000-0005-0000-0000-0000B9160000}"/>
    <cellStyle name="_Прог.007 (2)" xfId="2582" xr:uid="{00000000-0005-0000-0000-0000BA160000}"/>
    <cellStyle name="_СПОРТ потребность на 2010г., новый вариант" xfId="2583" xr:uid="{00000000-0005-0000-0000-0000BB160000}"/>
    <cellStyle name="_СПСЭР на 2008-2010_11.09.07" xfId="2584" xr:uid="{00000000-0005-0000-0000-0000BC160000}"/>
    <cellStyle name="_Сред. сроч. план." xfId="2585" xr:uid="{00000000-0005-0000-0000-0000BD160000}"/>
    <cellStyle name="_Сред. сроч. план. 2" xfId="6003" xr:uid="{00000000-0005-0000-0000-0000BE160000}"/>
    <cellStyle name="_Су" xfId="2586" xr:uid="{00000000-0005-0000-0000-0000BF160000}"/>
    <cellStyle name="_Транспорт" xfId="2587" xr:uid="{00000000-0005-0000-0000-0000C0160000}"/>
    <cellStyle name="Cel6" xfId="2588" xr:uid="{00000000-0005-0000-0000-0000C1160000}"/>
    <cellStyle name="Cell1" xfId="2589" xr:uid="{00000000-0005-0000-0000-0000C2160000}"/>
    <cellStyle name="Cell2" xfId="2590" xr:uid="{00000000-0005-0000-0000-0000C3160000}"/>
    <cellStyle name="Cell3" xfId="2591" xr:uid="{00000000-0005-0000-0000-0000C4160000}"/>
    <cellStyle name="Cell4" xfId="2592" xr:uid="{00000000-0005-0000-0000-0000C5160000}"/>
    <cellStyle name="Cell5" xfId="2593" xr:uid="{00000000-0005-0000-0000-0000C6160000}"/>
    <cellStyle name="Name1" xfId="2594" xr:uid="{00000000-0005-0000-0000-0000C7160000}"/>
    <cellStyle name="Name2" xfId="2595" xr:uid="{00000000-0005-0000-0000-0000C8160000}"/>
    <cellStyle name="Name3" xfId="2596" xr:uid="{00000000-0005-0000-0000-0000C9160000}"/>
    <cellStyle name="Name3 2" xfId="2597" xr:uid="{00000000-0005-0000-0000-0000CA160000}"/>
    <cellStyle name="Name4" xfId="2598" xr:uid="{00000000-0005-0000-0000-0000CB160000}"/>
    <cellStyle name="Name5" xfId="2599" xr:uid="{00000000-0005-0000-0000-0000CC160000}"/>
    <cellStyle name="Normal 2" xfId="6159" xr:uid="{00000000-0005-0000-0000-0000CD160000}"/>
    <cellStyle name="S0" xfId="7961" xr:uid="{00000000-0005-0000-0000-0000CE160000}"/>
    <cellStyle name="S1" xfId="7962" xr:uid="{00000000-0005-0000-0000-0000CF160000}"/>
    <cellStyle name="S10" xfId="6072" xr:uid="{00000000-0005-0000-0000-0000D0160000}"/>
    <cellStyle name="S11" xfId="3437" xr:uid="{00000000-0005-0000-0000-0000D1160000}"/>
    <cellStyle name="S2" xfId="7964" xr:uid="{00000000-0005-0000-0000-0000D2160000}"/>
    <cellStyle name="S3" xfId="7963" xr:uid="{00000000-0005-0000-0000-0000D3160000}"/>
    <cellStyle name="S4" xfId="2600" xr:uid="{00000000-0005-0000-0000-0000D4160000}"/>
    <cellStyle name="S4 2" xfId="7967" xr:uid="{00000000-0005-0000-0000-0000D5160000}"/>
    <cellStyle name="S5" xfId="7965" xr:uid="{00000000-0005-0000-0000-0000D6160000}"/>
    <cellStyle name="S6" xfId="7966" xr:uid="{00000000-0005-0000-0000-0000D7160000}"/>
    <cellStyle name="S7" xfId="6070" xr:uid="{00000000-0005-0000-0000-0000D8160000}"/>
    <cellStyle name="S8" xfId="6071" xr:uid="{00000000-0005-0000-0000-0000D9160000}"/>
    <cellStyle name="S9" xfId="6069" xr:uid="{00000000-0005-0000-0000-0000DA160000}"/>
    <cellStyle name="White1" xfId="2601" xr:uid="{00000000-0005-0000-0000-0000DB160000}"/>
    <cellStyle name="White2" xfId="2602" xr:uid="{00000000-0005-0000-0000-0000DC160000}"/>
    <cellStyle name="White3" xfId="2603" xr:uid="{00000000-0005-0000-0000-0000DD160000}"/>
    <cellStyle name="White4" xfId="2604" xr:uid="{00000000-0005-0000-0000-0000DE160000}"/>
    <cellStyle name="White5" xfId="2605" xr:uid="{00000000-0005-0000-0000-0000DF160000}"/>
    <cellStyle name="Денежный 2" xfId="2606" xr:uid="{00000000-0005-0000-0000-0000E0160000}"/>
    <cellStyle name="Денежный 2 2" xfId="6004" xr:uid="{00000000-0005-0000-0000-0000E1160000}"/>
    <cellStyle name="Денежный 2 3" xfId="6160" xr:uid="{00000000-0005-0000-0000-0000E2160000}"/>
    <cellStyle name="Обычный" xfId="0" builtinId="0"/>
    <cellStyle name="Обычный 10" xfId="2607" xr:uid="{00000000-0005-0000-0000-0000E4160000}"/>
    <cellStyle name="Обычный 10 2" xfId="2608" xr:uid="{00000000-0005-0000-0000-0000E5160000}"/>
    <cellStyle name="Обычный 10 2 10" xfId="10939" xr:uid="{00000000-0005-0000-0000-0000E6160000}"/>
    <cellStyle name="Обычный 10 2 11" xfId="11925" xr:uid="{00000000-0005-0000-0000-0000E7160000}"/>
    <cellStyle name="Обычный 10 2 12" xfId="12911" xr:uid="{00000000-0005-0000-0000-0000E8160000}"/>
    <cellStyle name="Обычный 10 2 13" xfId="13911" xr:uid="{00000000-0005-0000-0000-0000E9160000}"/>
    <cellStyle name="Обычный 10 2 14" xfId="14897" xr:uid="{00000000-0005-0000-0000-0000EA160000}"/>
    <cellStyle name="Обычный 10 2 2" xfId="6005" xr:uid="{00000000-0005-0000-0000-0000EB160000}"/>
    <cellStyle name="Обычный 10 2 2 10" xfId="12970" xr:uid="{00000000-0005-0000-0000-0000EC160000}"/>
    <cellStyle name="Обычный 10 2 2 11" xfId="13970" xr:uid="{00000000-0005-0000-0000-0000ED160000}"/>
    <cellStyle name="Обычный 10 2 2 12" xfId="14956" xr:uid="{00000000-0005-0000-0000-0000EE160000}"/>
    <cellStyle name="Обычный 10 2 2 2" xfId="6481" xr:uid="{00000000-0005-0000-0000-0000EF160000}"/>
    <cellStyle name="Обычный 10 2 2 2 10" xfId="15400" xr:uid="{00000000-0005-0000-0000-0000F0160000}"/>
    <cellStyle name="Обычный 10 2 2 2 2" xfId="7478" xr:uid="{00000000-0005-0000-0000-0000F1160000}"/>
    <cellStyle name="Обычный 10 2 2 2 3" xfId="8484" xr:uid="{00000000-0005-0000-0000-0000F2160000}"/>
    <cellStyle name="Обычный 10 2 2 2 4" xfId="9470" xr:uid="{00000000-0005-0000-0000-0000F3160000}"/>
    <cellStyle name="Обычный 10 2 2 2 5" xfId="10456" xr:uid="{00000000-0005-0000-0000-0000F4160000}"/>
    <cellStyle name="Обычный 10 2 2 2 6" xfId="11442" xr:uid="{00000000-0005-0000-0000-0000F5160000}"/>
    <cellStyle name="Обычный 10 2 2 2 7" xfId="12428" xr:uid="{00000000-0005-0000-0000-0000F6160000}"/>
    <cellStyle name="Обычный 10 2 2 2 8" xfId="13414" xr:uid="{00000000-0005-0000-0000-0000F7160000}"/>
    <cellStyle name="Обычный 10 2 2 2 9" xfId="14414" xr:uid="{00000000-0005-0000-0000-0000F8160000}"/>
    <cellStyle name="Обычный 10 2 2 3" xfId="6751" xr:uid="{00000000-0005-0000-0000-0000F9160000}"/>
    <cellStyle name="Обычный 10 2 2 3 10" xfId="15670" xr:uid="{00000000-0005-0000-0000-0000FA160000}"/>
    <cellStyle name="Обычный 10 2 2 3 2" xfId="7748" xr:uid="{00000000-0005-0000-0000-0000FB160000}"/>
    <cellStyle name="Обычный 10 2 2 3 3" xfId="8754" xr:uid="{00000000-0005-0000-0000-0000FC160000}"/>
    <cellStyle name="Обычный 10 2 2 3 4" xfId="9740" xr:uid="{00000000-0005-0000-0000-0000FD160000}"/>
    <cellStyle name="Обычный 10 2 2 3 5" xfId="10726" xr:uid="{00000000-0005-0000-0000-0000FE160000}"/>
    <cellStyle name="Обычный 10 2 2 3 6" xfId="11712" xr:uid="{00000000-0005-0000-0000-0000FF160000}"/>
    <cellStyle name="Обычный 10 2 2 3 7" xfId="12698" xr:uid="{00000000-0005-0000-0000-000000170000}"/>
    <cellStyle name="Обычный 10 2 2 3 8" xfId="13684" xr:uid="{00000000-0005-0000-0000-000001170000}"/>
    <cellStyle name="Обычный 10 2 2 3 9" xfId="14684" xr:uid="{00000000-0005-0000-0000-000002170000}"/>
    <cellStyle name="Обычный 10 2 2 4" xfId="7034" xr:uid="{00000000-0005-0000-0000-000003170000}"/>
    <cellStyle name="Обычный 10 2 2 5" xfId="8040" xr:uid="{00000000-0005-0000-0000-000004170000}"/>
    <cellStyle name="Обычный 10 2 2 6" xfId="9026" xr:uid="{00000000-0005-0000-0000-000005170000}"/>
    <cellStyle name="Обычный 10 2 2 7" xfId="10012" xr:uid="{00000000-0005-0000-0000-000006170000}"/>
    <cellStyle name="Обычный 10 2 2 8" xfId="10998" xr:uid="{00000000-0005-0000-0000-000007170000}"/>
    <cellStyle name="Обычный 10 2 2 9" xfId="11984" xr:uid="{00000000-0005-0000-0000-000008170000}"/>
    <cellStyle name="Обычный 10 2 3" xfId="6073" xr:uid="{00000000-0005-0000-0000-000009170000}"/>
    <cellStyle name="Обычный 10 2 3 10" xfId="13023" xr:uid="{00000000-0005-0000-0000-00000A170000}"/>
    <cellStyle name="Обычный 10 2 3 11" xfId="14023" xr:uid="{00000000-0005-0000-0000-00000B170000}"/>
    <cellStyle name="Обычный 10 2 3 12" xfId="15009" xr:uid="{00000000-0005-0000-0000-00000C170000}"/>
    <cellStyle name="Обычный 10 2 3 2" xfId="6534" xr:uid="{00000000-0005-0000-0000-00000D170000}"/>
    <cellStyle name="Обычный 10 2 3 2 10" xfId="15453" xr:uid="{00000000-0005-0000-0000-00000E170000}"/>
    <cellStyle name="Обычный 10 2 3 2 2" xfId="7531" xr:uid="{00000000-0005-0000-0000-00000F170000}"/>
    <cellStyle name="Обычный 10 2 3 2 3" xfId="8537" xr:uid="{00000000-0005-0000-0000-000010170000}"/>
    <cellStyle name="Обычный 10 2 3 2 4" xfId="9523" xr:uid="{00000000-0005-0000-0000-000011170000}"/>
    <cellStyle name="Обычный 10 2 3 2 5" xfId="10509" xr:uid="{00000000-0005-0000-0000-000012170000}"/>
    <cellStyle name="Обычный 10 2 3 2 6" xfId="11495" xr:uid="{00000000-0005-0000-0000-000013170000}"/>
    <cellStyle name="Обычный 10 2 3 2 7" xfId="12481" xr:uid="{00000000-0005-0000-0000-000014170000}"/>
    <cellStyle name="Обычный 10 2 3 2 8" xfId="13467" xr:uid="{00000000-0005-0000-0000-000015170000}"/>
    <cellStyle name="Обычный 10 2 3 2 9" xfId="14467" xr:uid="{00000000-0005-0000-0000-000016170000}"/>
    <cellStyle name="Обычный 10 2 3 3" xfId="6804" xr:uid="{00000000-0005-0000-0000-000017170000}"/>
    <cellStyle name="Обычный 10 2 3 3 10" xfId="15723" xr:uid="{00000000-0005-0000-0000-000018170000}"/>
    <cellStyle name="Обычный 10 2 3 3 2" xfId="7801" xr:uid="{00000000-0005-0000-0000-000019170000}"/>
    <cellStyle name="Обычный 10 2 3 3 3" xfId="8807" xr:uid="{00000000-0005-0000-0000-00001A170000}"/>
    <cellStyle name="Обычный 10 2 3 3 4" xfId="9793" xr:uid="{00000000-0005-0000-0000-00001B170000}"/>
    <cellStyle name="Обычный 10 2 3 3 5" xfId="10779" xr:uid="{00000000-0005-0000-0000-00001C170000}"/>
    <cellStyle name="Обычный 10 2 3 3 6" xfId="11765" xr:uid="{00000000-0005-0000-0000-00001D170000}"/>
    <cellStyle name="Обычный 10 2 3 3 7" xfId="12751" xr:uid="{00000000-0005-0000-0000-00001E170000}"/>
    <cellStyle name="Обычный 10 2 3 3 8" xfId="13737" xr:uid="{00000000-0005-0000-0000-00001F170000}"/>
    <cellStyle name="Обычный 10 2 3 3 9" xfId="14737" xr:uid="{00000000-0005-0000-0000-000020170000}"/>
    <cellStyle name="Обычный 10 2 3 4" xfId="7087" xr:uid="{00000000-0005-0000-0000-000021170000}"/>
    <cellStyle name="Обычный 10 2 3 5" xfId="8093" xr:uid="{00000000-0005-0000-0000-000022170000}"/>
    <cellStyle name="Обычный 10 2 3 6" xfId="9079" xr:uid="{00000000-0005-0000-0000-000023170000}"/>
    <cellStyle name="Обычный 10 2 3 7" xfId="10065" xr:uid="{00000000-0005-0000-0000-000024170000}"/>
    <cellStyle name="Обычный 10 2 3 8" xfId="11051" xr:uid="{00000000-0005-0000-0000-000025170000}"/>
    <cellStyle name="Обычный 10 2 3 9" xfId="12037" xr:uid="{00000000-0005-0000-0000-000026170000}"/>
    <cellStyle name="Обычный 10 2 4" xfId="6422" xr:uid="{00000000-0005-0000-0000-000027170000}"/>
    <cellStyle name="Обычный 10 2 4 10" xfId="15341" xr:uid="{00000000-0005-0000-0000-000028170000}"/>
    <cellStyle name="Обычный 10 2 4 2" xfId="7419" xr:uid="{00000000-0005-0000-0000-000029170000}"/>
    <cellStyle name="Обычный 10 2 4 3" xfId="8425" xr:uid="{00000000-0005-0000-0000-00002A170000}"/>
    <cellStyle name="Обычный 10 2 4 4" xfId="9411" xr:uid="{00000000-0005-0000-0000-00002B170000}"/>
    <cellStyle name="Обычный 10 2 4 5" xfId="10397" xr:uid="{00000000-0005-0000-0000-00002C170000}"/>
    <cellStyle name="Обычный 10 2 4 6" xfId="11383" xr:uid="{00000000-0005-0000-0000-00002D170000}"/>
    <cellStyle name="Обычный 10 2 4 7" xfId="12369" xr:uid="{00000000-0005-0000-0000-00002E170000}"/>
    <cellStyle name="Обычный 10 2 4 8" xfId="13355" xr:uid="{00000000-0005-0000-0000-00002F170000}"/>
    <cellStyle name="Обычный 10 2 4 9" xfId="14355" xr:uid="{00000000-0005-0000-0000-000030170000}"/>
    <cellStyle name="Обычный 10 2 5" xfId="6692" xr:uid="{00000000-0005-0000-0000-000031170000}"/>
    <cellStyle name="Обычный 10 2 5 10" xfId="15611" xr:uid="{00000000-0005-0000-0000-000032170000}"/>
    <cellStyle name="Обычный 10 2 5 2" xfId="7689" xr:uid="{00000000-0005-0000-0000-000033170000}"/>
    <cellStyle name="Обычный 10 2 5 3" xfId="8695" xr:uid="{00000000-0005-0000-0000-000034170000}"/>
    <cellStyle name="Обычный 10 2 5 4" xfId="9681" xr:uid="{00000000-0005-0000-0000-000035170000}"/>
    <cellStyle name="Обычный 10 2 5 5" xfId="10667" xr:uid="{00000000-0005-0000-0000-000036170000}"/>
    <cellStyle name="Обычный 10 2 5 6" xfId="11653" xr:uid="{00000000-0005-0000-0000-000037170000}"/>
    <cellStyle name="Обычный 10 2 5 7" xfId="12639" xr:uid="{00000000-0005-0000-0000-000038170000}"/>
    <cellStyle name="Обычный 10 2 5 8" xfId="13625" xr:uid="{00000000-0005-0000-0000-000039170000}"/>
    <cellStyle name="Обычный 10 2 5 9" xfId="14625" xr:uid="{00000000-0005-0000-0000-00003A170000}"/>
    <cellStyle name="Обычный 10 2 6" xfId="6975" xr:uid="{00000000-0005-0000-0000-00003B170000}"/>
    <cellStyle name="Обычный 10 2 7" xfId="7981" xr:uid="{00000000-0005-0000-0000-00003C170000}"/>
    <cellStyle name="Обычный 10 2 8" xfId="8967" xr:uid="{00000000-0005-0000-0000-00003D170000}"/>
    <cellStyle name="Обычный 10 2 9" xfId="9953" xr:uid="{00000000-0005-0000-0000-00003E170000}"/>
    <cellStyle name="Обычный 10 3" xfId="2609" xr:uid="{00000000-0005-0000-0000-00003F170000}"/>
    <cellStyle name="Обычный 10 4" xfId="6161" xr:uid="{00000000-0005-0000-0000-000040170000}"/>
    <cellStyle name="Обычный 11" xfId="2610" xr:uid="{00000000-0005-0000-0000-000041170000}"/>
    <cellStyle name="Обычный 11 2" xfId="3350" xr:uid="{00000000-0005-0000-0000-000042170000}"/>
    <cellStyle name="Обычный 12" xfId="2611" xr:uid="{00000000-0005-0000-0000-000043170000}"/>
    <cellStyle name="Обычный 12 2" xfId="6006" xr:uid="{00000000-0005-0000-0000-000044170000}"/>
    <cellStyle name="Обычный 13" xfId="2668" xr:uid="{00000000-0005-0000-0000-000045170000}"/>
    <cellStyle name="Обычный 14" xfId="3351" xr:uid="{00000000-0005-0000-0000-000046170000}"/>
    <cellStyle name="Обычный 15" xfId="3352" xr:uid="{00000000-0005-0000-0000-000047170000}"/>
    <cellStyle name="Обычный 15 10" xfId="10946" xr:uid="{00000000-0005-0000-0000-000048170000}"/>
    <cellStyle name="Обычный 15 11" xfId="11932" xr:uid="{00000000-0005-0000-0000-000049170000}"/>
    <cellStyle name="Обычный 15 12" xfId="12918" xr:uid="{00000000-0005-0000-0000-00004A170000}"/>
    <cellStyle name="Обычный 15 13" xfId="13918" xr:uid="{00000000-0005-0000-0000-00004B170000}"/>
    <cellStyle name="Обычный 15 14" xfId="14904" xr:uid="{00000000-0005-0000-0000-00004C170000}"/>
    <cellStyle name="Обычный 15 2" xfId="6023" xr:uid="{00000000-0005-0000-0000-00004D170000}"/>
    <cellStyle name="Обычный 15 2 10" xfId="12977" xr:uid="{00000000-0005-0000-0000-00004E170000}"/>
    <cellStyle name="Обычный 15 2 11" xfId="13977" xr:uid="{00000000-0005-0000-0000-00004F170000}"/>
    <cellStyle name="Обычный 15 2 12" xfId="14963" xr:uid="{00000000-0005-0000-0000-000050170000}"/>
    <cellStyle name="Обычный 15 2 2" xfId="6488" xr:uid="{00000000-0005-0000-0000-000051170000}"/>
    <cellStyle name="Обычный 15 2 2 10" xfId="15407" xr:uid="{00000000-0005-0000-0000-000052170000}"/>
    <cellStyle name="Обычный 15 2 2 2" xfId="7485" xr:uid="{00000000-0005-0000-0000-000053170000}"/>
    <cellStyle name="Обычный 15 2 2 3" xfId="8491" xr:uid="{00000000-0005-0000-0000-000054170000}"/>
    <cellStyle name="Обычный 15 2 2 4" xfId="9477" xr:uid="{00000000-0005-0000-0000-000055170000}"/>
    <cellStyle name="Обычный 15 2 2 5" xfId="10463" xr:uid="{00000000-0005-0000-0000-000056170000}"/>
    <cellStyle name="Обычный 15 2 2 6" xfId="11449" xr:uid="{00000000-0005-0000-0000-000057170000}"/>
    <cellStyle name="Обычный 15 2 2 7" xfId="12435" xr:uid="{00000000-0005-0000-0000-000058170000}"/>
    <cellStyle name="Обычный 15 2 2 8" xfId="13421" xr:uid="{00000000-0005-0000-0000-000059170000}"/>
    <cellStyle name="Обычный 15 2 2 9" xfId="14421" xr:uid="{00000000-0005-0000-0000-00005A170000}"/>
    <cellStyle name="Обычный 15 2 3" xfId="6758" xr:uid="{00000000-0005-0000-0000-00005B170000}"/>
    <cellStyle name="Обычный 15 2 3 10" xfId="15677" xr:uid="{00000000-0005-0000-0000-00005C170000}"/>
    <cellStyle name="Обычный 15 2 3 2" xfId="7755" xr:uid="{00000000-0005-0000-0000-00005D170000}"/>
    <cellStyle name="Обычный 15 2 3 3" xfId="8761" xr:uid="{00000000-0005-0000-0000-00005E170000}"/>
    <cellStyle name="Обычный 15 2 3 4" xfId="9747" xr:uid="{00000000-0005-0000-0000-00005F170000}"/>
    <cellStyle name="Обычный 15 2 3 5" xfId="10733" xr:uid="{00000000-0005-0000-0000-000060170000}"/>
    <cellStyle name="Обычный 15 2 3 6" xfId="11719" xr:uid="{00000000-0005-0000-0000-000061170000}"/>
    <cellStyle name="Обычный 15 2 3 7" xfId="12705" xr:uid="{00000000-0005-0000-0000-000062170000}"/>
    <cellStyle name="Обычный 15 2 3 8" xfId="13691" xr:uid="{00000000-0005-0000-0000-000063170000}"/>
    <cellStyle name="Обычный 15 2 3 9" xfId="14691" xr:uid="{00000000-0005-0000-0000-000064170000}"/>
    <cellStyle name="Обычный 15 2 4" xfId="7041" xr:uid="{00000000-0005-0000-0000-000065170000}"/>
    <cellStyle name="Обычный 15 2 5" xfId="8047" xr:uid="{00000000-0005-0000-0000-000066170000}"/>
    <cellStyle name="Обычный 15 2 6" xfId="9033" xr:uid="{00000000-0005-0000-0000-000067170000}"/>
    <cellStyle name="Обычный 15 2 7" xfId="10019" xr:uid="{00000000-0005-0000-0000-000068170000}"/>
    <cellStyle name="Обычный 15 2 8" xfId="11005" xr:uid="{00000000-0005-0000-0000-000069170000}"/>
    <cellStyle name="Обычный 15 2 9" xfId="11991" xr:uid="{00000000-0005-0000-0000-00006A170000}"/>
    <cellStyle name="Обычный 15 3" xfId="6080" xr:uid="{00000000-0005-0000-0000-00006B170000}"/>
    <cellStyle name="Обычный 15 3 10" xfId="13030" xr:uid="{00000000-0005-0000-0000-00006C170000}"/>
    <cellStyle name="Обычный 15 3 11" xfId="14030" xr:uid="{00000000-0005-0000-0000-00006D170000}"/>
    <cellStyle name="Обычный 15 3 12" xfId="15016" xr:uid="{00000000-0005-0000-0000-00006E170000}"/>
    <cellStyle name="Обычный 15 3 2" xfId="6541" xr:uid="{00000000-0005-0000-0000-00006F170000}"/>
    <cellStyle name="Обычный 15 3 2 10" xfId="15460" xr:uid="{00000000-0005-0000-0000-000070170000}"/>
    <cellStyle name="Обычный 15 3 2 2" xfId="7538" xr:uid="{00000000-0005-0000-0000-000071170000}"/>
    <cellStyle name="Обычный 15 3 2 3" xfId="8544" xr:uid="{00000000-0005-0000-0000-000072170000}"/>
    <cellStyle name="Обычный 15 3 2 4" xfId="9530" xr:uid="{00000000-0005-0000-0000-000073170000}"/>
    <cellStyle name="Обычный 15 3 2 5" xfId="10516" xr:uid="{00000000-0005-0000-0000-000074170000}"/>
    <cellStyle name="Обычный 15 3 2 6" xfId="11502" xr:uid="{00000000-0005-0000-0000-000075170000}"/>
    <cellStyle name="Обычный 15 3 2 7" xfId="12488" xr:uid="{00000000-0005-0000-0000-000076170000}"/>
    <cellStyle name="Обычный 15 3 2 8" xfId="13474" xr:uid="{00000000-0005-0000-0000-000077170000}"/>
    <cellStyle name="Обычный 15 3 2 9" xfId="14474" xr:uid="{00000000-0005-0000-0000-000078170000}"/>
    <cellStyle name="Обычный 15 3 3" xfId="6811" xr:uid="{00000000-0005-0000-0000-000079170000}"/>
    <cellStyle name="Обычный 15 3 3 10" xfId="15730" xr:uid="{00000000-0005-0000-0000-00007A170000}"/>
    <cellStyle name="Обычный 15 3 3 2" xfId="7808" xr:uid="{00000000-0005-0000-0000-00007B170000}"/>
    <cellStyle name="Обычный 15 3 3 3" xfId="8814" xr:uid="{00000000-0005-0000-0000-00007C170000}"/>
    <cellStyle name="Обычный 15 3 3 4" xfId="9800" xr:uid="{00000000-0005-0000-0000-00007D170000}"/>
    <cellStyle name="Обычный 15 3 3 5" xfId="10786" xr:uid="{00000000-0005-0000-0000-00007E170000}"/>
    <cellStyle name="Обычный 15 3 3 6" xfId="11772" xr:uid="{00000000-0005-0000-0000-00007F170000}"/>
    <cellStyle name="Обычный 15 3 3 7" xfId="12758" xr:uid="{00000000-0005-0000-0000-000080170000}"/>
    <cellStyle name="Обычный 15 3 3 8" xfId="13744" xr:uid="{00000000-0005-0000-0000-000081170000}"/>
    <cellStyle name="Обычный 15 3 3 9" xfId="14744" xr:uid="{00000000-0005-0000-0000-000082170000}"/>
    <cellStyle name="Обычный 15 3 4" xfId="7094" xr:uid="{00000000-0005-0000-0000-000083170000}"/>
    <cellStyle name="Обычный 15 3 5" xfId="8100" xr:uid="{00000000-0005-0000-0000-000084170000}"/>
    <cellStyle name="Обычный 15 3 6" xfId="9086" xr:uid="{00000000-0005-0000-0000-000085170000}"/>
    <cellStyle name="Обычный 15 3 7" xfId="10072" xr:uid="{00000000-0005-0000-0000-000086170000}"/>
    <cellStyle name="Обычный 15 3 8" xfId="11058" xr:uid="{00000000-0005-0000-0000-000087170000}"/>
    <cellStyle name="Обычный 15 3 9" xfId="12044" xr:uid="{00000000-0005-0000-0000-000088170000}"/>
    <cellStyle name="Обычный 15 4" xfId="6429" xr:uid="{00000000-0005-0000-0000-000089170000}"/>
    <cellStyle name="Обычный 15 4 10" xfId="15348" xr:uid="{00000000-0005-0000-0000-00008A170000}"/>
    <cellStyle name="Обычный 15 4 2" xfId="7426" xr:uid="{00000000-0005-0000-0000-00008B170000}"/>
    <cellStyle name="Обычный 15 4 3" xfId="8432" xr:uid="{00000000-0005-0000-0000-00008C170000}"/>
    <cellStyle name="Обычный 15 4 4" xfId="9418" xr:uid="{00000000-0005-0000-0000-00008D170000}"/>
    <cellStyle name="Обычный 15 4 5" xfId="10404" xr:uid="{00000000-0005-0000-0000-00008E170000}"/>
    <cellStyle name="Обычный 15 4 6" xfId="11390" xr:uid="{00000000-0005-0000-0000-00008F170000}"/>
    <cellStyle name="Обычный 15 4 7" xfId="12376" xr:uid="{00000000-0005-0000-0000-000090170000}"/>
    <cellStyle name="Обычный 15 4 8" xfId="13362" xr:uid="{00000000-0005-0000-0000-000091170000}"/>
    <cellStyle name="Обычный 15 4 9" xfId="14362" xr:uid="{00000000-0005-0000-0000-000092170000}"/>
    <cellStyle name="Обычный 15 5" xfId="6699" xr:uid="{00000000-0005-0000-0000-000093170000}"/>
    <cellStyle name="Обычный 15 5 10" xfId="15618" xr:uid="{00000000-0005-0000-0000-000094170000}"/>
    <cellStyle name="Обычный 15 5 2" xfId="7696" xr:uid="{00000000-0005-0000-0000-000095170000}"/>
    <cellStyle name="Обычный 15 5 3" xfId="8702" xr:uid="{00000000-0005-0000-0000-000096170000}"/>
    <cellStyle name="Обычный 15 5 4" xfId="9688" xr:uid="{00000000-0005-0000-0000-000097170000}"/>
    <cellStyle name="Обычный 15 5 5" xfId="10674" xr:uid="{00000000-0005-0000-0000-000098170000}"/>
    <cellStyle name="Обычный 15 5 6" xfId="11660" xr:uid="{00000000-0005-0000-0000-000099170000}"/>
    <cellStyle name="Обычный 15 5 7" xfId="12646" xr:uid="{00000000-0005-0000-0000-00009A170000}"/>
    <cellStyle name="Обычный 15 5 8" xfId="13632" xr:uid="{00000000-0005-0000-0000-00009B170000}"/>
    <cellStyle name="Обычный 15 5 9" xfId="14632" xr:uid="{00000000-0005-0000-0000-00009C170000}"/>
    <cellStyle name="Обычный 15 6" xfId="6982" xr:uid="{00000000-0005-0000-0000-00009D170000}"/>
    <cellStyle name="Обычный 15 7" xfId="7988" xr:uid="{00000000-0005-0000-0000-00009E170000}"/>
    <cellStyle name="Обычный 15 8" xfId="8974" xr:uid="{00000000-0005-0000-0000-00009F170000}"/>
    <cellStyle name="Обычный 15 9" xfId="9960" xr:uid="{00000000-0005-0000-0000-0000A0170000}"/>
    <cellStyle name="Обычный 16" xfId="3353" xr:uid="{00000000-0005-0000-0000-0000A1170000}"/>
    <cellStyle name="Обычный 16 10" xfId="10947" xr:uid="{00000000-0005-0000-0000-0000A2170000}"/>
    <cellStyle name="Обычный 16 11" xfId="11933" xr:uid="{00000000-0005-0000-0000-0000A3170000}"/>
    <cellStyle name="Обычный 16 12" xfId="12919" xr:uid="{00000000-0005-0000-0000-0000A4170000}"/>
    <cellStyle name="Обычный 16 13" xfId="13919" xr:uid="{00000000-0005-0000-0000-0000A5170000}"/>
    <cellStyle name="Обычный 16 14" xfId="14905" xr:uid="{00000000-0005-0000-0000-0000A6170000}"/>
    <cellStyle name="Обычный 16 2" xfId="6024" xr:uid="{00000000-0005-0000-0000-0000A7170000}"/>
    <cellStyle name="Обычный 16 2 10" xfId="12978" xr:uid="{00000000-0005-0000-0000-0000A8170000}"/>
    <cellStyle name="Обычный 16 2 11" xfId="13978" xr:uid="{00000000-0005-0000-0000-0000A9170000}"/>
    <cellStyle name="Обычный 16 2 12" xfId="14964" xr:uid="{00000000-0005-0000-0000-0000AA170000}"/>
    <cellStyle name="Обычный 16 2 2" xfId="6489" xr:uid="{00000000-0005-0000-0000-0000AB170000}"/>
    <cellStyle name="Обычный 16 2 2 10" xfId="15408" xr:uid="{00000000-0005-0000-0000-0000AC170000}"/>
    <cellStyle name="Обычный 16 2 2 2" xfId="7486" xr:uid="{00000000-0005-0000-0000-0000AD170000}"/>
    <cellStyle name="Обычный 16 2 2 3" xfId="8492" xr:uid="{00000000-0005-0000-0000-0000AE170000}"/>
    <cellStyle name="Обычный 16 2 2 4" xfId="9478" xr:uid="{00000000-0005-0000-0000-0000AF170000}"/>
    <cellStyle name="Обычный 16 2 2 5" xfId="10464" xr:uid="{00000000-0005-0000-0000-0000B0170000}"/>
    <cellStyle name="Обычный 16 2 2 6" xfId="11450" xr:uid="{00000000-0005-0000-0000-0000B1170000}"/>
    <cellStyle name="Обычный 16 2 2 7" xfId="12436" xr:uid="{00000000-0005-0000-0000-0000B2170000}"/>
    <cellStyle name="Обычный 16 2 2 8" xfId="13422" xr:uid="{00000000-0005-0000-0000-0000B3170000}"/>
    <cellStyle name="Обычный 16 2 2 9" xfId="14422" xr:uid="{00000000-0005-0000-0000-0000B4170000}"/>
    <cellStyle name="Обычный 16 2 3" xfId="6759" xr:uid="{00000000-0005-0000-0000-0000B5170000}"/>
    <cellStyle name="Обычный 16 2 3 10" xfId="15678" xr:uid="{00000000-0005-0000-0000-0000B6170000}"/>
    <cellStyle name="Обычный 16 2 3 2" xfId="7756" xr:uid="{00000000-0005-0000-0000-0000B7170000}"/>
    <cellStyle name="Обычный 16 2 3 3" xfId="8762" xr:uid="{00000000-0005-0000-0000-0000B8170000}"/>
    <cellStyle name="Обычный 16 2 3 4" xfId="9748" xr:uid="{00000000-0005-0000-0000-0000B9170000}"/>
    <cellStyle name="Обычный 16 2 3 5" xfId="10734" xr:uid="{00000000-0005-0000-0000-0000BA170000}"/>
    <cellStyle name="Обычный 16 2 3 6" xfId="11720" xr:uid="{00000000-0005-0000-0000-0000BB170000}"/>
    <cellStyle name="Обычный 16 2 3 7" xfId="12706" xr:uid="{00000000-0005-0000-0000-0000BC170000}"/>
    <cellStyle name="Обычный 16 2 3 8" xfId="13692" xr:uid="{00000000-0005-0000-0000-0000BD170000}"/>
    <cellStyle name="Обычный 16 2 3 9" xfId="14692" xr:uid="{00000000-0005-0000-0000-0000BE170000}"/>
    <cellStyle name="Обычный 16 2 4" xfId="7042" xr:uid="{00000000-0005-0000-0000-0000BF170000}"/>
    <cellStyle name="Обычный 16 2 5" xfId="8048" xr:uid="{00000000-0005-0000-0000-0000C0170000}"/>
    <cellStyle name="Обычный 16 2 6" xfId="9034" xr:uid="{00000000-0005-0000-0000-0000C1170000}"/>
    <cellStyle name="Обычный 16 2 7" xfId="10020" xr:uid="{00000000-0005-0000-0000-0000C2170000}"/>
    <cellStyle name="Обычный 16 2 8" xfId="11006" xr:uid="{00000000-0005-0000-0000-0000C3170000}"/>
    <cellStyle name="Обычный 16 2 9" xfId="11992" xr:uid="{00000000-0005-0000-0000-0000C4170000}"/>
    <cellStyle name="Обычный 16 3" xfId="6081" xr:uid="{00000000-0005-0000-0000-0000C5170000}"/>
    <cellStyle name="Обычный 16 3 10" xfId="13031" xr:uid="{00000000-0005-0000-0000-0000C6170000}"/>
    <cellStyle name="Обычный 16 3 11" xfId="14031" xr:uid="{00000000-0005-0000-0000-0000C7170000}"/>
    <cellStyle name="Обычный 16 3 12" xfId="15017" xr:uid="{00000000-0005-0000-0000-0000C8170000}"/>
    <cellStyle name="Обычный 16 3 2" xfId="6542" xr:uid="{00000000-0005-0000-0000-0000C9170000}"/>
    <cellStyle name="Обычный 16 3 2 10" xfId="15461" xr:uid="{00000000-0005-0000-0000-0000CA170000}"/>
    <cellStyle name="Обычный 16 3 2 2" xfId="7539" xr:uid="{00000000-0005-0000-0000-0000CB170000}"/>
    <cellStyle name="Обычный 16 3 2 3" xfId="8545" xr:uid="{00000000-0005-0000-0000-0000CC170000}"/>
    <cellStyle name="Обычный 16 3 2 4" xfId="9531" xr:uid="{00000000-0005-0000-0000-0000CD170000}"/>
    <cellStyle name="Обычный 16 3 2 5" xfId="10517" xr:uid="{00000000-0005-0000-0000-0000CE170000}"/>
    <cellStyle name="Обычный 16 3 2 6" xfId="11503" xr:uid="{00000000-0005-0000-0000-0000CF170000}"/>
    <cellStyle name="Обычный 16 3 2 7" xfId="12489" xr:uid="{00000000-0005-0000-0000-0000D0170000}"/>
    <cellStyle name="Обычный 16 3 2 8" xfId="13475" xr:uid="{00000000-0005-0000-0000-0000D1170000}"/>
    <cellStyle name="Обычный 16 3 2 9" xfId="14475" xr:uid="{00000000-0005-0000-0000-0000D2170000}"/>
    <cellStyle name="Обычный 16 3 3" xfId="6812" xr:uid="{00000000-0005-0000-0000-0000D3170000}"/>
    <cellStyle name="Обычный 16 3 3 10" xfId="15731" xr:uid="{00000000-0005-0000-0000-0000D4170000}"/>
    <cellStyle name="Обычный 16 3 3 2" xfId="7809" xr:uid="{00000000-0005-0000-0000-0000D5170000}"/>
    <cellStyle name="Обычный 16 3 3 3" xfId="8815" xr:uid="{00000000-0005-0000-0000-0000D6170000}"/>
    <cellStyle name="Обычный 16 3 3 4" xfId="9801" xr:uid="{00000000-0005-0000-0000-0000D7170000}"/>
    <cellStyle name="Обычный 16 3 3 5" xfId="10787" xr:uid="{00000000-0005-0000-0000-0000D8170000}"/>
    <cellStyle name="Обычный 16 3 3 6" xfId="11773" xr:uid="{00000000-0005-0000-0000-0000D9170000}"/>
    <cellStyle name="Обычный 16 3 3 7" xfId="12759" xr:uid="{00000000-0005-0000-0000-0000DA170000}"/>
    <cellStyle name="Обычный 16 3 3 8" xfId="13745" xr:uid="{00000000-0005-0000-0000-0000DB170000}"/>
    <cellStyle name="Обычный 16 3 3 9" xfId="14745" xr:uid="{00000000-0005-0000-0000-0000DC170000}"/>
    <cellStyle name="Обычный 16 3 4" xfId="7095" xr:uid="{00000000-0005-0000-0000-0000DD170000}"/>
    <cellStyle name="Обычный 16 3 5" xfId="8101" xr:uid="{00000000-0005-0000-0000-0000DE170000}"/>
    <cellStyle name="Обычный 16 3 6" xfId="9087" xr:uid="{00000000-0005-0000-0000-0000DF170000}"/>
    <cellStyle name="Обычный 16 3 7" xfId="10073" xr:uid="{00000000-0005-0000-0000-0000E0170000}"/>
    <cellStyle name="Обычный 16 3 8" xfId="11059" xr:uid="{00000000-0005-0000-0000-0000E1170000}"/>
    <cellStyle name="Обычный 16 3 9" xfId="12045" xr:uid="{00000000-0005-0000-0000-0000E2170000}"/>
    <cellStyle name="Обычный 16 4" xfId="6430" xr:uid="{00000000-0005-0000-0000-0000E3170000}"/>
    <cellStyle name="Обычный 16 4 10" xfId="15349" xr:uid="{00000000-0005-0000-0000-0000E4170000}"/>
    <cellStyle name="Обычный 16 4 2" xfId="7427" xr:uid="{00000000-0005-0000-0000-0000E5170000}"/>
    <cellStyle name="Обычный 16 4 3" xfId="8433" xr:uid="{00000000-0005-0000-0000-0000E6170000}"/>
    <cellStyle name="Обычный 16 4 4" xfId="9419" xr:uid="{00000000-0005-0000-0000-0000E7170000}"/>
    <cellStyle name="Обычный 16 4 5" xfId="10405" xr:uid="{00000000-0005-0000-0000-0000E8170000}"/>
    <cellStyle name="Обычный 16 4 6" xfId="11391" xr:uid="{00000000-0005-0000-0000-0000E9170000}"/>
    <cellStyle name="Обычный 16 4 7" xfId="12377" xr:uid="{00000000-0005-0000-0000-0000EA170000}"/>
    <cellStyle name="Обычный 16 4 8" xfId="13363" xr:uid="{00000000-0005-0000-0000-0000EB170000}"/>
    <cellStyle name="Обычный 16 4 9" xfId="14363" xr:uid="{00000000-0005-0000-0000-0000EC170000}"/>
    <cellStyle name="Обычный 16 5" xfId="6700" xr:uid="{00000000-0005-0000-0000-0000ED170000}"/>
    <cellStyle name="Обычный 16 5 10" xfId="15619" xr:uid="{00000000-0005-0000-0000-0000EE170000}"/>
    <cellStyle name="Обычный 16 5 2" xfId="7697" xr:uid="{00000000-0005-0000-0000-0000EF170000}"/>
    <cellStyle name="Обычный 16 5 3" xfId="8703" xr:uid="{00000000-0005-0000-0000-0000F0170000}"/>
    <cellStyle name="Обычный 16 5 4" xfId="9689" xr:uid="{00000000-0005-0000-0000-0000F1170000}"/>
    <cellStyle name="Обычный 16 5 5" xfId="10675" xr:uid="{00000000-0005-0000-0000-0000F2170000}"/>
    <cellStyle name="Обычный 16 5 6" xfId="11661" xr:uid="{00000000-0005-0000-0000-0000F3170000}"/>
    <cellStyle name="Обычный 16 5 7" xfId="12647" xr:uid="{00000000-0005-0000-0000-0000F4170000}"/>
    <cellStyle name="Обычный 16 5 8" xfId="13633" xr:uid="{00000000-0005-0000-0000-0000F5170000}"/>
    <cellStyle name="Обычный 16 5 9" xfId="14633" xr:uid="{00000000-0005-0000-0000-0000F6170000}"/>
    <cellStyle name="Обычный 16 6" xfId="6983" xr:uid="{00000000-0005-0000-0000-0000F7170000}"/>
    <cellStyle name="Обычный 16 7" xfId="7989" xr:uid="{00000000-0005-0000-0000-0000F8170000}"/>
    <cellStyle name="Обычный 16 8" xfId="8975" xr:uid="{00000000-0005-0000-0000-0000F9170000}"/>
    <cellStyle name="Обычный 16 9" xfId="9961" xr:uid="{00000000-0005-0000-0000-0000FA170000}"/>
    <cellStyle name="Обычный 17" xfId="3354" xr:uid="{00000000-0005-0000-0000-0000FB170000}"/>
    <cellStyle name="Обычный 17 10" xfId="10948" xr:uid="{00000000-0005-0000-0000-0000FC170000}"/>
    <cellStyle name="Обычный 17 11" xfId="11934" xr:uid="{00000000-0005-0000-0000-0000FD170000}"/>
    <cellStyle name="Обычный 17 12" xfId="12920" xr:uid="{00000000-0005-0000-0000-0000FE170000}"/>
    <cellStyle name="Обычный 17 13" xfId="13920" xr:uid="{00000000-0005-0000-0000-0000FF170000}"/>
    <cellStyle name="Обычный 17 14" xfId="14906" xr:uid="{00000000-0005-0000-0000-000000180000}"/>
    <cellStyle name="Обычный 17 2" xfId="6025" xr:uid="{00000000-0005-0000-0000-000001180000}"/>
    <cellStyle name="Обычный 17 2 10" xfId="12979" xr:uid="{00000000-0005-0000-0000-000002180000}"/>
    <cellStyle name="Обычный 17 2 11" xfId="13979" xr:uid="{00000000-0005-0000-0000-000003180000}"/>
    <cellStyle name="Обычный 17 2 12" xfId="14965" xr:uid="{00000000-0005-0000-0000-000004180000}"/>
    <cellStyle name="Обычный 17 2 2" xfId="6490" xr:uid="{00000000-0005-0000-0000-000005180000}"/>
    <cellStyle name="Обычный 17 2 2 10" xfId="15409" xr:uid="{00000000-0005-0000-0000-000006180000}"/>
    <cellStyle name="Обычный 17 2 2 2" xfId="7487" xr:uid="{00000000-0005-0000-0000-000007180000}"/>
    <cellStyle name="Обычный 17 2 2 3" xfId="8493" xr:uid="{00000000-0005-0000-0000-000008180000}"/>
    <cellStyle name="Обычный 17 2 2 4" xfId="9479" xr:uid="{00000000-0005-0000-0000-000009180000}"/>
    <cellStyle name="Обычный 17 2 2 5" xfId="10465" xr:uid="{00000000-0005-0000-0000-00000A180000}"/>
    <cellStyle name="Обычный 17 2 2 6" xfId="11451" xr:uid="{00000000-0005-0000-0000-00000B180000}"/>
    <cellStyle name="Обычный 17 2 2 7" xfId="12437" xr:uid="{00000000-0005-0000-0000-00000C180000}"/>
    <cellStyle name="Обычный 17 2 2 8" xfId="13423" xr:uid="{00000000-0005-0000-0000-00000D180000}"/>
    <cellStyle name="Обычный 17 2 2 9" xfId="14423" xr:uid="{00000000-0005-0000-0000-00000E180000}"/>
    <cellStyle name="Обычный 17 2 3" xfId="6760" xr:uid="{00000000-0005-0000-0000-00000F180000}"/>
    <cellStyle name="Обычный 17 2 3 10" xfId="15679" xr:uid="{00000000-0005-0000-0000-000010180000}"/>
    <cellStyle name="Обычный 17 2 3 2" xfId="7757" xr:uid="{00000000-0005-0000-0000-000011180000}"/>
    <cellStyle name="Обычный 17 2 3 3" xfId="8763" xr:uid="{00000000-0005-0000-0000-000012180000}"/>
    <cellStyle name="Обычный 17 2 3 4" xfId="9749" xr:uid="{00000000-0005-0000-0000-000013180000}"/>
    <cellStyle name="Обычный 17 2 3 5" xfId="10735" xr:uid="{00000000-0005-0000-0000-000014180000}"/>
    <cellStyle name="Обычный 17 2 3 6" xfId="11721" xr:uid="{00000000-0005-0000-0000-000015180000}"/>
    <cellStyle name="Обычный 17 2 3 7" xfId="12707" xr:uid="{00000000-0005-0000-0000-000016180000}"/>
    <cellStyle name="Обычный 17 2 3 8" xfId="13693" xr:uid="{00000000-0005-0000-0000-000017180000}"/>
    <cellStyle name="Обычный 17 2 3 9" xfId="14693" xr:uid="{00000000-0005-0000-0000-000018180000}"/>
    <cellStyle name="Обычный 17 2 4" xfId="7043" xr:uid="{00000000-0005-0000-0000-000019180000}"/>
    <cellStyle name="Обычный 17 2 5" xfId="8049" xr:uid="{00000000-0005-0000-0000-00001A180000}"/>
    <cellStyle name="Обычный 17 2 6" xfId="9035" xr:uid="{00000000-0005-0000-0000-00001B180000}"/>
    <cellStyle name="Обычный 17 2 7" xfId="10021" xr:uid="{00000000-0005-0000-0000-00001C180000}"/>
    <cellStyle name="Обычный 17 2 8" xfId="11007" xr:uid="{00000000-0005-0000-0000-00001D180000}"/>
    <cellStyle name="Обычный 17 2 9" xfId="11993" xr:uid="{00000000-0005-0000-0000-00001E180000}"/>
    <cellStyle name="Обычный 17 3" xfId="6082" xr:uid="{00000000-0005-0000-0000-00001F180000}"/>
    <cellStyle name="Обычный 17 3 10" xfId="13032" xr:uid="{00000000-0005-0000-0000-000020180000}"/>
    <cellStyle name="Обычный 17 3 11" xfId="14032" xr:uid="{00000000-0005-0000-0000-000021180000}"/>
    <cellStyle name="Обычный 17 3 12" xfId="15018" xr:uid="{00000000-0005-0000-0000-000022180000}"/>
    <cellStyle name="Обычный 17 3 2" xfId="6543" xr:uid="{00000000-0005-0000-0000-000023180000}"/>
    <cellStyle name="Обычный 17 3 2 10" xfId="15462" xr:uid="{00000000-0005-0000-0000-000024180000}"/>
    <cellStyle name="Обычный 17 3 2 2" xfId="7540" xr:uid="{00000000-0005-0000-0000-000025180000}"/>
    <cellStyle name="Обычный 17 3 2 3" xfId="8546" xr:uid="{00000000-0005-0000-0000-000026180000}"/>
    <cellStyle name="Обычный 17 3 2 4" xfId="9532" xr:uid="{00000000-0005-0000-0000-000027180000}"/>
    <cellStyle name="Обычный 17 3 2 5" xfId="10518" xr:uid="{00000000-0005-0000-0000-000028180000}"/>
    <cellStyle name="Обычный 17 3 2 6" xfId="11504" xr:uid="{00000000-0005-0000-0000-000029180000}"/>
    <cellStyle name="Обычный 17 3 2 7" xfId="12490" xr:uid="{00000000-0005-0000-0000-00002A180000}"/>
    <cellStyle name="Обычный 17 3 2 8" xfId="13476" xr:uid="{00000000-0005-0000-0000-00002B180000}"/>
    <cellStyle name="Обычный 17 3 2 9" xfId="14476" xr:uid="{00000000-0005-0000-0000-00002C180000}"/>
    <cellStyle name="Обычный 17 3 3" xfId="6813" xr:uid="{00000000-0005-0000-0000-00002D180000}"/>
    <cellStyle name="Обычный 17 3 3 10" xfId="15732" xr:uid="{00000000-0005-0000-0000-00002E180000}"/>
    <cellStyle name="Обычный 17 3 3 2" xfId="7810" xr:uid="{00000000-0005-0000-0000-00002F180000}"/>
    <cellStyle name="Обычный 17 3 3 3" xfId="8816" xr:uid="{00000000-0005-0000-0000-000030180000}"/>
    <cellStyle name="Обычный 17 3 3 4" xfId="9802" xr:uid="{00000000-0005-0000-0000-000031180000}"/>
    <cellStyle name="Обычный 17 3 3 5" xfId="10788" xr:uid="{00000000-0005-0000-0000-000032180000}"/>
    <cellStyle name="Обычный 17 3 3 6" xfId="11774" xr:uid="{00000000-0005-0000-0000-000033180000}"/>
    <cellStyle name="Обычный 17 3 3 7" xfId="12760" xr:uid="{00000000-0005-0000-0000-000034180000}"/>
    <cellStyle name="Обычный 17 3 3 8" xfId="13746" xr:uid="{00000000-0005-0000-0000-000035180000}"/>
    <cellStyle name="Обычный 17 3 3 9" xfId="14746" xr:uid="{00000000-0005-0000-0000-000036180000}"/>
    <cellStyle name="Обычный 17 3 4" xfId="7096" xr:uid="{00000000-0005-0000-0000-000037180000}"/>
    <cellStyle name="Обычный 17 3 5" xfId="8102" xr:uid="{00000000-0005-0000-0000-000038180000}"/>
    <cellStyle name="Обычный 17 3 6" xfId="9088" xr:uid="{00000000-0005-0000-0000-000039180000}"/>
    <cellStyle name="Обычный 17 3 7" xfId="10074" xr:uid="{00000000-0005-0000-0000-00003A180000}"/>
    <cellStyle name="Обычный 17 3 8" xfId="11060" xr:uid="{00000000-0005-0000-0000-00003B180000}"/>
    <cellStyle name="Обычный 17 3 9" xfId="12046" xr:uid="{00000000-0005-0000-0000-00003C180000}"/>
    <cellStyle name="Обычный 17 4" xfId="6431" xr:uid="{00000000-0005-0000-0000-00003D180000}"/>
    <cellStyle name="Обычный 17 4 10" xfId="15350" xr:uid="{00000000-0005-0000-0000-00003E180000}"/>
    <cellStyle name="Обычный 17 4 2" xfId="7428" xr:uid="{00000000-0005-0000-0000-00003F180000}"/>
    <cellStyle name="Обычный 17 4 3" xfId="8434" xr:uid="{00000000-0005-0000-0000-000040180000}"/>
    <cellStyle name="Обычный 17 4 4" xfId="9420" xr:uid="{00000000-0005-0000-0000-000041180000}"/>
    <cellStyle name="Обычный 17 4 5" xfId="10406" xr:uid="{00000000-0005-0000-0000-000042180000}"/>
    <cellStyle name="Обычный 17 4 6" xfId="11392" xr:uid="{00000000-0005-0000-0000-000043180000}"/>
    <cellStyle name="Обычный 17 4 7" xfId="12378" xr:uid="{00000000-0005-0000-0000-000044180000}"/>
    <cellStyle name="Обычный 17 4 8" xfId="13364" xr:uid="{00000000-0005-0000-0000-000045180000}"/>
    <cellStyle name="Обычный 17 4 9" xfId="14364" xr:uid="{00000000-0005-0000-0000-000046180000}"/>
    <cellStyle name="Обычный 17 5" xfId="6701" xr:uid="{00000000-0005-0000-0000-000047180000}"/>
    <cellStyle name="Обычный 17 5 10" xfId="15620" xr:uid="{00000000-0005-0000-0000-000048180000}"/>
    <cellStyle name="Обычный 17 5 2" xfId="7698" xr:uid="{00000000-0005-0000-0000-000049180000}"/>
    <cellStyle name="Обычный 17 5 3" xfId="8704" xr:uid="{00000000-0005-0000-0000-00004A180000}"/>
    <cellStyle name="Обычный 17 5 4" xfId="9690" xr:uid="{00000000-0005-0000-0000-00004B180000}"/>
    <cellStyle name="Обычный 17 5 5" xfId="10676" xr:uid="{00000000-0005-0000-0000-00004C180000}"/>
    <cellStyle name="Обычный 17 5 6" xfId="11662" xr:uid="{00000000-0005-0000-0000-00004D180000}"/>
    <cellStyle name="Обычный 17 5 7" xfId="12648" xr:uid="{00000000-0005-0000-0000-00004E180000}"/>
    <cellStyle name="Обычный 17 5 8" xfId="13634" xr:uid="{00000000-0005-0000-0000-00004F180000}"/>
    <cellStyle name="Обычный 17 5 9" xfId="14634" xr:uid="{00000000-0005-0000-0000-000050180000}"/>
    <cellStyle name="Обычный 17 6" xfId="6984" xr:uid="{00000000-0005-0000-0000-000051180000}"/>
    <cellStyle name="Обычный 17 7" xfId="7990" xr:uid="{00000000-0005-0000-0000-000052180000}"/>
    <cellStyle name="Обычный 17 8" xfId="8976" xr:uid="{00000000-0005-0000-0000-000053180000}"/>
    <cellStyle name="Обычный 17 9" xfId="9962" xr:uid="{00000000-0005-0000-0000-000054180000}"/>
    <cellStyle name="Обычный 18" xfId="3355" xr:uid="{00000000-0005-0000-0000-000055180000}"/>
    <cellStyle name="Обычный 18 10" xfId="10949" xr:uid="{00000000-0005-0000-0000-000056180000}"/>
    <cellStyle name="Обычный 18 11" xfId="11935" xr:uid="{00000000-0005-0000-0000-000057180000}"/>
    <cellStyle name="Обычный 18 12" xfId="12921" xr:uid="{00000000-0005-0000-0000-000058180000}"/>
    <cellStyle name="Обычный 18 13" xfId="13921" xr:uid="{00000000-0005-0000-0000-000059180000}"/>
    <cellStyle name="Обычный 18 14" xfId="14907" xr:uid="{00000000-0005-0000-0000-00005A180000}"/>
    <cellStyle name="Обычный 18 2" xfId="6026" xr:uid="{00000000-0005-0000-0000-00005B180000}"/>
    <cellStyle name="Обычный 18 2 10" xfId="12980" xr:uid="{00000000-0005-0000-0000-00005C180000}"/>
    <cellStyle name="Обычный 18 2 11" xfId="13980" xr:uid="{00000000-0005-0000-0000-00005D180000}"/>
    <cellStyle name="Обычный 18 2 12" xfId="14966" xr:uid="{00000000-0005-0000-0000-00005E180000}"/>
    <cellStyle name="Обычный 18 2 2" xfId="6491" xr:uid="{00000000-0005-0000-0000-00005F180000}"/>
    <cellStyle name="Обычный 18 2 2 10" xfId="15410" xr:uid="{00000000-0005-0000-0000-000060180000}"/>
    <cellStyle name="Обычный 18 2 2 2" xfId="7488" xr:uid="{00000000-0005-0000-0000-000061180000}"/>
    <cellStyle name="Обычный 18 2 2 3" xfId="8494" xr:uid="{00000000-0005-0000-0000-000062180000}"/>
    <cellStyle name="Обычный 18 2 2 4" xfId="9480" xr:uid="{00000000-0005-0000-0000-000063180000}"/>
    <cellStyle name="Обычный 18 2 2 5" xfId="10466" xr:uid="{00000000-0005-0000-0000-000064180000}"/>
    <cellStyle name="Обычный 18 2 2 6" xfId="11452" xr:uid="{00000000-0005-0000-0000-000065180000}"/>
    <cellStyle name="Обычный 18 2 2 7" xfId="12438" xr:uid="{00000000-0005-0000-0000-000066180000}"/>
    <cellStyle name="Обычный 18 2 2 8" xfId="13424" xr:uid="{00000000-0005-0000-0000-000067180000}"/>
    <cellStyle name="Обычный 18 2 2 9" xfId="14424" xr:uid="{00000000-0005-0000-0000-000068180000}"/>
    <cellStyle name="Обычный 18 2 3" xfId="6761" xr:uid="{00000000-0005-0000-0000-000069180000}"/>
    <cellStyle name="Обычный 18 2 3 10" xfId="15680" xr:uid="{00000000-0005-0000-0000-00006A180000}"/>
    <cellStyle name="Обычный 18 2 3 2" xfId="7758" xr:uid="{00000000-0005-0000-0000-00006B180000}"/>
    <cellStyle name="Обычный 18 2 3 3" xfId="8764" xr:uid="{00000000-0005-0000-0000-00006C180000}"/>
    <cellStyle name="Обычный 18 2 3 4" xfId="9750" xr:uid="{00000000-0005-0000-0000-00006D180000}"/>
    <cellStyle name="Обычный 18 2 3 5" xfId="10736" xr:uid="{00000000-0005-0000-0000-00006E180000}"/>
    <cellStyle name="Обычный 18 2 3 6" xfId="11722" xr:uid="{00000000-0005-0000-0000-00006F180000}"/>
    <cellStyle name="Обычный 18 2 3 7" xfId="12708" xr:uid="{00000000-0005-0000-0000-000070180000}"/>
    <cellStyle name="Обычный 18 2 3 8" xfId="13694" xr:uid="{00000000-0005-0000-0000-000071180000}"/>
    <cellStyle name="Обычный 18 2 3 9" xfId="14694" xr:uid="{00000000-0005-0000-0000-000072180000}"/>
    <cellStyle name="Обычный 18 2 4" xfId="7044" xr:uid="{00000000-0005-0000-0000-000073180000}"/>
    <cellStyle name="Обычный 18 2 5" xfId="8050" xr:uid="{00000000-0005-0000-0000-000074180000}"/>
    <cellStyle name="Обычный 18 2 6" xfId="9036" xr:uid="{00000000-0005-0000-0000-000075180000}"/>
    <cellStyle name="Обычный 18 2 7" xfId="10022" xr:uid="{00000000-0005-0000-0000-000076180000}"/>
    <cellStyle name="Обычный 18 2 8" xfId="11008" xr:uid="{00000000-0005-0000-0000-000077180000}"/>
    <cellStyle name="Обычный 18 2 9" xfId="11994" xr:uid="{00000000-0005-0000-0000-000078180000}"/>
    <cellStyle name="Обычный 18 3" xfId="6083" xr:uid="{00000000-0005-0000-0000-000079180000}"/>
    <cellStyle name="Обычный 18 3 10" xfId="13033" xr:uid="{00000000-0005-0000-0000-00007A180000}"/>
    <cellStyle name="Обычный 18 3 11" xfId="14033" xr:uid="{00000000-0005-0000-0000-00007B180000}"/>
    <cellStyle name="Обычный 18 3 12" xfId="15019" xr:uid="{00000000-0005-0000-0000-00007C180000}"/>
    <cellStyle name="Обычный 18 3 2" xfId="6544" xr:uid="{00000000-0005-0000-0000-00007D180000}"/>
    <cellStyle name="Обычный 18 3 2 10" xfId="15463" xr:uid="{00000000-0005-0000-0000-00007E180000}"/>
    <cellStyle name="Обычный 18 3 2 2" xfId="7541" xr:uid="{00000000-0005-0000-0000-00007F180000}"/>
    <cellStyle name="Обычный 18 3 2 3" xfId="8547" xr:uid="{00000000-0005-0000-0000-000080180000}"/>
    <cellStyle name="Обычный 18 3 2 4" xfId="9533" xr:uid="{00000000-0005-0000-0000-000081180000}"/>
    <cellStyle name="Обычный 18 3 2 5" xfId="10519" xr:uid="{00000000-0005-0000-0000-000082180000}"/>
    <cellStyle name="Обычный 18 3 2 6" xfId="11505" xr:uid="{00000000-0005-0000-0000-000083180000}"/>
    <cellStyle name="Обычный 18 3 2 7" xfId="12491" xr:uid="{00000000-0005-0000-0000-000084180000}"/>
    <cellStyle name="Обычный 18 3 2 8" xfId="13477" xr:uid="{00000000-0005-0000-0000-000085180000}"/>
    <cellStyle name="Обычный 18 3 2 9" xfId="14477" xr:uid="{00000000-0005-0000-0000-000086180000}"/>
    <cellStyle name="Обычный 18 3 3" xfId="6814" xr:uid="{00000000-0005-0000-0000-000087180000}"/>
    <cellStyle name="Обычный 18 3 3 10" xfId="15733" xr:uid="{00000000-0005-0000-0000-000088180000}"/>
    <cellStyle name="Обычный 18 3 3 2" xfId="7811" xr:uid="{00000000-0005-0000-0000-000089180000}"/>
    <cellStyle name="Обычный 18 3 3 3" xfId="8817" xr:uid="{00000000-0005-0000-0000-00008A180000}"/>
    <cellStyle name="Обычный 18 3 3 4" xfId="9803" xr:uid="{00000000-0005-0000-0000-00008B180000}"/>
    <cellStyle name="Обычный 18 3 3 5" xfId="10789" xr:uid="{00000000-0005-0000-0000-00008C180000}"/>
    <cellStyle name="Обычный 18 3 3 6" xfId="11775" xr:uid="{00000000-0005-0000-0000-00008D180000}"/>
    <cellStyle name="Обычный 18 3 3 7" xfId="12761" xr:uid="{00000000-0005-0000-0000-00008E180000}"/>
    <cellStyle name="Обычный 18 3 3 8" xfId="13747" xr:uid="{00000000-0005-0000-0000-00008F180000}"/>
    <cellStyle name="Обычный 18 3 3 9" xfId="14747" xr:uid="{00000000-0005-0000-0000-000090180000}"/>
    <cellStyle name="Обычный 18 3 4" xfId="7097" xr:uid="{00000000-0005-0000-0000-000091180000}"/>
    <cellStyle name="Обычный 18 3 5" xfId="8103" xr:uid="{00000000-0005-0000-0000-000092180000}"/>
    <cellStyle name="Обычный 18 3 6" xfId="9089" xr:uid="{00000000-0005-0000-0000-000093180000}"/>
    <cellStyle name="Обычный 18 3 7" xfId="10075" xr:uid="{00000000-0005-0000-0000-000094180000}"/>
    <cellStyle name="Обычный 18 3 8" xfId="11061" xr:uid="{00000000-0005-0000-0000-000095180000}"/>
    <cellStyle name="Обычный 18 3 9" xfId="12047" xr:uid="{00000000-0005-0000-0000-000096180000}"/>
    <cellStyle name="Обычный 18 4" xfId="6432" xr:uid="{00000000-0005-0000-0000-000097180000}"/>
    <cellStyle name="Обычный 18 4 10" xfId="15351" xr:uid="{00000000-0005-0000-0000-000098180000}"/>
    <cellStyle name="Обычный 18 4 2" xfId="7429" xr:uid="{00000000-0005-0000-0000-000099180000}"/>
    <cellStyle name="Обычный 18 4 3" xfId="8435" xr:uid="{00000000-0005-0000-0000-00009A180000}"/>
    <cellStyle name="Обычный 18 4 4" xfId="9421" xr:uid="{00000000-0005-0000-0000-00009B180000}"/>
    <cellStyle name="Обычный 18 4 5" xfId="10407" xr:uid="{00000000-0005-0000-0000-00009C180000}"/>
    <cellStyle name="Обычный 18 4 6" xfId="11393" xr:uid="{00000000-0005-0000-0000-00009D180000}"/>
    <cellStyle name="Обычный 18 4 7" xfId="12379" xr:uid="{00000000-0005-0000-0000-00009E180000}"/>
    <cellStyle name="Обычный 18 4 8" xfId="13365" xr:uid="{00000000-0005-0000-0000-00009F180000}"/>
    <cellStyle name="Обычный 18 4 9" xfId="14365" xr:uid="{00000000-0005-0000-0000-0000A0180000}"/>
    <cellStyle name="Обычный 18 5" xfId="6702" xr:uid="{00000000-0005-0000-0000-0000A1180000}"/>
    <cellStyle name="Обычный 18 5 10" xfId="15621" xr:uid="{00000000-0005-0000-0000-0000A2180000}"/>
    <cellStyle name="Обычный 18 5 2" xfId="7699" xr:uid="{00000000-0005-0000-0000-0000A3180000}"/>
    <cellStyle name="Обычный 18 5 3" xfId="8705" xr:uid="{00000000-0005-0000-0000-0000A4180000}"/>
    <cellStyle name="Обычный 18 5 4" xfId="9691" xr:uid="{00000000-0005-0000-0000-0000A5180000}"/>
    <cellStyle name="Обычный 18 5 5" xfId="10677" xr:uid="{00000000-0005-0000-0000-0000A6180000}"/>
    <cellStyle name="Обычный 18 5 6" xfId="11663" xr:uid="{00000000-0005-0000-0000-0000A7180000}"/>
    <cellStyle name="Обычный 18 5 7" xfId="12649" xr:uid="{00000000-0005-0000-0000-0000A8180000}"/>
    <cellStyle name="Обычный 18 5 8" xfId="13635" xr:uid="{00000000-0005-0000-0000-0000A9180000}"/>
    <cellStyle name="Обычный 18 5 9" xfId="14635" xr:uid="{00000000-0005-0000-0000-0000AA180000}"/>
    <cellStyle name="Обычный 18 6" xfId="6985" xr:uid="{00000000-0005-0000-0000-0000AB180000}"/>
    <cellStyle name="Обычный 18 7" xfId="7991" xr:uid="{00000000-0005-0000-0000-0000AC180000}"/>
    <cellStyle name="Обычный 18 8" xfId="8977" xr:uid="{00000000-0005-0000-0000-0000AD180000}"/>
    <cellStyle name="Обычный 18 9" xfId="9963" xr:uid="{00000000-0005-0000-0000-0000AE180000}"/>
    <cellStyle name="Обычный 19" xfId="3356" xr:uid="{00000000-0005-0000-0000-0000AF180000}"/>
    <cellStyle name="Обычный 19 10" xfId="10950" xr:uid="{00000000-0005-0000-0000-0000B0180000}"/>
    <cellStyle name="Обычный 19 11" xfId="11936" xr:uid="{00000000-0005-0000-0000-0000B1180000}"/>
    <cellStyle name="Обычный 19 12" xfId="12922" xr:uid="{00000000-0005-0000-0000-0000B2180000}"/>
    <cellStyle name="Обычный 19 13" xfId="13922" xr:uid="{00000000-0005-0000-0000-0000B3180000}"/>
    <cellStyle name="Обычный 19 14" xfId="14908" xr:uid="{00000000-0005-0000-0000-0000B4180000}"/>
    <cellStyle name="Обычный 19 2" xfId="6027" xr:uid="{00000000-0005-0000-0000-0000B5180000}"/>
    <cellStyle name="Обычный 19 2 10" xfId="12981" xr:uid="{00000000-0005-0000-0000-0000B6180000}"/>
    <cellStyle name="Обычный 19 2 11" xfId="13981" xr:uid="{00000000-0005-0000-0000-0000B7180000}"/>
    <cellStyle name="Обычный 19 2 12" xfId="14967" xr:uid="{00000000-0005-0000-0000-0000B8180000}"/>
    <cellStyle name="Обычный 19 2 2" xfId="6492" xr:uid="{00000000-0005-0000-0000-0000B9180000}"/>
    <cellStyle name="Обычный 19 2 2 10" xfId="15411" xr:uid="{00000000-0005-0000-0000-0000BA180000}"/>
    <cellStyle name="Обычный 19 2 2 2" xfId="7489" xr:uid="{00000000-0005-0000-0000-0000BB180000}"/>
    <cellStyle name="Обычный 19 2 2 3" xfId="8495" xr:uid="{00000000-0005-0000-0000-0000BC180000}"/>
    <cellStyle name="Обычный 19 2 2 4" xfId="9481" xr:uid="{00000000-0005-0000-0000-0000BD180000}"/>
    <cellStyle name="Обычный 19 2 2 5" xfId="10467" xr:uid="{00000000-0005-0000-0000-0000BE180000}"/>
    <cellStyle name="Обычный 19 2 2 6" xfId="11453" xr:uid="{00000000-0005-0000-0000-0000BF180000}"/>
    <cellStyle name="Обычный 19 2 2 7" xfId="12439" xr:uid="{00000000-0005-0000-0000-0000C0180000}"/>
    <cellStyle name="Обычный 19 2 2 8" xfId="13425" xr:uid="{00000000-0005-0000-0000-0000C1180000}"/>
    <cellStyle name="Обычный 19 2 2 9" xfId="14425" xr:uid="{00000000-0005-0000-0000-0000C2180000}"/>
    <cellStyle name="Обычный 19 2 3" xfId="6762" xr:uid="{00000000-0005-0000-0000-0000C3180000}"/>
    <cellStyle name="Обычный 19 2 3 10" xfId="15681" xr:uid="{00000000-0005-0000-0000-0000C4180000}"/>
    <cellStyle name="Обычный 19 2 3 2" xfId="7759" xr:uid="{00000000-0005-0000-0000-0000C5180000}"/>
    <cellStyle name="Обычный 19 2 3 3" xfId="8765" xr:uid="{00000000-0005-0000-0000-0000C6180000}"/>
    <cellStyle name="Обычный 19 2 3 4" xfId="9751" xr:uid="{00000000-0005-0000-0000-0000C7180000}"/>
    <cellStyle name="Обычный 19 2 3 5" xfId="10737" xr:uid="{00000000-0005-0000-0000-0000C8180000}"/>
    <cellStyle name="Обычный 19 2 3 6" xfId="11723" xr:uid="{00000000-0005-0000-0000-0000C9180000}"/>
    <cellStyle name="Обычный 19 2 3 7" xfId="12709" xr:uid="{00000000-0005-0000-0000-0000CA180000}"/>
    <cellStyle name="Обычный 19 2 3 8" xfId="13695" xr:uid="{00000000-0005-0000-0000-0000CB180000}"/>
    <cellStyle name="Обычный 19 2 3 9" xfId="14695" xr:uid="{00000000-0005-0000-0000-0000CC180000}"/>
    <cellStyle name="Обычный 19 2 4" xfId="7045" xr:uid="{00000000-0005-0000-0000-0000CD180000}"/>
    <cellStyle name="Обычный 19 2 5" xfId="8051" xr:uid="{00000000-0005-0000-0000-0000CE180000}"/>
    <cellStyle name="Обычный 19 2 6" xfId="9037" xr:uid="{00000000-0005-0000-0000-0000CF180000}"/>
    <cellStyle name="Обычный 19 2 7" xfId="10023" xr:uid="{00000000-0005-0000-0000-0000D0180000}"/>
    <cellStyle name="Обычный 19 2 8" xfId="11009" xr:uid="{00000000-0005-0000-0000-0000D1180000}"/>
    <cellStyle name="Обычный 19 2 9" xfId="11995" xr:uid="{00000000-0005-0000-0000-0000D2180000}"/>
    <cellStyle name="Обычный 19 3" xfId="6084" xr:uid="{00000000-0005-0000-0000-0000D3180000}"/>
    <cellStyle name="Обычный 19 3 10" xfId="13034" xr:uid="{00000000-0005-0000-0000-0000D4180000}"/>
    <cellStyle name="Обычный 19 3 11" xfId="14034" xr:uid="{00000000-0005-0000-0000-0000D5180000}"/>
    <cellStyle name="Обычный 19 3 12" xfId="15020" xr:uid="{00000000-0005-0000-0000-0000D6180000}"/>
    <cellStyle name="Обычный 19 3 2" xfId="6545" xr:uid="{00000000-0005-0000-0000-0000D7180000}"/>
    <cellStyle name="Обычный 19 3 2 10" xfId="15464" xr:uid="{00000000-0005-0000-0000-0000D8180000}"/>
    <cellStyle name="Обычный 19 3 2 2" xfId="7542" xr:uid="{00000000-0005-0000-0000-0000D9180000}"/>
    <cellStyle name="Обычный 19 3 2 3" xfId="8548" xr:uid="{00000000-0005-0000-0000-0000DA180000}"/>
    <cellStyle name="Обычный 19 3 2 4" xfId="9534" xr:uid="{00000000-0005-0000-0000-0000DB180000}"/>
    <cellStyle name="Обычный 19 3 2 5" xfId="10520" xr:uid="{00000000-0005-0000-0000-0000DC180000}"/>
    <cellStyle name="Обычный 19 3 2 6" xfId="11506" xr:uid="{00000000-0005-0000-0000-0000DD180000}"/>
    <cellStyle name="Обычный 19 3 2 7" xfId="12492" xr:uid="{00000000-0005-0000-0000-0000DE180000}"/>
    <cellStyle name="Обычный 19 3 2 8" xfId="13478" xr:uid="{00000000-0005-0000-0000-0000DF180000}"/>
    <cellStyle name="Обычный 19 3 2 9" xfId="14478" xr:uid="{00000000-0005-0000-0000-0000E0180000}"/>
    <cellStyle name="Обычный 19 3 3" xfId="6815" xr:uid="{00000000-0005-0000-0000-0000E1180000}"/>
    <cellStyle name="Обычный 19 3 3 10" xfId="15734" xr:uid="{00000000-0005-0000-0000-0000E2180000}"/>
    <cellStyle name="Обычный 19 3 3 2" xfId="7812" xr:uid="{00000000-0005-0000-0000-0000E3180000}"/>
    <cellStyle name="Обычный 19 3 3 3" xfId="8818" xr:uid="{00000000-0005-0000-0000-0000E4180000}"/>
    <cellStyle name="Обычный 19 3 3 4" xfId="9804" xr:uid="{00000000-0005-0000-0000-0000E5180000}"/>
    <cellStyle name="Обычный 19 3 3 5" xfId="10790" xr:uid="{00000000-0005-0000-0000-0000E6180000}"/>
    <cellStyle name="Обычный 19 3 3 6" xfId="11776" xr:uid="{00000000-0005-0000-0000-0000E7180000}"/>
    <cellStyle name="Обычный 19 3 3 7" xfId="12762" xr:uid="{00000000-0005-0000-0000-0000E8180000}"/>
    <cellStyle name="Обычный 19 3 3 8" xfId="13748" xr:uid="{00000000-0005-0000-0000-0000E9180000}"/>
    <cellStyle name="Обычный 19 3 3 9" xfId="14748" xr:uid="{00000000-0005-0000-0000-0000EA180000}"/>
    <cellStyle name="Обычный 19 3 4" xfId="7098" xr:uid="{00000000-0005-0000-0000-0000EB180000}"/>
    <cellStyle name="Обычный 19 3 5" xfId="8104" xr:uid="{00000000-0005-0000-0000-0000EC180000}"/>
    <cellStyle name="Обычный 19 3 6" xfId="9090" xr:uid="{00000000-0005-0000-0000-0000ED180000}"/>
    <cellStyle name="Обычный 19 3 7" xfId="10076" xr:uid="{00000000-0005-0000-0000-0000EE180000}"/>
    <cellStyle name="Обычный 19 3 8" xfId="11062" xr:uid="{00000000-0005-0000-0000-0000EF180000}"/>
    <cellStyle name="Обычный 19 3 9" xfId="12048" xr:uid="{00000000-0005-0000-0000-0000F0180000}"/>
    <cellStyle name="Обычный 19 4" xfId="6433" xr:uid="{00000000-0005-0000-0000-0000F1180000}"/>
    <cellStyle name="Обычный 19 4 10" xfId="15352" xr:uid="{00000000-0005-0000-0000-0000F2180000}"/>
    <cellStyle name="Обычный 19 4 2" xfId="7430" xr:uid="{00000000-0005-0000-0000-0000F3180000}"/>
    <cellStyle name="Обычный 19 4 3" xfId="8436" xr:uid="{00000000-0005-0000-0000-0000F4180000}"/>
    <cellStyle name="Обычный 19 4 4" xfId="9422" xr:uid="{00000000-0005-0000-0000-0000F5180000}"/>
    <cellStyle name="Обычный 19 4 5" xfId="10408" xr:uid="{00000000-0005-0000-0000-0000F6180000}"/>
    <cellStyle name="Обычный 19 4 6" xfId="11394" xr:uid="{00000000-0005-0000-0000-0000F7180000}"/>
    <cellStyle name="Обычный 19 4 7" xfId="12380" xr:uid="{00000000-0005-0000-0000-0000F8180000}"/>
    <cellStyle name="Обычный 19 4 8" xfId="13366" xr:uid="{00000000-0005-0000-0000-0000F9180000}"/>
    <cellStyle name="Обычный 19 4 9" xfId="14366" xr:uid="{00000000-0005-0000-0000-0000FA180000}"/>
    <cellStyle name="Обычный 19 5" xfId="6703" xr:uid="{00000000-0005-0000-0000-0000FB180000}"/>
    <cellStyle name="Обычный 19 5 10" xfId="15622" xr:uid="{00000000-0005-0000-0000-0000FC180000}"/>
    <cellStyle name="Обычный 19 5 2" xfId="7700" xr:uid="{00000000-0005-0000-0000-0000FD180000}"/>
    <cellStyle name="Обычный 19 5 3" xfId="8706" xr:uid="{00000000-0005-0000-0000-0000FE180000}"/>
    <cellStyle name="Обычный 19 5 4" xfId="9692" xr:uid="{00000000-0005-0000-0000-0000FF180000}"/>
    <cellStyle name="Обычный 19 5 5" xfId="10678" xr:uid="{00000000-0005-0000-0000-000000190000}"/>
    <cellStyle name="Обычный 19 5 6" xfId="11664" xr:uid="{00000000-0005-0000-0000-000001190000}"/>
    <cellStyle name="Обычный 19 5 7" xfId="12650" xr:uid="{00000000-0005-0000-0000-000002190000}"/>
    <cellStyle name="Обычный 19 5 8" xfId="13636" xr:uid="{00000000-0005-0000-0000-000003190000}"/>
    <cellStyle name="Обычный 19 5 9" xfId="14636" xr:uid="{00000000-0005-0000-0000-000004190000}"/>
    <cellStyle name="Обычный 19 6" xfId="6986" xr:uid="{00000000-0005-0000-0000-000005190000}"/>
    <cellStyle name="Обычный 19 7" xfId="7992" xr:uid="{00000000-0005-0000-0000-000006190000}"/>
    <cellStyle name="Обычный 19 8" xfId="8978" xr:uid="{00000000-0005-0000-0000-000007190000}"/>
    <cellStyle name="Обычный 19 9" xfId="9964" xr:uid="{00000000-0005-0000-0000-000008190000}"/>
    <cellStyle name="Обычный 2" xfId="2612" xr:uid="{00000000-0005-0000-0000-000009190000}"/>
    <cellStyle name="Обычный 2 10" xfId="2613" xr:uid="{00000000-0005-0000-0000-00000A190000}"/>
    <cellStyle name="Обычный 2 11" xfId="3357" xr:uid="{00000000-0005-0000-0000-00000B190000}"/>
    <cellStyle name="Обычный 2 11 10" xfId="8979" xr:uid="{00000000-0005-0000-0000-00000C190000}"/>
    <cellStyle name="Обычный 2 11 11" xfId="9965" xr:uid="{00000000-0005-0000-0000-00000D190000}"/>
    <cellStyle name="Обычный 2 11 12" xfId="10951" xr:uid="{00000000-0005-0000-0000-00000E190000}"/>
    <cellStyle name="Обычный 2 11 13" xfId="11937" xr:uid="{00000000-0005-0000-0000-00000F190000}"/>
    <cellStyle name="Обычный 2 11 14" xfId="12923" xr:uid="{00000000-0005-0000-0000-000010190000}"/>
    <cellStyle name="Обычный 2 11 15" xfId="13923" xr:uid="{00000000-0005-0000-0000-000011190000}"/>
    <cellStyle name="Обычный 2 11 16" xfId="14909" xr:uid="{00000000-0005-0000-0000-000012190000}"/>
    <cellStyle name="Обычный 2 11 2" xfId="3442" xr:uid="{00000000-0005-0000-0000-000013190000}"/>
    <cellStyle name="Обычный 2 11 2 10" xfId="12967" xr:uid="{00000000-0005-0000-0000-000014190000}"/>
    <cellStyle name="Обычный 2 11 2 11" xfId="13967" xr:uid="{00000000-0005-0000-0000-000015190000}"/>
    <cellStyle name="Обычный 2 11 2 12" xfId="14953" xr:uid="{00000000-0005-0000-0000-000016190000}"/>
    <cellStyle name="Обычный 2 11 2 2" xfId="6478" xr:uid="{00000000-0005-0000-0000-000017190000}"/>
    <cellStyle name="Обычный 2 11 2 2 10" xfId="15397" xr:uid="{00000000-0005-0000-0000-000018190000}"/>
    <cellStyle name="Обычный 2 11 2 2 2" xfId="7475" xr:uid="{00000000-0005-0000-0000-000019190000}"/>
    <cellStyle name="Обычный 2 11 2 2 3" xfId="8481" xr:uid="{00000000-0005-0000-0000-00001A190000}"/>
    <cellStyle name="Обычный 2 11 2 2 4" xfId="9467" xr:uid="{00000000-0005-0000-0000-00001B190000}"/>
    <cellStyle name="Обычный 2 11 2 2 5" xfId="10453" xr:uid="{00000000-0005-0000-0000-00001C190000}"/>
    <cellStyle name="Обычный 2 11 2 2 6" xfId="11439" xr:uid="{00000000-0005-0000-0000-00001D190000}"/>
    <cellStyle name="Обычный 2 11 2 2 7" xfId="12425" xr:uid="{00000000-0005-0000-0000-00001E190000}"/>
    <cellStyle name="Обычный 2 11 2 2 8" xfId="13411" xr:uid="{00000000-0005-0000-0000-00001F190000}"/>
    <cellStyle name="Обычный 2 11 2 2 9" xfId="14411" xr:uid="{00000000-0005-0000-0000-000020190000}"/>
    <cellStyle name="Обычный 2 11 2 3" xfId="6748" xr:uid="{00000000-0005-0000-0000-000021190000}"/>
    <cellStyle name="Обычный 2 11 2 3 10" xfId="15667" xr:uid="{00000000-0005-0000-0000-000022190000}"/>
    <cellStyle name="Обычный 2 11 2 3 2" xfId="7745" xr:uid="{00000000-0005-0000-0000-000023190000}"/>
    <cellStyle name="Обычный 2 11 2 3 3" xfId="8751" xr:uid="{00000000-0005-0000-0000-000024190000}"/>
    <cellStyle name="Обычный 2 11 2 3 4" xfId="9737" xr:uid="{00000000-0005-0000-0000-000025190000}"/>
    <cellStyle name="Обычный 2 11 2 3 5" xfId="10723" xr:uid="{00000000-0005-0000-0000-000026190000}"/>
    <cellStyle name="Обычный 2 11 2 3 6" xfId="11709" xr:uid="{00000000-0005-0000-0000-000027190000}"/>
    <cellStyle name="Обычный 2 11 2 3 7" xfId="12695" xr:uid="{00000000-0005-0000-0000-000028190000}"/>
    <cellStyle name="Обычный 2 11 2 3 8" xfId="13681" xr:uid="{00000000-0005-0000-0000-000029190000}"/>
    <cellStyle name="Обычный 2 11 2 3 9" xfId="14681" xr:uid="{00000000-0005-0000-0000-00002A190000}"/>
    <cellStyle name="Обычный 2 11 2 4" xfId="7031" xr:uid="{00000000-0005-0000-0000-00002B190000}"/>
    <cellStyle name="Обычный 2 11 2 5" xfId="8037" xr:uid="{00000000-0005-0000-0000-00002C190000}"/>
    <cellStyle name="Обычный 2 11 2 6" xfId="9023" xr:uid="{00000000-0005-0000-0000-00002D190000}"/>
    <cellStyle name="Обычный 2 11 2 7" xfId="10009" xr:uid="{00000000-0005-0000-0000-00002E190000}"/>
    <cellStyle name="Обычный 2 11 2 8" xfId="10995" xr:uid="{00000000-0005-0000-0000-00002F190000}"/>
    <cellStyle name="Обычный 2 11 2 9" xfId="11981" xr:uid="{00000000-0005-0000-0000-000030190000}"/>
    <cellStyle name="Обычный 2 11 3" xfId="6028" xr:uid="{00000000-0005-0000-0000-000031190000}"/>
    <cellStyle name="Обычный 2 11 3 10" xfId="12982" xr:uid="{00000000-0005-0000-0000-000032190000}"/>
    <cellStyle name="Обычный 2 11 3 11" xfId="13982" xr:uid="{00000000-0005-0000-0000-000033190000}"/>
    <cellStyle name="Обычный 2 11 3 12" xfId="14968" xr:uid="{00000000-0005-0000-0000-000034190000}"/>
    <cellStyle name="Обычный 2 11 3 2" xfId="6493" xr:uid="{00000000-0005-0000-0000-000035190000}"/>
    <cellStyle name="Обычный 2 11 3 2 10" xfId="15412" xr:uid="{00000000-0005-0000-0000-000036190000}"/>
    <cellStyle name="Обычный 2 11 3 2 2" xfId="7490" xr:uid="{00000000-0005-0000-0000-000037190000}"/>
    <cellStyle name="Обычный 2 11 3 2 3" xfId="8496" xr:uid="{00000000-0005-0000-0000-000038190000}"/>
    <cellStyle name="Обычный 2 11 3 2 4" xfId="9482" xr:uid="{00000000-0005-0000-0000-000039190000}"/>
    <cellStyle name="Обычный 2 11 3 2 5" xfId="10468" xr:uid="{00000000-0005-0000-0000-00003A190000}"/>
    <cellStyle name="Обычный 2 11 3 2 6" xfId="11454" xr:uid="{00000000-0005-0000-0000-00003B190000}"/>
    <cellStyle name="Обычный 2 11 3 2 7" xfId="12440" xr:uid="{00000000-0005-0000-0000-00003C190000}"/>
    <cellStyle name="Обычный 2 11 3 2 8" xfId="13426" xr:uid="{00000000-0005-0000-0000-00003D190000}"/>
    <cellStyle name="Обычный 2 11 3 2 9" xfId="14426" xr:uid="{00000000-0005-0000-0000-00003E190000}"/>
    <cellStyle name="Обычный 2 11 3 3" xfId="6763" xr:uid="{00000000-0005-0000-0000-00003F190000}"/>
    <cellStyle name="Обычный 2 11 3 3 10" xfId="15682" xr:uid="{00000000-0005-0000-0000-000040190000}"/>
    <cellStyle name="Обычный 2 11 3 3 2" xfId="7760" xr:uid="{00000000-0005-0000-0000-000041190000}"/>
    <cellStyle name="Обычный 2 11 3 3 3" xfId="8766" xr:uid="{00000000-0005-0000-0000-000042190000}"/>
    <cellStyle name="Обычный 2 11 3 3 4" xfId="9752" xr:uid="{00000000-0005-0000-0000-000043190000}"/>
    <cellStyle name="Обычный 2 11 3 3 5" xfId="10738" xr:uid="{00000000-0005-0000-0000-000044190000}"/>
    <cellStyle name="Обычный 2 11 3 3 6" xfId="11724" xr:uid="{00000000-0005-0000-0000-000045190000}"/>
    <cellStyle name="Обычный 2 11 3 3 7" xfId="12710" xr:uid="{00000000-0005-0000-0000-000046190000}"/>
    <cellStyle name="Обычный 2 11 3 3 8" xfId="13696" xr:uid="{00000000-0005-0000-0000-000047190000}"/>
    <cellStyle name="Обычный 2 11 3 3 9" xfId="14696" xr:uid="{00000000-0005-0000-0000-000048190000}"/>
    <cellStyle name="Обычный 2 11 3 4" xfId="7046" xr:uid="{00000000-0005-0000-0000-000049190000}"/>
    <cellStyle name="Обычный 2 11 3 5" xfId="8052" xr:uid="{00000000-0005-0000-0000-00004A190000}"/>
    <cellStyle name="Обычный 2 11 3 6" xfId="9038" xr:uid="{00000000-0005-0000-0000-00004B190000}"/>
    <cellStyle name="Обычный 2 11 3 7" xfId="10024" xr:uid="{00000000-0005-0000-0000-00004C190000}"/>
    <cellStyle name="Обычный 2 11 3 8" xfId="11010" xr:uid="{00000000-0005-0000-0000-00004D190000}"/>
    <cellStyle name="Обычный 2 11 3 9" xfId="11996" xr:uid="{00000000-0005-0000-0000-00004E190000}"/>
    <cellStyle name="Обычный 2 11 4" xfId="6085" xr:uid="{00000000-0005-0000-0000-00004F190000}"/>
    <cellStyle name="Обычный 2 11 4 10" xfId="13035" xr:uid="{00000000-0005-0000-0000-000050190000}"/>
    <cellStyle name="Обычный 2 11 4 11" xfId="14035" xr:uid="{00000000-0005-0000-0000-000051190000}"/>
    <cellStyle name="Обычный 2 11 4 12" xfId="15021" xr:uid="{00000000-0005-0000-0000-000052190000}"/>
    <cellStyle name="Обычный 2 11 4 2" xfId="6546" xr:uid="{00000000-0005-0000-0000-000053190000}"/>
    <cellStyle name="Обычный 2 11 4 2 10" xfId="15465" xr:uid="{00000000-0005-0000-0000-000054190000}"/>
    <cellStyle name="Обычный 2 11 4 2 2" xfId="7543" xr:uid="{00000000-0005-0000-0000-000055190000}"/>
    <cellStyle name="Обычный 2 11 4 2 3" xfId="8549" xr:uid="{00000000-0005-0000-0000-000056190000}"/>
    <cellStyle name="Обычный 2 11 4 2 4" xfId="9535" xr:uid="{00000000-0005-0000-0000-000057190000}"/>
    <cellStyle name="Обычный 2 11 4 2 5" xfId="10521" xr:uid="{00000000-0005-0000-0000-000058190000}"/>
    <cellStyle name="Обычный 2 11 4 2 6" xfId="11507" xr:uid="{00000000-0005-0000-0000-000059190000}"/>
    <cellStyle name="Обычный 2 11 4 2 7" xfId="12493" xr:uid="{00000000-0005-0000-0000-00005A190000}"/>
    <cellStyle name="Обычный 2 11 4 2 8" xfId="13479" xr:uid="{00000000-0005-0000-0000-00005B190000}"/>
    <cellStyle name="Обычный 2 11 4 2 9" xfId="14479" xr:uid="{00000000-0005-0000-0000-00005C190000}"/>
    <cellStyle name="Обычный 2 11 4 3" xfId="6816" xr:uid="{00000000-0005-0000-0000-00005D190000}"/>
    <cellStyle name="Обычный 2 11 4 3 10" xfId="15735" xr:uid="{00000000-0005-0000-0000-00005E190000}"/>
    <cellStyle name="Обычный 2 11 4 3 2" xfId="7813" xr:uid="{00000000-0005-0000-0000-00005F190000}"/>
    <cellStyle name="Обычный 2 11 4 3 3" xfId="8819" xr:uid="{00000000-0005-0000-0000-000060190000}"/>
    <cellStyle name="Обычный 2 11 4 3 4" xfId="9805" xr:uid="{00000000-0005-0000-0000-000061190000}"/>
    <cellStyle name="Обычный 2 11 4 3 5" xfId="10791" xr:uid="{00000000-0005-0000-0000-000062190000}"/>
    <cellStyle name="Обычный 2 11 4 3 6" xfId="11777" xr:uid="{00000000-0005-0000-0000-000063190000}"/>
    <cellStyle name="Обычный 2 11 4 3 7" xfId="12763" xr:uid="{00000000-0005-0000-0000-000064190000}"/>
    <cellStyle name="Обычный 2 11 4 3 8" xfId="13749" xr:uid="{00000000-0005-0000-0000-000065190000}"/>
    <cellStyle name="Обычный 2 11 4 3 9" xfId="14749" xr:uid="{00000000-0005-0000-0000-000066190000}"/>
    <cellStyle name="Обычный 2 11 4 4" xfId="7099" xr:uid="{00000000-0005-0000-0000-000067190000}"/>
    <cellStyle name="Обычный 2 11 4 5" xfId="8105" xr:uid="{00000000-0005-0000-0000-000068190000}"/>
    <cellStyle name="Обычный 2 11 4 6" xfId="9091" xr:uid="{00000000-0005-0000-0000-000069190000}"/>
    <cellStyle name="Обычный 2 11 4 7" xfId="10077" xr:uid="{00000000-0005-0000-0000-00006A190000}"/>
    <cellStyle name="Обычный 2 11 4 8" xfId="11063" xr:uid="{00000000-0005-0000-0000-00006B190000}"/>
    <cellStyle name="Обычный 2 11 4 9" xfId="12049" xr:uid="{00000000-0005-0000-0000-00006C190000}"/>
    <cellStyle name="Обычный 2 11 5" xfId="6162" xr:uid="{00000000-0005-0000-0000-00006D190000}"/>
    <cellStyle name="Обычный 2 11 5 10" xfId="12120" xr:uid="{00000000-0005-0000-0000-00006E190000}"/>
    <cellStyle name="Обычный 2 11 5 11" xfId="13106" xr:uid="{00000000-0005-0000-0000-00006F190000}"/>
    <cellStyle name="Обычный 2 11 5 12" xfId="14106" xr:uid="{00000000-0005-0000-0000-000070190000}"/>
    <cellStyle name="Обычный 2 11 5 13" xfId="15092" xr:uid="{00000000-0005-0000-0000-000071190000}"/>
    <cellStyle name="Обычный 2 11 5 2" xfId="6144" xr:uid="{00000000-0005-0000-0000-000072190000}"/>
    <cellStyle name="Обычный 2 11 5 2 10" xfId="12107" xr:uid="{00000000-0005-0000-0000-000073190000}"/>
    <cellStyle name="Обычный 2 11 5 2 11" xfId="13093" xr:uid="{00000000-0005-0000-0000-000074190000}"/>
    <cellStyle name="Обычный 2 11 5 2 12" xfId="14093" xr:uid="{00000000-0005-0000-0000-000075190000}"/>
    <cellStyle name="Обычный 2 11 5 2 13" xfId="15079" xr:uid="{00000000-0005-0000-0000-000076190000}"/>
    <cellStyle name="Обычный 2 11 5 2 2" xfId="6163" xr:uid="{00000000-0005-0000-0000-000077190000}"/>
    <cellStyle name="Обычный 2 11 5 2 2 10" xfId="13107" xr:uid="{00000000-0005-0000-0000-000078190000}"/>
    <cellStyle name="Обычный 2 11 5 2 2 11" xfId="14107" xr:uid="{00000000-0005-0000-0000-000079190000}"/>
    <cellStyle name="Обычный 2 11 5 2 2 12" xfId="15093" xr:uid="{00000000-0005-0000-0000-00007A190000}"/>
    <cellStyle name="Обычный 2 11 5 2 2 2" xfId="6618" xr:uid="{00000000-0005-0000-0000-00007B190000}"/>
    <cellStyle name="Обычный 2 11 5 2 2 2 10" xfId="15537" xr:uid="{00000000-0005-0000-0000-00007C190000}"/>
    <cellStyle name="Обычный 2 11 5 2 2 2 2" xfId="7615" xr:uid="{00000000-0005-0000-0000-00007D190000}"/>
    <cellStyle name="Обычный 2 11 5 2 2 2 3" xfId="8621" xr:uid="{00000000-0005-0000-0000-00007E190000}"/>
    <cellStyle name="Обычный 2 11 5 2 2 2 4" xfId="9607" xr:uid="{00000000-0005-0000-0000-00007F190000}"/>
    <cellStyle name="Обычный 2 11 5 2 2 2 5" xfId="10593" xr:uid="{00000000-0005-0000-0000-000080190000}"/>
    <cellStyle name="Обычный 2 11 5 2 2 2 6" xfId="11579" xr:uid="{00000000-0005-0000-0000-000081190000}"/>
    <cellStyle name="Обычный 2 11 5 2 2 2 7" xfId="12565" xr:uid="{00000000-0005-0000-0000-000082190000}"/>
    <cellStyle name="Обычный 2 11 5 2 2 2 8" xfId="13551" xr:uid="{00000000-0005-0000-0000-000083190000}"/>
    <cellStyle name="Обычный 2 11 5 2 2 2 9" xfId="14551" xr:uid="{00000000-0005-0000-0000-000084190000}"/>
    <cellStyle name="Обычный 2 11 5 2 2 3" xfId="6888" xr:uid="{00000000-0005-0000-0000-000085190000}"/>
    <cellStyle name="Обычный 2 11 5 2 2 3 10" xfId="15807" xr:uid="{00000000-0005-0000-0000-000086190000}"/>
    <cellStyle name="Обычный 2 11 5 2 2 3 2" xfId="7885" xr:uid="{00000000-0005-0000-0000-000087190000}"/>
    <cellStyle name="Обычный 2 11 5 2 2 3 3" xfId="8891" xr:uid="{00000000-0005-0000-0000-000088190000}"/>
    <cellStyle name="Обычный 2 11 5 2 2 3 4" xfId="9877" xr:uid="{00000000-0005-0000-0000-000089190000}"/>
    <cellStyle name="Обычный 2 11 5 2 2 3 5" xfId="10863" xr:uid="{00000000-0005-0000-0000-00008A190000}"/>
    <cellStyle name="Обычный 2 11 5 2 2 3 6" xfId="11849" xr:uid="{00000000-0005-0000-0000-00008B190000}"/>
    <cellStyle name="Обычный 2 11 5 2 2 3 7" xfId="12835" xr:uid="{00000000-0005-0000-0000-00008C190000}"/>
    <cellStyle name="Обычный 2 11 5 2 2 3 8" xfId="13821" xr:uid="{00000000-0005-0000-0000-00008D190000}"/>
    <cellStyle name="Обычный 2 11 5 2 2 3 9" xfId="14821" xr:uid="{00000000-0005-0000-0000-00008E190000}"/>
    <cellStyle name="Обычный 2 11 5 2 2 4" xfId="7171" xr:uid="{00000000-0005-0000-0000-00008F190000}"/>
    <cellStyle name="Обычный 2 11 5 2 2 5" xfId="8177" xr:uid="{00000000-0005-0000-0000-000090190000}"/>
    <cellStyle name="Обычный 2 11 5 2 2 6" xfId="9163" xr:uid="{00000000-0005-0000-0000-000091190000}"/>
    <cellStyle name="Обычный 2 11 5 2 2 7" xfId="10149" xr:uid="{00000000-0005-0000-0000-000092190000}"/>
    <cellStyle name="Обычный 2 11 5 2 2 8" xfId="11135" xr:uid="{00000000-0005-0000-0000-000093190000}"/>
    <cellStyle name="Обычный 2 11 5 2 2 9" xfId="12121" xr:uid="{00000000-0005-0000-0000-000094190000}"/>
    <cellStyle name="Обычный 2 11 5 2 3" xfId="6604" xr:uid="{00000000-0005-0000-0000-000095190000}"/>
    <cellStyle name="Обычный 2 11 5 2 3 10" xfId="15523" xr:uid="{00000000-0005-0000-0000-000096190000}"/>
    <cellStyle name="Обычный 2 11 5 2 3 2" xfId="7601" xr:uid="{00000000-0005-0000-0000-000097190000}"/>
    <cellStyle name="Обычный 2 11 5 2 3 3" xfId="8607" xr:uid="{00000000-0005-0000-0000-000098190000}"/>
    <cellStyle name="Обычный 2 11 5 2 3 4" xfId="9593" xr:uid="{00000000-0005-0000-0000-000099190000}"/>
    <cellStyle name="Обычный 2 11 5 2 3 5" xfId="10579" xr:uid="{00000000-0005-0000-0000-00009A190000}"/>
    <cellStyle name="Обычный 2 11 5 2 3 6" xfId="11565" xr:uid="{00000000-0005-0000-0000-00009B190000}"/>
    <cellStyle name="Обычный 2 11 5 2 3 7" xfId="12551" xr:uid="{00000000-0005-0000-0000-00009C190000}"/>
    <cellStyle name="Обычный 2 11 5 2 3 8" xfId="13537" xr:uid="{00000000-0005-0000-0000-00009D190000}"/>
    <cellStyle name="Обычный 2 11 5 2 3 9" xfId="14537" xr:uid="{00000000-0005-0000-0000-00009E190000}"/>
    <cellStyle name="Обычный 2 11 5 2 4" xfId="6874" xr:uid="{00000000-0005-0000-0000-00009F190000}"/>
    <cellStyle name="Обычный 2 11 5 2 4 10" xfId="15793" xr:uid="{00000000-0005-0000-0000-0000A0190000}"/>
    <cellStyle name="Обычный 2 11 5 2 4 2" xfId="7871" xr:uid="{00000000-0005-0000-0000-0000A1190000}"/>
    <cellStyle name="Обычный 2 11 5 2 4 3" xfId="8877" xr:uid="{00000000-0005-0000-0000-0000A2190000}"/>
    <cellStyle name="Обычный 2 11 5 2 4 4" xfId="9863" xr:uid="{00000000-0005-0000-0000-0000A3190000}"/>
    <cellStyle name="Обычный 2 11 5 2 4 5" xfId="10849" xr:uid="{00000000-0005-0000-0000-0000A4190000}"/>
    <cellStyle name="Обычный 2 11 5 2 4 6" xfId="11835" xr:uid="{00000000-0005-0000-0000-0000A5190000}"/>
    <cellStyle name="Обычный 2 11 5 2 4 7" xfId="12821" xr:uid="{00000000-0005-0000-0000-0000A6190000}"/>
    <cellStyle name="Обычный 2 11 5 2 4 8" xfId="13807" xr:uid="{00000000-0005-0000-0000-0000A7190000}"/>
    <cellStyle name="Обычный 2 11 5 2 4 9" xfId="14807" xr:uid="{00000000-0005-0000-0000-0000A8190000}"/>
    <cellStyle name="Обычный 2 11 5 2 5" xfId="7157" xr:uid="{00000000-0005-0000-0000-0000A9190000}"/>
    <cellStyle name="Обычный 2 11 5 2 6" xfId="8163" xr:uid="{00000000-0005-0000-0000-0000AA190000}"/>
    <cellStyle name="Обычный 2 11 5 2 7" xfId="9149" xr:uid="{00000000-0005-0000-0000-0000AB190000}"/>
    <cellStyle name="Обычный 2 11 5 2 8" xfId="10135" xr:uid="{00000000-0005-0000-0000-0000AC190000}"/>
    <cellStyle name="Обычный 2 11 5 2 9" xfId="11121" xr:uid="{00000000-0005-0000-0000-0000AD190000}"/>
    <cellStyle name="Обычный 2 11 5 3" xfId="6617" xr:uid="{00000000-0005-0000-0000-0000AE190000}"/>
    <cellStyle name="Обычный 2 11 5 3 10" xfId="15536" xr:uid="{00000000-0005-0000-0000-0000AF190000}"/>
    <cellStyle name="Обычный 2 11 5 3 2" xfId="7614" xr:uid="{00000000-0005-0000-0000-0000B0190000}"/>
    <cellStyle name="Обычный 2 11 5 3 3" xfId="8620" xr:uid="{00000000-0005-0000-0000-0000B1190000}"/>
    <cellStyle name="Обычный 2 11 5 3 4" xfId="9606" xr:uid="{00000000-0005-0000-0000-0000B2190000}"/>
    <cellStyle name="Обычный 2 11 5 3 5" xfId="10592" xr:uid="{00000000-0005-0000-0000-0000B3190000}"/>
    <cellStyle name="Обычный 2 11 5 3 6" xfId="11578" xr:uid="{00000000-0005-0000-0000-0000B4190000}"/>
    <cellStyle name="Обычный 2 11 5 3 7" xfId="12564" xr:uid="{00000000-0005-0000-0000-0000B5190000}"/>
    <cellStyle name="Обычный 2 11 5 3 8" xfId="13550" xr:uid="{00000000-0005-0000-0000-0000B6190000}"/>
    <cellStyle name="Обычный 2 11 5 3 9" xfId="14550" xr:uid="{00000000-0005-0000-0000-0000B7190000}"/>
    <cellStyle name="Обычный 2 11 5 4" xfId="6887" xr:uid="{00000000-0005-0000-0000-0000B8190000}"/>
    <cellStyle name="Обычный 2 11 5 4 10" xfId="15806" xr:uid="{00000000-0005-0000-0000-0000B9190000}"/>
    <cellStyle name="Обычный 2 11 5 4 2" xfId="7884" xr:uid="{00000000-0005-0000-0000-0000BA190000}"/>
    <cellStyle name="Обычный 2 11 5 4 3" xfId="8890" xr:uid="{00000000-0005-0000-0000-0000BB190000}"/>
    <cellStyle name="Обычный 2 11 5 4 4" xfId="9876" xr:uid="{00000000-0005-0000-0000-0000BC190000}"/>
    <cellStyle name="Обычный 2 11 5 4 5" xfId="10862" xr:uid="{00000000-0005-0000-0000-0000BD190000}"/>
    <cellStyle name="Обычный 2 11 5 4 6" xfId="11848" xr:uid="{00000000-0005-0000-0000-0000BE190000}"/>
    <cellStyle name="Обычный 2 11 5 4 7" xfId="12834" xr:uid="{00000000-0005-0000-0000-0000BF190000}"/>
    <cellStyle name="Обычный 2 11 5 4 8" xfId="13820" xr:uid="{00000000-0005-0000-0000-0000C0190000}"/>
    <cellStyle name="Обычный 2 11 5 4 9" xfId="14820" xr:uid="{00000000-0005-0000-0000-0000C1190000}"/>
    <cellStyle name="Обычный 2 11 5 5" xfId="7170" xr:uid="{00000000-0005-0000-0000-0000C2190000}"/>
    <cellStyle name="Обычный 2 11 5 6" xfId="8176" xr:uid="{00000000-0005-0000-0000-0000C3190000}"/>
    <cellStyle name="Обычный 2 11 5 7" xfId="9162" xr:uid="{00000000-0005-0000-0000-0000C4190000}"/>
    <cellStyle name="Обычный 2 11 5 8" xfId="10148" xr:uid="{00000000-0005-0000-0000-0000C5190000}"/>
    <cellStyle name="Обычный 2 11 5 9" xfId="11134" xr:uid="{00000000-0005-0000-0000-0000C6190000}"/>
    <cellStyle name="Обычный 2 11 6" xfId="6434" xr:uid="{00000000-0005-0000-0000-0000C7190000}"/>
    <cellStyle name="Обычный 2 11 6 10" xfId="15353" xr:uid="{00000000-0005-0000-0000-0000C8190000}"/>
    <cellStyle name="Обычный 2 11 6 2" xfId="7431" xr:uid="{00000000-0005-0000-0000-0000C9190000}"/>
    <cellStyle name="Обычный 2 11 6 3" xfId="8437" xr:uid="{00000000-0005-0000-0000-0000CA190000}"/>
    <cellStyle name="Обычный 2 11 6 4" xfId="9423" xr:uid="{00000000-0005-0000-0000-0000CB190000}"/>
    <cellStyle name="Обычный 2 11 6 5" xfId="10409" xr:uid="{00000000-0005-0000-0000-0000CC190000}"/>
    <cellStyle name="Обычный 2 11 6 6" xfId="11395" xr:uid="{00000000-0005-0000-0000-0000CD190000}"/>
    <cellStyle name="Обычный 2 11 6 7" xfId="12381" xr:uid="{00000000-0005-0000-0000-0000CE190000}"/>
    <cellStyle name="Обычный 2 11 6 8" xfId="13367" xr:uid="{00000000-0005-0000-0000-0000CF190000}"/>
    <cellStyle name="Обычный 2 11 6 9" xfId="14367" xr:uid="{00000000-0005-0000-0000-0000D0190000}"/>
    <cellStyle name="Обычный 2 11 7" xfId="6704" xr:uid="{00000000-0005-0000-0000-0000D1190000}"/>
    <cellStyle name="Обычный 2 11 7 10" xfId="15623" xr:uid="{00000000-0005-0000-0000-0000D2190000}"/>
    <cellStyle name="Обычный 2 11 7 2" xfId="7701" xr:uid="{00000000-0005-0000-0000-0000D3190000}"/>
    <cellStyle name="Обычный 2 11 7 3" xfId="8707" xr:uid="{00000000-0005-0000-0000-0000D4190000}"/>
    <cellStyle name="Обычный 2 11 7 4" xfId="9693" xr:uid="{00000000-0005-0000-0000-0000D5190000}"/>
    <cellStyle name="Обычный 2 11 7 5" xfId="10679" xr:uid="{00000000-0005-0000-0000-0000D6190000}"/>
    <cellStyle name="Обычный 2 11 7 6" xfId="11665" xr:uid="{00000000-0005-0000-0000-0000D7190000}"/>
    <cellStyle name="Обычный 2 11 7 7" xfId="12651" xr:uid="{00000000-0005-0000-0000-0000D8190000}"/>
    <cellStyle name="Обычный 2 11 7 8" xfId="13637" xr:uid="{00000000-0005-0000-0000-0000D9190000}"/>
    <cellStyle name="Обычный 2 11 7 9" xfId="14637" xr:uid="{00000000-0005-0000-0000-0000DA190000}"/>
    <cellStyle name="Обычный 2 11 8" xfId="6987" xr:uid="{00000000-0005-0000-0000-0000DB190000}"/>
    <cellStyle name="Обычный 2 11 9" xfId="7993" xr:uid="{00000000-0005-0000-0000-0000DC190000}"/>
    <cellStyle name="Обычный 2 12" xfId="3358" xr:uid="{00000000-0005-0000-0000-0000DD190000}"/>
    <cellStyle name="Обычный 2 12 10" xfId="10952" xr:uid="{00000000-0005-0000-0000-0000DE190000}"/>
    <cellStyle name="Обычный 2 12 11" xfId="11938" xr:uid="{00000000-0005-0000-0000-0000DF190000}"/>
    <cellStyle name="Обычный 2 12 12" xfId="12924" xr:uid="{00000000-0005-0000-0000-0000E0190000}"/>
    <cellStyle name="Обычный 2 12 13" xfId="13924" xr:uid="{00000000-0005-0000-0000-0000E1190000}"/>
    <cellStyle name="Обычный 2 12 14" xfId="14910" xr:uid="{00000000-0005-0000-0000-0000E2190000}"/>
    <cellStyle name="Обычный 2 12 2" xfId="6029" xr:uid="{00000000-0005-0000-0000-0000E3190000}"/>
    <cellStyle name="Обычный 2 12 2 10" xfId="12983" xr:uid="{00000000-0005-0000-0000-0000E4190000}"/>
    <cellStyle name="Обычный 2 12 2 11" xfId="13983" xr:uid="{00000000-0005-0000-0000-0000E5190000}"/>
    <cellStyle name="Обычный 2 12 2 12" xfId="14969" xr:uid="{00000000-0005-0000-0000-0000E6190000}"/>
    <cellStyle name="Обычный 2 12 2 2" xfId="6494" xr:uid="{00000000-0005-0000-0000-0000E7190000}"/>
    <cellStyle name="Обычный 2 12 2 2 10" xfId="15413" xr:uid="{00000000-0005-0000-0000-0000E8190000}"/>
    <cellStyle name="Обычный 2 12 2 2 2" xfId="7491" xr:uid="{00000000-0005-0000-0000-0000E9190000}"/>
    <cellStyle name="Обычный 2 12 2 2 3" xfId="8497" xr:uid="{00000000-0005-0000-0000-0000EA190000}"/>
    <cellStyle name="Обычный 2 12 2 2 4" xfId="9483" xr:uid="{00000000-0005-0000-0000-0000EB190000}"/>
    <cellStyle name="Обычный 2 12 2 2 5" xfId="10469" xr:uid="{00000000-0005-0000-0000-0000EC190000}"/>
    <cellStyle name="Обычный 2 12 2 2 6" xfId="11455" xr:uid="{00000000-0005-0000-0000-0000ED190000}"/>
    <cellStyle name="Обычный 2 12 2 2 7" xfId="12441" xr:uid="{00000000-0005-0000-0000-0000EE190000}"/>
    <cellStyle name="Обычный 2 12 2 2 8" xfId="13427" xr:uid="{00000000-0005-0000-0000-0000EF190000}"/>
    <cellStyle name="Обычный 2 12 2 2 9" xfId="14427" xr:uid="{00000000-0005-0000-0000-0000F0190000}"/>
    <cellStyle name="Обычный 2 12 2 3" xfId="6764" xr:uid="{00000000-0005-0000-0000-0000F1190000}"/>
    <cellStyle name="Обычный 2 12 2 3 10" xfId="15683" xr:uid="{00000000-0005-0000-0000-0000F2190000}"/>
    <cellStyle name="Обычный 2 12 2 3 2" xfId="7761" xr:uid="{00000000-0005-0000-0000-0000F3190000}"/>
    <cellStyle name="Обычный 2 12 2 3 3" xfId="8767" xr:uid="{00000000-0005-0000-0000-0000F4190000}"/>
    <cellStyle name="Обычный 2 12 2 3 4" xfId="9753" xr:uid="{00000000-0005-0000-0000-0000F5190000}"/>
    <cellStyle name="Обычный 2 12 2 3 5" xfId="10739" xr:uid="{00000000-0005-0000-0000-0000F6190000}"/>
    <cellStyle name="Обычный 2 12 2 3 6" xfId="11725" xr:uid="{00000000-0005-0000-0000-0000F7190000}"/>
    <cellStyle name="Обычный 2 12 2 3 7" xfId="12711" xr:uid="{00000000-0005-0000-0000-0000F8190000}"/>
    <cellStyle name="Обычный 2 12 2 3 8" xfId="13697" xr:uid="{00000000-0005-0000-0000-0000F9190000}"/>
    <cellStyle name="Обычный 2 12 2 3 9" xfId="14697" xr:uid="{00000000-0005-0000-0000-0000FA190000}"/>
    <cellStyle name="Обычный 2 12 2 4" xfId="7047" xr:uid="{00000000-0005-0000-0000-0000FB190000}"/>
    <cellStyle name="Обычный 2 12 2 5" xfId="8053" xr:uid="{00000000-0005-0000-0000-0000FC190000}"/>
    <cellStyle name="Обычный 2 12 2 6" xfId="9039" xr:uid="{00000000-0005-0000-0000-0000FD190000}"/>
    <cellStyle name="Обычный 2 12 2 7" xfId="10025" xr:uid="{00000000-0005-0000-0000-0000FE190000}"/>
    <cellStyle name="Обычный 2 12 2 8" xfId="11011" xr:uid="{00000000-0005-0000-0000-0000FF190000}"/>
    <cellStyle name="Обычный 2 12 2 9" xfId="11997" xr:uid="{00000000-0005-0000-0000-0000001A0000}"/>
    <cellStyle name="Обычный 2 12 3" xfId="6086" xr:uid="{00000000-0005-0000-0000-0000011A0000}"/>
    <cellStyle name="Обычный 2 12 3 10" xfId="13036" xr:uid="{00000000-0005-0000-0000-0000021A0000}"/>
    <cellStyle name="Обычный 2 12 3 11" xfId="14036" xr:uid="{00000000-0005-0000-0000-0000031A0000}"/>
    <cellStyle name="Обычный 2 12 3 12" xfId="15022" xr:uid="{00000000-0005-0000-0000-0000041A0000}"/>
    <cellStyle name="Обычный 2 12 3 2" xfId="6547" xr:uid="{00000000-0005-0000-0000-0000051A0000}"/>
    <cellStyle name="Обычный 2 12 3 2 10" xfId="15466" xr:uid="{00000000-0005-0000-0000-0000061A0000}"/>
    <cellStyle name="Обычный 2 12 3 2 2" xfId="7544" xr:uid="{00000000-0005-0000-0000-0000071A0000}"/>
    <cellStyle name="Обычный 2 12 3 2 3" xfId="8550" xr:uid="{00000000-0005-0000-0000-0000081A0000}"/>
    <cellStyle name="Обычный 2 12 3 2 4" xfId="9536" xr:uid="{00000000-0005-0000-0000-0000091A0000}"/>
    <cellStyle name="Обычный 2 12 3 2 5" xfId="10522" xr:uid="{00000000-0005-0000-0000-00000A1A0000}"/>
    <cellStyle name="Обычный 2 12 3 2 6" xfId="11508" xr:uid="{00000000-0005-0000-0000-00000B1A0000}"/>
    <cellStyle name="Обычный 2 12 3 2 7" xfId="12494" xr:uid="{00000000-0005-0000-0000-00000C1A0000}"/>
    <cellStyle name="Обычный 2 12 3 2 8" xfId="13480" xr:uid="{00000000-0005-0000-0000-00000D1A0000}"/>
    <cellStyle name="Обычный 2 12 3 2 9" xfId="14480" xr:uid="{00000000-0005-0000-0000-00000E1A0000}"/>
    <cellStyle name="Обычный 2 12 3 3" xfId="6817" xr:uid="{00000000-0005-0000-0000-00000F1A0000}"/>
    <cellStyle name="Обычный 2 12 3 3 10" xfId="15736" xr:uid="{00000000-0005-0000-0000-0000101A0000}"/>
    <cellStyle name="Обычный 2 12 3 3 2" xfId="7814" xr:uid="{00000000-0005-0000-0000-0000111A0000}"/>
    <cellStyle name="Обычный 2 12 3 3 3" xfId="8820" xr:uid="{00000000-0005-0000-0000-0000121A0000}"/>
    <cellStyle name="Обычный 2 12 3 3 4" xfId="9806" xr:uid="{00000000-0005-0000-0000-0000131A0000}"/>
    <cellStyle name="Обычный 2 12 3 3 5" xfId="10792" xr:uid="{00000000-0005-0000-0000-0000141A0000}"/>
    <cellStyle name="Обычный 2 12 3 3 6" xfId="11778" xr:uid="{00000000-0005-0000-0000-0000151A0000}"/>
    <cellStyle name="Обычный 2 12 3 3 7" xfId="12764" xr:uid="{00000000-0005-0000-0000-0000161A0000}"/>
    <cellStyle name="Обычный 2 12 3 3 8" xfId="13750" xr:uid="{00000000-0005-0000-0000-0000171A0000}"/>
    <cellStyle name="Обычный 2 12 3 3 9" xfId="14750" xr:uid="{00000000-0005-0000-0000-0000181A0000}"/>
    <cellStyle name="Обычный 2 12 3 4" xfId="7100" xr:uid="{00000000-0005-0000-0000-0000191A0000}"/>
    <cellStyle name="Обычный 2 12 3 5" xfId="8106" xr:uid="{00000000-0005-0000-0000-00001A1A0000}"/>
    <cellStyle name="Обычный 2 12 3 6" xfId="9092" xr:uid="{00000000-0005-0000-0000-00001B1A0000}"/>
    <cellStyle name="Обычный 2 12 3 7" xfId="10078" xr:uid="{00000000-0005-0000-0000-00001C1A0000}"/>
    <cellStyle name="Обычный 2 12 3 8" xfId="11064" xr:uid="{00000000-0005-0000-0000-00001D1A0000}"/>
    <cellStyle name="Обычный 2 12 3 9" xfId="12050" xr:uid="{00000000-0005-0000-0000-00001E1A0000}"/>
    <cellStyle name="Обычный 2 12 4" xfId="6435" xr:uid="{00000000-0005-0000-0000-00001F1A0000}"/>
    <cellStyle name="Обычный 2 12 4 10" xfId="15354" xr:uid="{00000000-0005-0000-0000-0000201A0000}"/>
    <cellStyle name="Обычный 2 12 4 2" xfId="7432" xr:uid="{00000000-0005-0000-0000-0000211A0000}"/>
    <cellStyle name="Обычный 2 12 4 3" xfId="8438" xr:uid="{00000000-0005-0000-0000-0000221A0000}"/>
    <cellStyle name="Обычный 2 12 4 4" xfId="9424" xr:uid="{00000000-0005-0000-0000-0000231A0000}"/>
    <cellStyle name="Обычный 2 12 4 5" xfId="10410" xr:uid="{00000000-0005-0000-0000-0000241A0000}"/>
    <cellStyle name="Обычный 2 12 4 6" xfId="11396" xr:uid="{00000000-0005-0000-0000-0000251A0000}"/>
    <cellStyle name="Обычный 2 12 4 7" xfId="12382" xr:uid="{00000000-0005-0000-0000-0000261A0000}"/>
    <cellStyle name="Обычный 2 12 4 8" xfId="13368" xr:uid="{00000000-0005-0000-0000-0000271A0000}"/>
    <cellStyle name="Обычный 2 12 4 9" xfId="14368" xr:uid="{00000000-0005-0000-0000-0000281A0000}"/>
    <cellStyle name="Обычный 2 12 5" xfId="6705" xr:uid="{00000000-0005-0000-0000-0000291A0000}"/>
    <cellStyle name="Обычный 2 12 5 10" xfId="15624" xr:uid="{00000000-0005-0000-0000-00002A1A0000}"/>
    <cellStyle name="Обычный 2 12 5 2" xfId="7702" xr:uid="{00000000-0005-0000-0000-00002B1A0000}"/>
    <cellStyle name="Обычный 2 12 5 3" xfId="8708" xr:uid="{00000000-0005-0000-0000-00002C1A0000}"/>
    <cellStyle name="Обычный 2 12 5 4" xfId="9694" xr:uid="{00000000-0005-0000-0000-00002D1A0000}"/>
    <cellStyle name="Обычный 2 12 5 5" xfId="10680" xr:uid="{00000000-0005-0000-0000-00002E1A0000}"/>
    <cellStyle name="Обычный 2 12 5 6" xfId="11666" xr:uid="{00000000-0005-0000-0000-00002F1A0000}"/>
    <cellStyle name="Обычный 2 12 5 7" xfId="12652" xr:uid="{00000000-0005-0000-0000-0000301A0000}"/>
    <cellStyle name="Обычный 2 12 5 8" xfId="13638" xr:uid="{00000000-0005-0000-0000-0000311A0000}"/>
    <cellStyle name="Обычный 2 12 5 9" xfId="14638" xr:uid="{00000000-0005-0000-0000-0000321A0000}"/>
    <cellStyle name="Обычный 2 12 6" xfId="6988" xr:uid="{00000000-0005-0000-0000-0000331A0000}"/>
    <cellStyle name="Обычный 2 12 7" xfId="7994" xr:uid="{00000000-0005-0000-0000-0000341A0000}"/>
    <cellStyle name="Обычный 2 12 8" xfId="8980" xr:uid="{00000000-0005-0000-0000-0000351A0000}"/>
    <cellStyle name="Обычный 2 12 9" xfId="9966" xr:uid="{00000000-0005-0000-0000-0000361A0000}"/>
    <cellStyle name="Обычный 2 13" xfId="3359" xr:uid="{00000000-0005-0000-0000-0000371A0000}"/>
    <cellStyle name="Обычный 2 13 10" xfId="10953" xr:uid="{00000000-0005-0000-0000-0000381A0000}"/>
    <cellStyle name="Обычный 2 13 11" xfId="11939" xr:uid="{00000000-0005-0000-0000-0000391A0000}"/>
    <cellStyle name="Обычный 2 13 12" xfId="12925" xr:uid="{00000000-0005-0000-0000-00003A1A0000}"/>
    <cellStyle name="Обычный 2 13 13" xfId="13925" xr:uid="{00000000-0005-0000-0000-00003B1A0000}"/>
    <cellStyle name="Обычный 2 13 14" xfId="14911" xr:uid="{00000000-0005-0000-0000-00003C1A0000}"/>
    <cellStyle name="Обычный 2 13 2" xfId="6030" xr:uid="{00000000-0005-0000-0000-00003D1A0000}"/>
    <cellStyle name="Обычный 2 13 2 10" xfId="12984" xr:uid="{00000000-0005-0000-0000-00003E1A0000}"/>
    <cellStyle name="Обычный 2 13 2 11" xfId="13984" xr:uid="{00000000-0005-0000-0000-00003F1A0000}"/>
    <cellStyle name="Обычный 2 13 2 12" xfId="14970" xr:uid="{00000000-0005-0000-0000-0000401A0000}"/>
    <cellStyle name="Обычный 2 13 2 2" xfId="6495" xr:uid="{00000000-0005-0000-0000-0000411A0000}"/>
    <cellStyle name="Обычный 2 13 2 2 10" xfId="15414" xr:uid="{00000000-0005-0000-0000-0000421A0000}"/>
    <cellStyle name="Обычный 2 13 2 2 2" xfId="7492" xr:uid="{00000000-0005-0000-0000-0000431A0000}"/>
    <cellStyle name="Обычный 2 13 2 2 3" xfId="8498" xr:uid="{00000000-0005-0000-0000-0000441A0000}"/>
    <cellStyle name="Обычный 2 13 2 2 4" xfId="9484" xr:uid="{00000000-0005-0000-0000-0000451A0000}"/>
    <cellStyle name="Обычный 2 13 2 2 5" xfId="10470" xr:uid="{00000000-0005-0000-0000-0000461A0000}"/>
    <cellStyle name="Обычный 2 13 2 2 6" xfId="11456" xr:uid="{00000000-0005-0000-0000-0000471A0000}"/>
    <cellStyle name="Обычный 2 13 2 2 7" xfId="12442" xr:uid="{00000000-0005-0000-0000-0000481A0000}"/>
    <cellStyle name="Обычный 2 13 2 2 8" xfId="13428" xr:uid="{00000000-0005-0000-0000-0000491A0000}"/>
    <cellStyle name="Обычный 2 13 2 2 9" xfId="14428" xr:uid="{00000000-0005-0000-0000-00004A1A0000}"/>
    <cellStyle name="Обычный 2 13 2 3" xfId="6765" xr:uid="{00000000-0005-0000-0000-00004B1A0000}"/>
    <cellStyle name="Обычный 2 13 2 3 10" xfId="15684" xr:uid="{00000000-0005-0000-0000-00004C1A0000}"/>
    <cellStyle name="Обычный 2 13 2 3 2" xfId="7762" xr:uid="{00000000-0005-0000-0000-00004D1A0000}"/>
    <cellStyle name="Обычный 2 13 2 3 3" xfId="8768" xr:uid="{00000000-0005-0000-0000-00004E1A0000}"/>
    <cellStyle name="Обычный 2 13 2 3 4" xfId="9754" xr:uid="{00000000-0005-0000-0000-00004F1A0000}"/>
    <cellStyle name="Обычный 2 13 2 3 5" xfId="10740" xr:uid="{00000000-0005-0000-0000-0000501A0000}"/>
    <cellStyle name="Обычный 2 13 2 3 6" xfId="11726" xr:uid="{00000000-0005-0000-0000-0000511A0000}"/>
    <cellStyle name="Обычный 2 13 2 3 7" xfId="12712" xr:uid="{00000000-0005-0000-0000-0000521A0000}"/>
    <cellStyle name="Обычный 2 13 2 3 8" xfId="13698" xr:uid="{00000000-0005-0000-0000-0000531A0000}"/>
    <cellStyle name="Обычный 2 13 2 3 9" xfId="14698" xr:uid="{00000000-0005-0000-0000-0000541A0000}"/>
    <cellStyle name="Обычный 2 13 2 4" xfId="7048" xr:uid="{00000000-0005-0000-0000-0000551A0000}"/>
    <cellStyle name="Обычный 2 13 2 5" xfId="8054" xr:uid="{00000000-0005-0000-0000-0000561A0000}"/>
    <cellStyle name="Обычный 2 13 2 6" xfId="9040" xr:uid="{00000000-0005-0000-0000-0000571A0000}"/>
    <cellStyle name="Обычный 2 13 2 7" xfId="10026" xr:uid="{00000000-0005-0000-0000-0000581A0000}"/>
    <cellStyle name="Обычный 2 13 2 8" xfId="11012" xr:uid="{00000000-0005-0000-0000-0000591A0000}"/>
    <cellStyle name="Обычный 2 13 2 9" xfId="11998" xr:uid="{00000000-0005-0000-0000-00005A1A0000}"/>
    <cellStyle name="Обычный 2 13 3" xfId="6087" xr:uid="{00000000-0005-0000-0000-00005B1A0000}"/>
    <cellStyle name="Обычный 2 13 3 10" xfId="13037" xr:uid="{00000000-0005-0000-0000-00005C1A0000}"/>
    <cellStyle name="Обычный 2 13 3 11" xfId="14037" xr:uid="{00000000-0005-0000-0000-00005D1A0000}"/>
    <cellStyle name="Обычный 2 13 3 12" xfId="15023" xr:uid="{00000000-0005-0000-0000-00005E1A0000}"/>
    <cellStyle name="Обычный 2 13 3 2" xfId="6548" xr:uid="{00000000-0005-0000-0000-00005F1A0000}"/>
    <cellStyle name="Обычный 2 13 3 2 10" xfId="15467" xr:uid="{00000000-0005-0000-0000-0000601A0000}"/>
    <cellStyle name="Обычный 2 13 3 2 2" xfId="7545" xr:uid="{00000000-0005-0000-0000-0000611A0000}"/>
    <cellStyle name="Обычный 2 13 3 2 3" xfId="8551" xr:uid="{00000000-0005-0000-0000-0000621A0000}"/>
    <cellStyle name="Обычный 2 13 3 2 4" xfId="9537" xr:uid="{00000000-0005-0000-0000-0000631A0000}"/>
    <cellStyle name="Обычный 2 13 3 2 5" xfId="10523" xr:uid="{00000000-0005-0000-0000-0000641A0000}"/>
    <cellStyle name="Обычный 2 13 3 2 6" xfId="11509" xr:uid="{00000000-0005-0000-0000-0000651A0000}"/>
    <cellStyle name="Обычный 2 13 3 2 7" xfId="12495" xr:uid="{00000000-0005-0000-0000-0000661A0000}"/>
    <cellStyle name="Обычный 2 13 3 2 8" xfId="13481" xr:uid="{00000000-0005-0000-0000-0000671A0000}"/>
    <cellStyle name="Обычный 2 13 3 2 9" xfId="14481" xr:uid="{00000000-0005-0000-0000-0000681A0000}"/>
    <cellStyle name="Обычный 2 13 3 3" xfId="6818" xr:uid="{00000000-0005-0000-0000-0000691A0000}"/>
    <cellStyle name="Обычный 2 13 3 3 10" xfId="15737" xr:uid="{00000000-0005-0000-0000-00006A1A0000}"/>
    <cellStyle name="Обычный 2 13 3 3 2" xfId="7815" xr:uid="{00000000-0005-0000-0000-00006B1A0000}"/>
    <cellStyle name="Обычный 2 13 3 3 3" xfId="8821" xr:uid="{00000000-0005-0000-0000-00006C1A0000}"/>
    <cellStyle name="Обычный 2 13 3 3 4" xfId="9807" xr:uid="{00000000-0005-0000-0000-00006D1A0000}"/>
    <cellStyle name="Обычный 2 13 3 3 5" xfId="10793" xr:uid="{00000000-0005-0000-0000-00006E1A0000}"/>
    <cellStyle name="Обычный 2 13 3 3 6" xfId="11779" xr:uid="{00000000-0005-0000-0000-00006F1A0000}"/>
    <cellStyle name="Обычный 2 13 3 3 7" xfId="12765" xr:uid="{00000000-0005-0000-0000-0000701A0000}"/>
    <cellStyle name="Обычный 2 13 3 3 8" xfId="13751" xr:uid="{00000000-0005-0000-0000-0000711A0000}"/>
    <cellStyle name="Обычный 2 13 3 3 9" xfId="14751" xr:uid="{00000000-0005-0000-0000-0000721A0000}"/>
    <cellStyle name="Обычный 2 13 3 4" xfId="7101" xr:uid="{00000000-0005-0000-0000-0000731A0000}"/>
    <cellStyle name="Обычный 2 13 3 5" xfId="8107" xr:uid="{00000000-0005-0000-0000-0000741A0000}"/>
    <cellStyle name="Обычный 2 13 3 6" xfId="9093" xr:uid="{00000000-0005-0000-0000-0000751A0000}"/>
    <cellStyle name="Обычный 2 13 3 7" xfId="10079" xr:uid="{00000000-0005-0000-0000-0000761A0000}"/>
    <cellStyle name="Обычный 2 13 3 8" xfId="11065" xr:uid="{00000000-0005-0000-0000-0000771A0000}"/>
    <cellStyle name="Обычный 2 13 3 9" xfId="12051" xr:uid="{00000000-0005-0000-0000-0000781A0000}"/>
    <cellStyle name="Обычный 2 13 4" xfId="6436" xr:uid="{00000000-0005-0000-0000-0000791A0000}"/>
    <cellStyle name="Обычный 2 13 4 10" xfId="15355" xr:uid="{00000000-0005-0000-0000-00007A1A0000}"/>
    <cellStyle name="Обычный 2 13 4 2" xfId="7433" xr:uid="{00000000-0005-0000-0000-00007B1A0000}"/>
    <cellStyle name="Обычный 2 13 4 3" xfId="8439" xr:uid="{00000000-0005-0000-0000-00007C1A0000}"/>
    <cellStyle name="Обычный 2 13 4 4" xfId="9425" xr:uid="{00000000-0005-0000-0000-00007D1A0000}"/>
    <cellStyle name="Обычный 2 13 4 5" xfId="10411" xr:uid="{00000000-0005-0000-0000-00007E1A0000}"/>
    <cellStyle name="Обычный 2 13 4 6" xfId="11397" xr:uid="{00000000-0005-0000-0000-00007F1A0000}"/>
    <cellStyle name="Обычный 2 13 4 7" xfId="12383" xr:uid="{00000000-0005-0000-0000-0000801A0000}"/>
    <cellStyle name="Обычный 2 13 4 8" xfId="13369" xr:uid="{00000000-0005-0000-0000-0000811A0000}"/>
    <cellStyle name="Обычный 2 13 4 9" xfId="14369" xr:uid="{00000000-0005-0000-0000-0000821A0000}"/>
    <cellStyle name="Обычный 2 13 5" xfId="6706" xr:uid="{00000000-0005-0000-0000-0000831A0000}"/>
    <cellStyle name="Обычный 2 13 5 10" xfId="15625" xr:uid="{00000000-0005-0000-0000-0000841A0000}"/>
    <cellStyle name="Обычный 2 13 5 2" xfId="7703" xr:uid="{00000000-0005-0000-0000-0000851A0000}"/>
    <cellStyle name="Обычный 2 13 5 3" xfId="8709" xr:uid="{00000000-0005-0000-0000-0000861A0000}"/>
    <cellStyle name="Обычный 2 13 5 4" xfId="9695" xr:uid="{00000000-0005-0000-0000-0000871A0000}"/>
    <cellStyle name="Обычный 2 13 5 5" xfId="10681" xr:uid="{00000000-0005-0000-0000-0000881A0000}"/>
    <cellStyle name="Обычный 2 13 5 6" xfId="11667" xr:uid="{00000000-0005-0000-0000-0000891A0000}"/>
    <cellStyle name="Обычный 2 13 5 7" xfId="12653" xr:uid="{00000000-0005-0000-0000-00008A1A0000}"/>
    <cellStyle name="Обычный 2 13 5 8" xfId="13639" xr:uid="{00000000-0005-0000-0000-00008B1A0000}"/>
    <cellStyle name="Обычный 2 13 5 9" xfId="14639" xr:uid="{00000000-0005-0000-0000-00008C1A0000}"/>
    <cellStyle name="Обычный 2 13 6" xfId="6989" xr:uid="{00000000-0005-0000-0000-00008D1A0000}"/>
    <cellStyle name="Обычный 2 13 7" xfId="7995" xr:uid="{00000000-0005-0000-0000-00008E1A0000}"/>
    <cellStyle name="Обычный 2 13 8" xfId="8981" xr:uid="{00000000-0005-0000-0000-00008F1A0000}"/>
    <cellStyle name="Обычный 2 13 9" xfId="9967" xr:uid="{00000000-0005-0000-0000-0000901A0000}"/>
    <cellStyle name="Обычный 2 14" xfId="3360" xr:uid="{00000000-0005-0000-0000-0000911A0000}"/>
    <cellStyle name="Обычный 2 14 10" xfId="10954" xr:uid="{00000000-0005-0000-0000-0000921A0000}"/>
    <cellStyle name="Обычный 2 14 11" xfId="11940" xr:uid="{00000000-0005-0000-0000-0000931A0000}"/>
    <cellStyle name="Обычный 2 14 12" xfId="12926" xr:uid="{00000000-0005-0000-0000-0000941A0000}"/>
    <cellStyle name="Обычный 2 14 13" xfId="13926" xr:uid="{00000000-0005-0000-0000-0000951A0000}"/>
    <cellStyle name="Обычный 2 14 14" xfId="14912" xr:uid="{00000000-0005-0000-0000-0000961A0000}"/>
    <cellStyle name="Обычный 2 14 2" xfId="6031" xr:uid="{00000000-0005-0000-0000-0000971A0000}"/>
    <cellStyle name="Обычный 2 14 2 10" xfId="12985" xr:uid="{00000000-0005-0000-0000-0000981A0000}"/>
    <cellStyle name="Обычный 2 14 2 11" xfId="13985" xr:uid="{00000000-0005-0000-0000-0000991A0000}"/>
    <cellStyle name="Обычный 2 14 2 12" xfId="14971" xr:uid="{00000000-0005-0000-0000-00009A1A0000}"/>
    <cellStyle name="Обычный 2 14 2 2" xfId="6496" xr:uid="{00000000-0005-0000-0000-00009B1A0000}"/>
    <cellStyle name="Обычный 2 14 2 2 10" xfId="15415" xr:uid="{00000000-0005-0000-0000-00009C1A0000}"/>
    <cellStyle name="Обычный 2 14 2 2 2" xfId="7493" xr:uid="{00000000-0005-0000-0000-00009D1A0000}"/>
    <cellStyle name="Обычный 2 14 2 2 3" xfId="8499" xr:uid="{00000000-0005-0000-0000-00009E1A0000}"/>
    <cellStyle name="Обычный 2 14 2 2 4" xfId="9485" xr:uid="{00000000-0005-0000-0000-00009F1A0000}"/>
    <cellStyle name="Обычный 2 14 2 2 5" xfId="10471" xr:uid="{00000000-0005-0000-0000-0000A01A0000}"/>
    <cellStyle name="Обычный 2 14 2 2 6" xfId="11457" xr:uid="{00000000-0005-0000-0000-0000A11A0000}"/>
    <cellStyle name="Обычный 2 14 2 2 7" xfId="12443" xr:uid="{00000000-0005-0000-0000-0000A21A0000}"/>
    <cellStyle name="Обычный 2 14 2 2 8" xfId="13429" xr:uid="{00000000-0005-0000-0000-0000A31A0000}"/>
    <cellStyle name="Обычный 2 14 2 2 9" xfId="14429" xr:uid="{00000000-0005-0000-0000-0000A41A0000}"/>
    <cellStyle name="Обычный 2 14 2 3" xfId="6766" xr:uid="{00000000-0005-0000-0000-0000A51A0000}"/>
    <cellStyle name="Обычный 2 14 2 3 10" xfId="15685" xr:uid="{00000000-0005-0000-0000-0000A61A0000}"/>
    <cellStyle name="Обычный 2 14 2 3 2" xfId="7763" xr:uid="{00000000-0005-0000-0000-0000A71A0000}"/>
    <cellStyle name="Обычный 2 14 2 3 3" xfId="8769" xr:uid="{00000000-0005-0000-0000-0000A81A0000}"/>
    <cellStyle name="Обычный 2 14 2 3 4" xfId="9755" xr:uid="{00000000-0005-0000-0000-0000A91A0000}"/>
    <cellStyle name="Обычный 2 14 2 3 5" xfId="10741" xr:uid="{00000000-0005-0000-0000-0000AA1A0000}"/>
    <cellStyle name="Обычный 2 14 2 3 6" xfId="11727" xr:uid="{00000000-0005-0000-0000-0000AB1A0000}"/>
    <cellStyle name="Обычный 2 14 2 3 7" xfId="12713" xr:uid="{00000000-0005-0000-0000-0000AC1A0000}"/>
    <cellStyle name="Обычный 2 14 2 3 8" xfId="13699" xr:uid="{00000000-0005-0000-0000-0000AD1A0000}"/>
    <cellStyle name="Обычный 2 14 2 3 9" xfId="14699" xr:uid="{00000000-0005-0000-0000-0000AE1A0000}"/>
    <cellStyle name="Обычный 2 14 2 4" xfId="7049" xr:uid="{00000000-0005-0000-0000-0000AF1A0000}"/>
    <cellStyle name="Обычный 2 14 2 5" xfId="8055" xr:uid="{00000000-0005-0000-0000-0000B01A0000}"/>
    <cellStyle name="Обычный 2 14 2 6" xfId="9041" xr:uid="{00000000-0005-0000-0000-0000B11A0000}"/>
    <cellStyle name="Обычный 2 14 2 7" xfId="10027" xr:uid="{00000000-0005-0000-0000-0000B21A0000}"/>
    <cellStyle name="Обычный 2 14 2 8" xfId="11013" xr:uid="{00000000-0005-0000-0000-0000B31A0000}"/>
    <cellStyle name="Обычный 2 14 2 9" xfId="11999" xr:uid="{00000000-0005-0000-0000-0000B41A0000}"/>
    <cellStyle name="Обычный 2 14 3" xfId="6088" xr:uid="{00000000-0005-0000-0000-0000B51A0000}"/>
    <cellStyle name="Обычный 2 14 3 10" xfId="13038" xr:uid="{00000000-0005-0000-0000-0000B61A0000}"/>
    <cellStyle name="Обычный 2 14 3 11" xfId="14038" xr:uid="{00000000-0005-0000-0000-0000B71A0000}"/>
    <cellStyle name="Обычный 2 14 3 12" xfId="15024" xr:uid="{00000000-0005-0000-0000-0000B81A0000}"/>
    <cellStyle name="Обычный 2 14 3 2" xfId="6549" xr:uid="{00000000-0005-0000-0000-0000B91A0000}"/>
    <cellStyle name="Обычный 2 14 3 2 10" xfId="15468" xr:uid="{00000000-0005-0000-0000-0000BA1A0000}"/>
    <cellStyle name="Обычный 2 14 3 2 2" xfId="7546" xr:uid="{00000000-0005-0000-0000-0000BB1A0000}"/>
    <cellStyle name="Обычный 2 14 3 2 3" xfId="8552" xr:uid="{00000000-0005-0000-0000-0000BC1A0000}"/>
    <cellStyle name="Обычный 2 14 3 2 4" xfId="9538" xr:uid="{00000000-0005-0000-0000-0000BD1A0000}"/>
    <cellStyle name="Обычный 2 14 3 2 5" xfId="10524" xr:uid="{00000000-0005-0000-0000-0000BE1A0000}"/>
    <cellStyle name="Обычный 2 14 3 2 6" xfId="11510" xr:uid="{00000000-0005-0000-0000-0000BF1A0000}"/>
    <cellStyle name="Обычный 2 14 3 2 7" xfId="12496" xr:uid="{00000000-0005-0000-0000-0000C01A0000}"/>
    <cellStyle name="Обычный 2 14 3 2 8" xfId="13482" xr:uid="{00000000-0005-0000-0000-0000C11A0000}"/>
    <cellStyle name="Обычный 2 14 3 2 9" xfId="14482" xr:uid="{00000000-0005-0000-0000-0000C21A0000}"/>
    <cellStyle name="Обычный 2 14 3 3" xfId="6819" xr:uid="{00000000-0005-0000-0000-0000C31A0000}"/>
    <cellStyle name="Обычный 2 14 3 3 10" xfId="15738" xr:uid="{00000000-0005-0000-0000-0000C41A0000}"/>
    <cellStyle name="Обычный 2 14 3 3 2" xfId="7816" xr:uid="{00000000-0005-0000-0000-0000C51A0000}"/>
    <cellStyle name="Обычный 2 14 3 3 3" xfId="8822" xr:uid="{00000000-0005-0000-0000-0000C61A0000}"/>
    <cellStyle name="Обычный 2 14 3 3 4" xfId="9808" xr:uid="{00000000-0005-0000-0000-0000C71A0000}"/>
    <cellStyle name="Обычный 2 14 3 3 5" xfId="10794" xr:uid="{00000000-0005-0000-0000-0000C81A0000}"/>
    <cellStyle name="Обычный 2 14 3 3 6" xfId="11780" xr:uid="{00000000-0005-0000-0000-0000C91A0000}"/>
    <cellStyle name="Обычный 2 14 3 3 7" xfId="12766" xr:uid="{00000000-0005-0000-0000-0000CA1A0000}"/>
    <cellStyle name="Обычный 2 14 3 3 8" xfId="13752" xr:uid="{00000000-0005-0000-0000-0000CB1A0000}"/>
    <cellStyle name="Обычный 2 14 3 3 9" xfId="14752" xr:uid="{00000000-0005-0000-0000-0000CC1A0000}"/>
    <cellStyle name="Обычный 2 14 3 4" xfId="7102" xr:uid="{00000000-0005-0000-0000-0000CD1A0000}"/>
    <cellStyle name="Обычный 2 14 3 5" xfId="8108" xr:uid="{00000000-0005-0000-0000-0000CE1A0000}"/>
    <cellStyle name="Обычный 2 14 3 6" xfId="9094" xr:uid="{00000000-0005-0000-0000-0000CF1A0000}"/>
    <cellStyle name="Обычный 2 14 3 7" xfId="10080" xr:uid="{00000000-0005-0000-0000-0000D01A0000}"/>
    <cellStyle name="Обычный 2 14 3 8" xfId="11066" xr:uid="{00000000-0005-0000-0000-0000D11A0000}"/>
    <cellStyle name="Обычный 2 14 3 9" xfId="12052" xr:uid="{00000000-0005-0000-0000-0000D21A0000}"/>
    <cellStyle name="Обычный 2 14 4" xfId="6437" xr:uid="{00000000-0005-0000-0000-0000D31A0000}"/>
    <cellStyle name="Обычный 2 14 4 10" xfId="15356" xr:uid="{00000000-0005-0000-0000-0000D41A0000}"/>
    <cellStyle name="Обычный 2 14 4 2" xfId="7434" xr:uid="{00000000-0005-0000-0000-0000D51A0000}"/>
    <cellStyle name="Обычный 2 14 4 3" xfId="8440" xr:uid="{00000000-0005-0000-0000-0000D61A0000}"/>
    <cellStyle name="Обычный 2 14 4 4" xfId="9426" xr:uid="{00000000-0005-0000-0000-0000D71A0000}"/>
    <cellStyle name="Обычный 2 14 4 5" xfId="10412" xr:uid="{00000000-0005-0000-0000-0000D81A0000}"/>
    <cellStyle name="Обычный 2 14 4 6" xfId="11398" xr:uid="{00000000-0005-0000-0000-0000D91A0000}"/>
    <cellStyle name="Обычный 2 14 4 7" xfId="12384" xr:uid="{00000000-0005-0000-0000-0000DA1A0000}"/>
    <cellStyle name="Обычный 2 14 4 8" xfId="13370" xr:uid="{00000000-0005-0000-0000-0000DB1A0000}"/>
    <cellStyle name="Обычный 2 14 4 9" xfId="14370" xr:uid="{00000000-0005-0000-0000-0000DC1A0000}"/>
    <cellStyle name="Обычный 2 14 5" xfId="6707" xr:uid="{00000000-0005-0000-0000-0000DD1A0000}"/>
    <cellStyle name="Обычный 2 14 5 10" xfId="15626" xr:uid="{00000000-0005-0000-0000-0000DE1A0000}"/>
    <cellStyle name="Обычный 2 14 5 2" xfId="7704" xr:uid="{00000000-0005-0000-0000-0000DF1A0000}"/>
    <cellStyle name="Обычный 2 14 5 3" xfId="8710" xr:uid="{00000000-0005-0000-0000-0000E01A0000}"/>
    <cellStyle name="Обычный 2 14 5 4" xfId="9696" xr:uid="{00000000-0005-0000-0000-0000E11A0000}"/>
    <cellStyle name="Обычный 2 14 5 5" xfId="10682" xr:uid="{00000000-0005-0000-0000-0000E21A0000}"/>
    <cellStyle name="Обычный 2 14 5 6" xfId="11668" xr:uid="{00000000-0005-0000-0000-0000E31A0000}"/>
    <cellStyle name="Обычный 2 14 5 7" xfId="12654" xr:uid="{00000000-0005-0000-0000-0000E41A0000}"/>
    <cellStyle name="Обычный 2 14 5 8" xfId="13640" xr:uid="{00000000-0005-0000-0000-0000E51A0000}"/>
    <cellStyle name="Обычный 2 14 5 9" xfId="14640" xr:uid="{00000000-0005-0000-0000-0000E61A0000}"/>
    <cellStyle name="Обычный 2 14 6" xfId="6990" xr:uid="{00000000-0005-0000-0000-0000E71A0000}"/>
    <cellStyle name="Обычный 2 14 7" xfId="7996" xr:uid="{00000000-0005-0000-0000-0000E81A0000}"/>
    <cellStyle name="Обычный 2 14 8" xfId="8982" xr:uid="{00000000-0005-0000-0000-0000E91A0000}"/>
    <cellStyle name="Обычный 2 14 9" xfId="9968" xr:uid="{00000000-0005-0000-0000-0000EA1A0000}"/>
    <cellStyle name="Обычный 2 15" xfId="2614" xr:uid="{00000000-0005-0000-0000-0000EB1A0000}"/>
    <cellStyle name="Обычный 2 15 10" xfId="6007" xr:uid="{00000000-0005-0000-0000-0000EC1A0000}"/>
    <cellStyle name="Обычный 2 15 10 10" xfId="12971" xr:uid="{00000000-0005-0000-0000-0000ED1A0000}"/>
    <cellStyle name="Обычный 2 15 10 11" xfId="13971" xr:uid="{00000000-0005-0000-0000-0000EE1A0000}"/>
    <cellStyle name="Обычный 2 15 10 12" xfId="14957" xr:uid="{00000000-0005-0000-0000-0000EF1A0000}"/>
    <cellStyle name="Обычный 2 15 10 2" xfId="6482" xr:uid="{00000000-0005-0000-0000-0000F01A0000}"/>
    <cellStyle name="Обычный 2 15 10 2 10" xfId="15401" xr:uid="{00000000-0005-0000-0000-0000F11A0000}"/>
    <cellStyle name="Обычный 2 15 10 2 2" xfId="7479" xr:uid="{00000000-0005-0000-0000-0000F21A0000}"/>
    <cellStyle name="Обычный 2 15 10 2 3" xfId="8485" xr:uid="{00000000-0005-0000-0000-0000F31A0000}"/>
    <cellStyle name="Обычный 2 15 10 2 4" xfId="9471" xr:uid="{00000000-0005-0000-0000-0000F41A0000}"/>
    <cellStyle name="Обычный 2 15 10 2 5" xfId="10457" xr:uid="{00000000-0005-0000-0000-0000F51A0000}"/>
    <cellStyle name="Обычный 2 15 10 2 6" xfId="11443" xr:uid="{00000000-0005-0000-0000-0000F61A0000}"/>
    <cellStyle name="Обычный 2 15 10 2 7" xfId="12429" xr:uid="{00000000-0005-0000-0000-0000F71A0000}"/>
    <cellStyle name="Обычный 2 15 10 2 8" xfId="13415" xr:uid="{00000000-0005-0000-0000-0000F81A0000}"/>
    <cellStyle name="Обычный 2 15 10 2 9" xfId="14415" xr:uid="{00000000-0005-0000-0000-0000F91A0000}"/>
    <cellStyle name="Обычный 2 15 10 3" xfId="6752" xr:uid="{00000000-0005-0000-0000-0000FA1A0000}"/>
    <cellStyle name="Обычный 2 15 10 3 10" xfId="15671" xr:uid="{00000000-0005-0000-0000-0000FB1A0000}"/>
    <cellStyle name="Обычный 2 15 10 3 2" xfId="7749" xr:uid="{00000000-0005-0000-0000-0000FC1A0000}"/>
    <cellStyle name="Обычный 2 15 10 3 3" xfId="8755" xr:uid="{00000000-0005-0000-0000-0000FD1A0000}"/>
    <cellStyle name="Обычный 2 15 10 3 4" xfId="9741" xr:uid="{00000000-0005-0000-0000-0000FE1A0000}"/>
    <cellStyle name="Обычный 2 15 10 3 5" xfId="10727" xr:uid="{00000000-0005-0000-0000-0000FF1A0000}"/>
    <cellStyle name="Обычный 2 15 10 3 6" xfId="11713" xr:uid="{00000000-0005-0000-0000-0000001B0000}"/>
    <cellStyle name="Обычный 2 15 10 3 7" xfId="12699" xr:uid="{00000000-0005-0000-0000-0000011B0000}"/>
    <cellStyle name="Обычный 2 15 10 3 8" xfId="13685" xr:uid="{00000000-0005-0000-0000-0000021B0000}"/>
    <cellStyle name="Обычный 2 15 10 3 9" xfId="14685" xr:uid="{00000000-0005-0000-0000-0000031B0000}"/>
    <cellStyle name="Обычный 2 15 10 4" xfId="7035" xr:uid="{00000000-0005-0000-0000-0000041B0000}"/>
    <cellStyle name="Обычный 2 15 10 5" xfId="8041" xr:uid="{00000000-0005-0000-0000-0000051B0000}"/>
    <cellStyle name="Обычный 2 15 10 6" xfId="9027" xr:uid="{00000000-0005-0000-0000-0000061B0000}"/>
    <cellStyle name="Обычный 2 15 10 7" xfId="10013" xr:uid="{00000000-0005-0000-0000-0000071B0000}"/>
    <cellStyle name="Обычный 2 15 10 8" xfId="10999" xr:uid="{00000000-0005-0000-0000-0000081B0000}"/>
    <cellStyle name="Обычный 2 15 10 9" xfId="11985" xr:uid="{00000000-0005-0000-0000-0000091B0000}"/>
    <cellStyle name="Обычный 2 15 11" xfId="6074" xr:uid="{00000000-0005-0000-0000-00000A1B0000}"/>
    <cellStyle name="Обычный 2 15 11 10" xfId="13024" xr:uid="{00000000-0005-0000-0000-00000B1B0000}"/>
    <cellStyle name="Обычный 2 15 11 11" xfId="14024" xr:uid="{00000000-0005-0000-0000-00000C1B0000}"/>
    <cellStyle name="Обычный 2 15 11 12" xfId="15010" xr:uid="{00000000-0005-0000-0000-00000D1B0000}"/>
    <cellStyle name="Обычный 2 15 11 2" xfId="6535" xr:uid="{00000000-0005-0000-0000-00000E1B0000}"/>
    <cellStyle name="Обычный 2 15 11 2 10" xfId="15454" xr:uid="{00000000-0005-0000-0000-00000F1B0000}"/>
    <cellStyle name="Обычный 2 15 11 2 2" xfId="7532" xr:uid="{00000000-0005-0000-0000-0000101B0000}"/>
    <cellStyle name="Обычный 2 15 11 2 3" xfId="8538" xr:uid="{00000000-0005-0000-0000-0000111B0000}"/>
    <cellStyle name="Обычный 2 15 11 2 4" xfId="9524" xr:uid="{00000000-0005-0000-0000-0000121B0000}"/>
    <cellStyle name="Обычный 2 15 11 2 5" xfId="10510" xr:uid="{00000000-0005-0000-0000-0000131B0000}"/>
    <cellStyle name="Обычный 2 15 11 2 6" xfId="11496" xr:uid="{00000000-0005-0000-0000-0000141B0000}"/>
    <cellStyle name="Обычный 2 15 11 2 7" xfId="12482" xr:uid="{00000000-0005-0000-0000-0000151B0000}"/>
    <cellStyle name="Обычный 2 15 11 2 8" xfId="13468" xr:uid="{00000000-0005-0000-0000-0000161B0000}"/>
    <cellStyle name="Обычный 2 15 11 2 9" xfId="14468" xr:uid="{00000000-0005-0000-0000-0000171B0000}"/>
    <cellStyle name="Обычный 2 15 11 3" xfId="6805" xr:uid="{00000000-0005-0000-0000-0000181B0000}"/>
    <cellStyle name="Обычный 2 15 11 3 10" xfId="15724" xr:uid="{00000000-0005-0000-0000-0000191B0000}"/>
    <cellStyle name="Обычный 2 15 11 3 2" xfId="7802" xr:uid="{00000000-0005-0000-0000-00001A1B0000}"/>
    <cellStyle name="Обычный 2 15 11 3 3" xfId="8808" xr:uid="{00000000-0005-0000-0000-00001B1B0000}"/>
    <cellStyle name="Обычный 2 15 11 3 4" xfId="9794" xr:uid="{00000000-0005-0000-0000-00001C1B0000}"/>
    <cellStyle name="Обычный 2 15 11 3 5" xfId="10780" xr:uid="{00000000-0005-0000-0000-00001D1B0000}"/>
    <cellStyle name="Обычный 2 15 11 3 6" xfId="11766" xr:uid="{00000000-0005-0000-0000-00001E1B0000}"/>
    <cellStyle name="Обычный 2 15 11 3 7" xfId="12752" xr:uid="{00000000-0005-0000-0000-00001F1B0000}"/>
    <cellStyle name="Обычный 2 15 11 3 8" xfId="13738" xr:uid="{00000000-0005-0000-0000-0000201B0000}"/>
    <cellStyle name="Обычный 2 15 11 3 9" xfId="14738" xr:uid="{00000000-0005-0000-0000-0000211B0000}"/>
    <cellStyle name="Обычный 2 15 11 4" xfId="7088" xr:uid="{00000000-0005-0000-0000-0000221B0000}"/>
    <cellStyle name="Обычный 2 15 11 5" xfId="8094" xr:uid="{00000000-0005-0000-0000-0000231B0000}"/>
    <cellStyle name="Обычный 2 15 11 6" xfId="9080" xr:uid="{00000000-0005-0000-0000-0000241B0000}"/>
    <cellStyle name="Обычный 2 15 11 7" xfId="10066" xr:uid="{00000000-0005-0000-0000-0000251B0000}"/>
    <cellStyle name="Обычный 2 15 11 8" xfId="11052" xr:uid="{00000000-0005-0000-0000-0000261B0000}"/>
    <cellStyle name="Обычный 2 15 11 9" xfId="12038" xr:uid="{00000000-0005-0000-0000-0000271B0000}"/>
    <cellStyle name="Обычный 2 15 12" xfId="6423" xr:uid="{00000000-0005-0000-0000-0000281B0000}"/>
    <cellStyle name="Обычный 2 15 12 10" xfId="15342" xr:uid="{00000000-0005-0000-0000-0000291B0000}"/>
    <cellStyle name="Обычный 2 15 12 2" xfId="7420" xr:uid="{00000000-0005-0000-0000-00002A1B0000}"/>
    <cellStyle name="Обычный 2 15 12 3" xfId="8426" xr:uid="{00000000-0005-0000-0000-00002B1B0000}"/>
    <cellStyle name="Обычный 2 15 12 4" xfId="9412" xr:uid="{00000000-0005-0000-0000-00002C1B0000}"/>
    <cellStyle name="Обычный 2 15 12 5" xfId="10398" xr:uid="{00000000-0005-0000-0000-00002D1B0000}"/>
    <cellStyle name="Обычный 2 15 12 6" xfId="11384" xr:uid="{00000000-0005-0000-0000-00002E1B0000}"/>
    <cellStyle name="Обычный 2 15 12 7" xfId="12370" xr:uid="{00000000-0005-0000-0000-00002F1B0000}"/>
    <cellStyle name="Обычный 2 15 12 8" xfId="13356" xr:uid="{00000000-0005-0000-0000-0000301B0000}"/>
    <cellStyle name="Обычный 2 15 12 9" xfId="14356" xr:uid="{00000000-0005-0000-0000-0000311B0000}"/>
    <cellStyle name="Обычный 2 15 13" xfId="6693" xr:uid="{00000000-0005-0000-0000-0000321B0000}"/>
    <cellStyle name="Обычный 2 15 13 10" xfId="15612" xr:uid="{00000000-0005-0000-0000-0000331B0000}"/>
    <cellStyle name="Обычный 2 15 13 2" xfId="7690" xr:uid="{00000000-0005-0000-0000-0000341B0000}"/>
    <cellStyle name="Обычный 2 15 13 3" xfId="8696" xr:uid="{00000000-0005-0000-0000-0000351B0000}"/>
    <cellStyle name="Обычный 2 15 13 4" xfId="9682" xr:uid="{00000000-0005-0000-0000-0000361B0000}"/>
    <cellStyle name="Обычный 2 15 13 5" xfId="10668" xr:uid="{00000000-0005-0000-0000-0000371B0000}"/>
    <cellStyle name="Обычный 2 15 13 6" xfId="11654" xr:uid="{00000000-0005-0000-0000-0000381B0000}"/>
    <cellStyle name="Обычный 2 15 13 7" xfId="12640" xr:uid="{00000000-0005-0000-0000-0000391B0000}"/>
    <cellStyle name="Обычный 2 15 13 8" xfId="13626" xr:uid="{00000000-0005-0000-0000-00003A1B0000}"/>
    <cellStyle name="Обычный 2 15 13 9" xfId="14626" xr:uid="{00000000-0005-0000-0000-00003B1B0000}"/>
    <cellStyle name="Обычный 2 15 14" xfId="6976" xr:uid="{00000000-0005-0000-0000-00003C1B0000}"/>
    <cellStyle name="Обычный 2 15 15" xfId="7982" xr:uid="{00000000-0005-0000-0000-00003D1B0000}"/>
    <cellStyle name="Обычный 2 15 16" xfId="8968" xr:uid="{00000000-0005-0000-0000-00003E1B0000}"/>
    <cellStyle name="Обычный 2 15 17" xfId="9954" xr:uid="{00000000-0005-0000-0000-00003F1B0000}"/>
    <cellStyle name="Обычный 2 15 18" xfId="10940" xr:uid="{00000000-0005-0000-0000-0000401B0000}"/>
    <cellStyle name="Обычный 2 15 19" xfId="11926" xr:uid="{00000000-0005-0000-0000-0000411B0000}"/>
    <cellStyle name="Обычный 2 15 2" xfId="3361" xr:uid="{00000000-0005-0000-0000-0000421B0000}"/>
    <cellStyle name="Обычный 2 15 2 10" xfId="10955" xr:uid="{00000000-0005-0000-0000-0000431B0000}"/>
    <cellStyle name="Обычный 2 15 2 11" xfId="11941" xr:uid="{00000000-0005-0000-0000-0000441B0000}"/>
    <cellStyle name="Обычный 2 15 2 12" xfId="12927" xr:uid="{00000000-0005-0000-0000-0000451B0000}"/>
    <cellStyle name="Обычный 2 15 2 13" xfId="13927" xr:uid="{00000000-0005-0000-0000-0000461B0000}"/>
    <cellStyle name="Обычный 2 15 2 14" xfId="14913" xr:uid="{00000000-0005-0000-0000-0000471B0000}"/>
    <cellStyle name="Обычный 2 15 2 2" xfId="6032" xr:uid="{00000000-0005-0000-0000-0000481B0000}"/>
    <cellStyle name="Обычный 2 15 2 2 10" xfId="12986" xr:uid="{00000000-0005-0000-0000-0000491B0000}"/>
    <cellStyle name="Обычный 2 15 2 2 11" xfId="13986" xr:uid="{00000000-0005-0000-0000-00004A1B0000}"/>
    <cellStyle name="Обычный 2 15 2 2 12" xfId="14972" xr:uid="{00000000-0005-0000-0000-00004B1B0000}"/>
    <cellStyle name="Обычный 2 15 2 2 2" xfId="6497" xr:uid="{00000000-0005-0000-0000-00004C1B0000}"/>
    <cellStyle name="Обычный 2 15 2 2 2 10" xfId="15416" xr:uid="{00000000-0005-0000-0000-00004D1B0000}"/>
    <cellStyle name="Обычный 2 15 2 2 2 2" xfId="7494" xr:uid="{00000000-0005-0000-0000-00004E1B0000}"/>
    <cellStyle name="Обычный 2 15 2 2 2 3" xfId="8500" xr:uid="{00000000-0005-0000-0000-00004F1B0000}"/>
    <cellStyle name="Обычный 2 15 2 2 2 4" xfId="9486" xr:uid="{00000000-0005-0000-0000-0000501B0000}"/>
    <cellStyle name="Обычный 2 15 2 2 2 5" xfId="10472" xr:uid="{00000000-0005-0000-0000-0000511B0000}"/>
    <cellStyle name="Обычный 2 15 2 2 2 6" xfId="11458" xr:uid="{00000000-0005-0000-0000-0000521B0000}"/>
    <cellStyle name="Обычный 2 15 2 2 2 7" xfId="12444" xr:uid="{00000000-0005-0000-0000-0000531B0000}"/>
    <cellStyle name="Обычный 2 15 2 2 2 8" xfId="13430" xr:uid="{00000000-0005-0000-0000-0000541B0000}"/>
    <cellStyle name="Обычный 2 15 2 2 2 9" xfId="14430" xr:uid="{00000000-0005-0000-0000-0000551B0000}"/>
    <cellStyle name="Обычный 2 15 2 2 3" xfId="6767" xr:uid="{00000000-0005-0000-0000-0000561B0000}"/>
    <cellStyle name="Обычный 2 15 2 2 3 10" xfId="15686" xr:uid="{00000000-0005-0000-0000-0000571B0000}"/>
    <cellStyle name="Обычный 2 15 2 2 3 2" xfId="7764" xr:uid="{00000000-0005-0000-0000-0000581B0000}"/>
    <cellStyle name="Обычный 2 15 2 2 3 3" xfId="8770" xr:uid="{00000000-0005-0000-0000-0000591B0000}"/>
    <cellStyle name="Обычный 2 15 2 2 3 4" xfId="9756" xr:uid="{00000000-0005-0000-0000-00005A1B0000}"/>
    <cellStyle name="Обычный 2 15 2 2 3 5" xfId="10742" xr:uid="{00000000-0005-0000-0000-00005B1B0000}"/>
    <cellStyle name="Обычный 2 15 2 2 3 6" xfId="11728" xr:uid="{00000000-0005-0000-0000-00005C1B0000}"/>
    <cellStyle name="Обычный 2 15 2 2 3 7" xfId="12714" xr:uid="{00000000-0005-0000-0000-00005D1B0000}"/>
    <cellStyle name="Обычный 2 15 2 2 3 8" xfId="13700" xr:uid="{00000000-0005-0000-0000-00005E1B0000}"/>
    <cellStyle name="Обычный 2 15 2 2 3 9" xfId="14700" xr:uid="{00000000-0005-0000-0000-00005F1B0000}"/>
    <cellStyle name="Обычный 2 15 2 2 4" xfId="7050" xr:uid="{00000000-0005-0000-0000-0000601B0000}"/>
    <cellStyle name="Обычный 2 15 2 2 5" xfId="8056" xr:uid="{00000000-0005-0000-0000-0000611B0000}"/>
    <cellStyle name="Обычный 2 15 2 2 6" xfId="9042" xr:uid="{00000000-0005-0000-0000-0000621B0000}"/>
    <cellStyle name="Обычный 2 15 2 2 7" xfId="10028" xr:uid="{00000000-0005-0000-0000-0000631B0000}"/>
    <cellStyle name="Обычный 2 15 2 2 8" xfId="11014" xr:uid="{00000000-0005-0000-0000-0000641B0000}"/>
    <cellStyle name="Обычный 2 15 2 2 9" xfId="12000" xr:uid="{00000000-0005-0000-0000-0000651B0000}"/>
    <cellStyle name="Обычный 2 15 2 3" xfId="6089" xr:uid="{00000000-0005-0000-0000-0000661B0000}"/>
    <cellStyle name="Обычный 2 15 2 3 10" xfId="13039" xr:uid="{00000000-0005-0000-0000-0000671B0000}"/>
    <cellStyle name="Обычный 2 15 2 3 11" xfId="14039" xr:uid="{00000000-0005-0000-0000-0000681B0000}"/>
    <cellStyle name="Обычный 2 15 2 3 12" xfId="15025" xr:uid="{00000000-0005-0000-0000-0000691B0000}"/>
    <cellStyle name="Обычный 2 15 2 3 2" xfId="6550" xr:uid="{00000000-0005-0000-0000-00006A1B0000}"/>
    <cellStyle name="Обычный 2 15 2 3 2 10" xfId="15469" xr:uid="{00000000-0005-0000-0000-00006B1B0000}"/>
    <cellStyle name="Обычный 2 15 2 3 2 2" xfId="7547" xr:uid="{00000000-0005-0000-0000-00006C1B0000}"/>
    <cellStyle name="Обычный 2 15 2 3 2 3" xfId="8553" xr:uid="{00000000-0005-0000-0000-00006D1B0000}"/>
    <cellStyle name="Обычный 2 15 2 3 2 4" xfId="9539" xr:uid="{00000000-0005-0000-0000-00006E1B0000}"/>
    <cellStyle name="Обычный 2 15 2 3 2 5" xfId="10525" xr:uid="{00000000-0005-0000-0000-00006F1B0000}"/>
    <cellStyle name="Обычный 2 15 2 3 2 6" xfId="11511" xr:uid="{00000000-0005-0000-0000-0000701B0000}"/>
    <cellStyle name="Обычный 2 15 2 3 2 7" xfId="12497" xr:uid="{00000000-0005-0000-0000-0000711B0000}"/>
    <cellStyle name="Обычный 2 15 2 3 2 8" xfId="13483" xr:uid="{00000000-0005-0000-0000-0000721B0000}"/>
    <cellStyle name="Обычный 2 15 2 3 2 9" xfId="14483" xr:uid="{00000000-0005-0000-0000-0000731B0000}"/>
    <cellStyle name="Обычный 2 15 2 3 3" xfId="6820" xr:uid="{00000000-0005-0000-0000-0000741B0000}"/>
    <cellStyle name="Обычный 2 15 2 3 3 10" xfId="15739" xr:uid="{00000000-0005-0000-0000-0000751B0000}"/>
    <cellStyle name="Обычный 2 15 2 3 3 2" xfId="7817" xr:uid="{00000000-0005-0000-0000-0000761B0000}"/>
    <cellStyle name="Обычный 2 15 2 3 3 3" xfId="8823" xr:uid="{00000000-0005-0000-0000-0000771B0000}"/>
    <cellStyle name="Обычный 2 15 2 3 3 4" xfId="9809" xr:uid="{00000000-0005-0000-0000-0000781B0000}"/>
    <cellStyle name="Обычный 2 15 2 3 3 5" xfId="10795" xr:uid="{00000000-0005-0000-0000-0000791B0000}"/>
    <cellStyle name="Обычный 2 15 2 3 3 6" xfId="11781" xr:uid="{00000000-0005-0000-0000-00007A1B0000}"/>
    <cellStyle name="Обычный 2 15 2 3 3 7" xfId="12767" xr:uid="{00000000-0005-0000-0000-00007B1B0000}"/>
    <cellStyle name="Обычный 2 15 2 3 3 8" xfId="13753" xr:uid="{00000000-0005-0000-0000-00007C1B0000}"/>
    <cellStyle name="Обычный 2 15 2 3 3 9" xfId="14753" xr:uid="{00000000-0005-0000-0000-00007D1B0000}"/>
    <cellStyle name="Обычный 2 15 2 3 4" xfId="7103" xr:uid="{00000000-0005-0000-0000-00007E1B0000}"/>
    <cellStyle name="Обычный 2 15 2 3 5" xfId="8109" xr:uid="{00000000-0005-0000-0000-00007F1B0000}"/>
    <cellStyle name="Обычный 2 15 2 3 6" xfId="9095" xr:uid="{00000000-0005-0000-0000-0000801B0000}"/>
    <cellStyle name="Обычный 2 15 2 3 7" xfId="10081" xr:uid="{00000000-0005-0000-0000-0000811B0000}"/>
    <cellStyle name="Обычный 2 15 2 3 8" xfId="11067" xr:uid="{00000000-0005-0000-0000-0000821B0000}"/>
    <cellStyle name="Обычный 2 15 2 3 9" xfId="12053" xr:uid="{00000000-0005-0000-0000-0000831B0000}"/>
    <cellStyle name="Обычный 2 15 2 4" xfId="6438" xr:uid="{00000000-0005-0000-0000-0000841B0000}"/>
    <cellStyle name="Обычный 2 15 2 4 10" xfId="15357" xr:uid="{00000000-0005-0000-0000-0000851B0000}"/>
    <cellStyle name="Обычный 2 15 2 4 2" xfId="7435" xr:uid="{00000000-0005-0000-0000-0000861B0000}"/>
    <cellStyle name="Обычный 2 15 2 4 3" xfId="8441" xr:uid="{00000000-0005-0000-0000-0000871B0000}"/>
    <cellStyle name="Обычный 2 15 2 4 4" xfId="9427" xr:uid="{00000000-0005-0000-0000-0000881B0000}"/>
    <cellStyle name="Обычный 2 15 2 4 5" xfId="10413" xr:uid="{00000000-0005-0000-0000-0000891B0000}"/>
    <cellStyle name="Обычный 2 15 2 4 6" xfId="11399" xr:uid="{00000000-0005-0000-0000-00008A1B0000}"/>
    <cellStyle name="Обычный 2 15 2 4 7" xfId="12385" xr:uid="{00000000-0005-0000-0000-00008B1B0000}"/>
    <cellStyle name="Обычный 2 15 2 4 8" xfId="13371" xr:uid="{00000000-0005-0000-0000-00008C1B0000}"/>
    <cellStyle name="Обычный 2 15 2 4 9" xfId="14371" xr:uid="{00000000-0005-0000-0000-00008D1B0000}"/>
    <cellStyle name="Обычный 2 15 2 5" xfId="6708" xr:uid="{00000000-0005-0000-0000-00008E1B0000}"/>
    <cellStyle name="Обычный 2 15 2 5 10" xfId="15627" xr:uid="{00000000-0005-0000-0000-00008F1B0000}"/>
    <cellStyle name="Обычный 2 15 2 5 2" xfId="7705" xr:uid="{00000000-0005-0000-0000-0000901B0000}"/>
    <cellStyle name="Обычный 2 15 2 5 3" xfId="8711" xr:uid="{00000000-0005-0000-0000-0000911B0000}"/>
    <cellStyle name="Обычный 2 15 2 5 4" xfId="9697" xr:uid="{00000000-0005-0000-0000-0000921B0000}"/>
    <cellStyle name="Обычный 2 15 2 5 5" xfId="10683" xr:uid="{00000000-0005-0000-0000-0000931B0000}"/>
    <cellStyle name="Обычный 2 15 2 5 6" xfId="11669" xr:uid="{00000000-0005-0000-0000-0000941B0000}"/>
    <cellStyle name="Обычный 2 15 2 5 7" xfId="12655" xr:uid="{00000000-0005-0000-0000-0000951B0000}"/>
    <cellStyle name="Обычный 2 15 2 5 8" xfId="13641" xr:uid="{00000000-0005-0000-0000-0000961B0000}"/>
    <cellStyle name="Обычный 2 15 2 5 9" xfId="14641" xr:uid="{00000000-0005-0000-0000-0000971B0000}"/>
    <cellStyle name="Обычный 2 15 2 6" xfId="6991" xr:uid="{00000000-0005-0000-0000-0000981B0000}"/>
    <cellStyle name="Обычный 2 15 2 7" xfId="7997" xr:uid="{00000000-0005-0000-0000-0000991B0000}"/>
    <cellStyle name="Обычный 2 15 2 8" xfId="8983" xr:uid="{00000000-0005-0000-0000-00009A1B0000}"/>
    <cellStyle name="Обычный 2 15 2 9" xfId="9969" xr:uid="{00000000-0005-0000-0000-00009B1B0000}"/>
    <cellStyle name="Обычный 2 15 20" xfId="12912" xr:uid="{00000000-0005-0000-0000-00009C1B0000}"/>
    <cellStyle name="Обычный 2 15 21" xfId="13912" xr:uid="{00000000-0005-0000-0000-00009D1B0000}"/>
    <cellStyle name="Обычный 2 15 22" xfId="14898" xr:uid="{00000000-0005-0000-0000-00009E1B0000}"/>
    <cellStyle name="Обычный 2 15 3" xfId="3362" xr:uid="{00000000-0005-0000-0000-00009F1B0000}"/>
    <cellStyle name="Обычный 2 15 3 10" xfId="10956" xr:uid="{00000000-0005-0000-0000-0000A01B0000}"/>
    <cellStyle name="Обычный 2 15 3 11" xfId="11942" xr:uid="{00000000-0005-0000-0000-0000A11B0000}"/>
    <cellStyle name="Обычный 2 15 3 12" xfId="12928" xr:uid="{00000000-0005-0000-0000-0000A21B0000}"/>
    <cellStyle name="Обычный 2 15 3 13" xfId="13928" xr:uid="{00000000-0005-0000-0000-0000A31B0000}"/>
    <cellStyle name="Обычный 2 15 3 14" xfId="14914" xr:uid="{00000000-0005-0000-0000-0000A41B0000}"/>
    <cellStyle name="Обычный 2 15 3 2" xfId="6033" xr:uid="{00000000-0005-0000-0000-0000A51B0000}"/>
    <cellStyle name="Обычный 2 15 3 2 10" xfId="12987" xr:uid="{00000000-0005-0000-0000-0000A61B0000}"/>
    <cellStyle name="Обычный 2 15 3 2 11" xfId="13987" xr:uid="{00000000-0005-0000-0000-0000A71B0000}"/>
    <cellStyle name="Обычный 2 15 3 2 12" xfId="14973" xr:uid="{00000000-0005-0000-0000-0000A81B0000}"/>
    <cellStyle name="Обычный 2 15 3 2 2" xfId="6498" xr:uid="{00000000-0005-0000-0000-0000A91B0000}"/>
    <cellStyle name="Обычный 2 15 3 2 2 10" xfId="15417" xr:uid="{00000000-0005-0000-0000-0000AA1B0000}"/>
    <cellStyle name="Обычный 2 15 3 2 2 2" xfId="7495" xr:uid="{00000000-0005-0000-0000-0000AB1B0000}"/>
    <cellStyle name="Обычный 2 15 3 2 2 3" xfId="8501" xr:uid="{00000000-0005-0000-0000-0000AC1B0000}"/>
    <cellStyle name="Обычный 2 15 3 2 2 4" xfId="9487" xr:uid="{00000000-0005-0000-0000-0000AD1B0000}"/>
    <cellStyle name="Обычный 2 15 3 2 2 5" xfId="10473" xr:uid="{00000000-0005-0000-0000-0000AE1B0000}"/>
    <cellStyle name="Обычный 2 15 3 2 2 6" xfId="11459" xr:uid="{00000000-0005-0000-0000-0000AF1B0000}"/>
    <cellStyle name="Обычный 2 15 3 2 2 7" xfId="12445" xr:uid="{00000000-0005-0000-0000-0000B01B0000}"/>
    <cellStyle name="Обычный 2 15 3 2 2 8" xfId="13431" xr:uid="{00000000-0005-0000-0000-0000B11B0000}"/>
    <cellStyle name="Обычный 2 15 3 2 2 9" xfId="14431" xr:uid="{00000000-0005-0000-0000-0000B21B0000}"/>
    <cellStyle name="Обычный 2 15 3 2 3" xfId="6768" xr:uid="{00000000-0005-0000-0000-0000B31B0000}"/>
    <cellStyle name="Обычный 2 15 3 2 3 10" xfId="15687" xr:uid="{00000000-0005-0000-0000-0000B41B0000}"/>
    <cellStyle name="Обычный 2 15 3 2 3 2" xfId="7765" xr:uid="{00000000-0005-0000-0000-0000B51B0000}"/>
    <cellStyle name="Обычный 2 15 3 2 3 3" xfId="8771" xr:uid="{00000000-0005-0000-0000-0000B61B0000}"/>
    <cellStyle name="Обычный 2 15 3 2 3 4" xfId="9757" xr:uid="{00000000-0005-0000-0000-0000B71B0000}"/>
    <cellStyle name="Обычный 2 15 3 2 3 5" xfId="10743" xr:uid="{00000000-0005-0000-0000-0000B81B0000}"/>
    <cellStyle name="Обычный 2 15 3 2 3 6" xfId="11729" xr:uid="{00000000-0005-0000-0000-0000B91B0000}"/>
    <cellStyle name="Обычный 2 15 3 2 3 7" xfId="12715" xr:uid="{00000000-0005-0000-0000-0000BA1B0000}"/>
    <cellStyle name="Обычный 2 15 3 2 3 8" xfId="13701" xr:uid="{00000000-0005-0000-0000-0000BB1B0000}"/>
    <cellStyle name="Обычный 2 15 3 2 3 9" xfId="14701" xr:uid="{00000000-0005-0000-0000-0000BC1B0000}"/>
    <cellStyle name="Обычный 2 15 3 2 4" xfId="7051" xr:uid="{00000000-0005-0000-0000-0000BD1B0000}"/>
    <cellStyle name="Обычный 2 15 3 2 5" xfId="8057" xr:uid="{00000000-0005-0000-0000-0000BE1B0000}"/>
    <cellStyle name="Обычный 2 15 3 2 6" xfId="9043" xr:uid="{00000000-0005-0000-0000-0000BF1B0000}"/>
    <cellStyle name="Обычный 2 15 3 2 7" xfId="10029" xr:uid="{00000000-0005-0000-0000-0000C01B0000}"/>
    <cellStyle name="Обычный 2 15 3 2 8" xfId="11015" xr:uid="{00000000-0005-0000-0000-0000C11B0000}"/>
    <cellStyle name="Обычный 2 15 3 2 9" xfId="12001" xr:uid="{00000000-0005-0000-0000-0000C21B0000}"/>
    <cellStyle name="Обычный 2 15 3 3" xfId="6090" xr:uid="{00000000-0005-0000-0000-0000C31B0000}"/>
    <cellStyle name="Обычный 2 15 3 3 10" xfId="13040" xr:uid="{00000000-0005-0000-0000-0000C41B0000}"/>
    <cellStyle name="Обычный 2 15 3 3 11" xfId="14040" xr:uid="{00000000-0005-0000-0000-0000C51B0000}"/>
    <cellStyle name="Обычный 2 15 3 3 12" xfId="15026" xr:uid="{00000000-0005-0000-0000-0000C61B0000}"/>
    <cellStyle name="Обычный 2 15 3 3 2" xfId="6551" xr:uid="{00000000-0005-0000-0000-0000C71B0000}"/>
    <cellStyle name="Обычный 2 15 3 3 2 10" xfId="15470" xr:uid="{00000000-0005-0000-0000-0000C81B0000}"/>
    <cellStyle name="Обычный 2 15 3 3 2 2" xfId="7548" xr:uid="{00000000-0005-0000-0000-0000C91B0000}"/>
    <cellStyle name="Обычный 2 15 3 3 2 3" xfId="8554" xr:uid="{00000000-0005-0000-0000-0000CA1B0000}"/>
    <cellStyle name="Обычный 2 15 3 3 2 4" xfId="9540" xr:uid="{00000000-0005-0000-0000-0000CB1B0000}"/>
    <cellStyle name="Обычный 2 15 3 3 2 5" xfId="10526" xr:uid="{00000000-0005-0000-0000-0000CC1B0000}"/>
    <cellStyle name="Обычный 2 15 3 3 2 6" xfId="11512" xr:uid="{00000000-0005-0000-0000-0000CD1B0000}"/>
    <cellStyle name="Обычный 2 15 3 3 2 7" xfId="12498" xr:uid="{00000000-0005-0000-0000-0000CE1B0000}"/>
    <cellStyle name="Обычный 2 15 3 3 2 8" xfId="13484" xr:uid="{00000000-0005-0000-0000-0000CF1B0000}"/>
    <cellStyle name="Обычный 2 15 3 3 2 9" xfId="14484" xr:uid="{00000000-0005-0000-0000-0000D01B0000}"/>
    <cellStyle name="Обычный 2 15 3 3 3" xfId="6821" xr:uid="{00000000-0005-0000-0000-0000D11B0000}"/>
    <cellStyle name="Обычный 2 15 3 3 3 10" xfId="15740" xr:uid="{00000000-0005-0000-0000-0000D21B0000}"/>
    <cellStyle name="Обычный 2 15 3 3 3 2" xfId="7818" xr:uid="{00000000-0005-0000-0000-0000D31B0000}"/>
    <cellStyle name="Обычный 2 15 3 3 3 3" xfId="8824" xr:uid="{00000000-0005-0000-0000-0000D41B0000}"/>
    <cellStyle name="Обычный 2 15 3 3 3 4" xfId="9810" xr:uid="{00000000-0005-0000-0000-0000D51B0000}"/>
    <cellStyle name="Обычный 2 15 3 3 3 5" xfId="10796" xr:uid="{00000000-0005-0000-0000-0000D61B0000}"/>
    <cellStyle name="Обычный 2 15 3 3 3 6" xfId="11782" xr:uid="{00000000-0005-0000-0000-0000D71B0000}"/>
    <cellStyle name="Обычный 2 15 3 3 3 7" xfId="12768" xr:uid="{00000000-0005-0000-0000-0000D81B0000}"/>
    <cellStyle name="Обычный 2 15 3 3 3 8" xfId="13754" xr:uid="{00000000-0005-0000-0000-0000D91B0000}"/>
    <cellStyle name="Обычный 2 15 3 3 3 9" xfId="14754" xr:uid="{00000000-0005-0000-0000-0000DA1B0000}"/>
    <cellStyle name="Обычный 2 15 3 3 4" xfId="7104" xr:uid="{00000000-0005-0000-0000-0000DB1B0000}"/>
    <cellStyle name="Обычный 2 15 3 3 5" xfId="8110" xr:uid="{00000000-0005-0000-0000-0000DC1B0000}"/>
    <cellStyle name="Обычный 2 15 3 3 6" xfId="9096" xr:uid="{00000000-0005-0000-0000-0000DD1B0000}"/>
    <cellStyle name="Обычный 2 15 3 3 7" xfId="10082" xr:uid="{00000000-0005-0000-0000-0000DE1B0000}"/>
    <cellStyle name="Обычный 2 15 3 3 8" xfId="11068" xr:uid="{00000000-0005-0000-0000-0000DF1B0000}"/>
    <cellStyle name="Обычный 2 15 3 3 9" xfId="12054" xr:uid="{00000000-0005-0000-0000-0000E01B0000}"/>
    <cellStyle name="Обычный 2 15 3 4" xfId="6439" xr:uid="{00000000-0005-0000-0000-0000E11B0000}"/>
    <cellStyle name="Обычный 2 15 3 4 10" xfId="15358" xr:uid="{00000000-0005-0000-0000-0000E21B0000}"/>
    <cellStyle name="Обычный 2 15 3 4 2" xfId="7436" xr:uid="{00000000-0005-0000-0000-0000E31B0000}"/>
    <cellStyle name="Обычный 2 15 3 4 3" xfId="8442" xr:uid="{00000000-0005-0000-0000-0000E41B0000}"/>
    <cellStyle name="Обычный 2 15 3 4 4" xfId="9428" xr:uid="{00000000-0005-0000-0000-0000E51B0000}"/>
    <cellStyle name="Обычный 2 15 3 4 5" xfId="10414" xr:uid="{00000000-0005-0000-0000-0000E61B0000}"/>
    <cellStyle name="Обычный 2 15 3 4 6" xfId="11400" xr:uid="{00000000-0005-0000-0000-0000E71B0000}"/>
    <cellStyle name="Обычный 2 15 3 4 7" xfId="12386" xr:uid="{00000000-0005-0000-0000-0000E81B0000}"/>
    <cellStyle name="Обычный 2 15 3 4 8" xfId="13372" xr:uid="{00000000-0005-0000-0000-0000E91B0000}"/>
    <cellStyle name="Обычный 2 15 3 4 9" xfId="14372" xr:uid="{00000000-0005-0000-0000-0000EA1B0000}"/>
    <cellStyle name="Обычный 2 15 3 5" xfId="6709" xr:uid="{00000000-0005-0000-0000-0000EB1B0000}"/>
    <cellStyle name="Обычный 2 15 3 5 10" xfId="15628" xr:uid="{00000000-0005-0000-0000-0000EC1B0000}"/>
    <cellStyle name="Обычный 2 15 3 5 2" xfId="7706" xr:uid="{00000000-0005-0000-0000-0000ED1B0000}"/>
    <cellStyle name="Обычный 2 15 3 5 3" xfId="8712" xr:uid="{00000000-0005-0000-0000-0000EE1B0000}"/>
    <cellStyle name="Обычный 2 15 3 5 4" xfId="9698" xr:uid="{00000000-0005-0000-0000-0000EF1B0000}"/>
    <cellStyle name="Обычный 2 15 3 5 5" xfId="10684" xr:uid="{00000000-0005-0000-0000-0000F01B0000}"/>
    <cellStyle name="Обычный 2 15 3 5 6" xfId="11670" xr:uid="{00000000-0005-0000-0000-0000F11B0000}"/>
    <cellStyle name="Обычный 2 15 3 5 7" xfId="12656" xr:uid="{00000000-0005-0000-0000-0000F21B0000}"/>
    <cellStyle name="Обычный 2 15 3 5 8" xfId="13642" xr:uid="{00000000-0005-0000-0000-0000F31B0000}"/>
    <cellStyle name="Обычный 2 15 3 5 9" xfId="14642" xr:uid="{00000000-0005-0000-0000-0000F41B0000}"/>
    <cellStyle name="Обычный 2 15 3 6" xfId="6992" xr:uid="{00000000-0005-0000-0000-0000F51B0000}"/>
    <cellStyle name="Обычный 2 15 3 7" xfId="7998" xr:uid="{00000000-0005-0000-0000-0000F61B0000}"/>
    <cellStyle name="Обычный 2 15 3 8" xfId="8984" xr:uid="{00000000-0005-0000-0000-0000F71B0000}"/>
    <cellStyle name="Обычный 2 15 3 9" xfId="9970" xr:uid="{00000000-0005-0000-0000-0000F81B0000}"/>
    <cellStyle name="Обычный 2 15 4" xfId="3363" xr:uid="{00000000-0005-0000-0000-0000F91B0000}"/>
    <cellStyle name="Обычный 2 15 4 10" xfId="10957" xr:uid="{00000000-0005-0000-0000-0000FA1B0000}"/>
    <cellStyle name="Обычный 2 15 4 11" xfId="11943" xr:uid="{00000000-0005-0000-0000-0000FB1B0000}"/>
    <cellStyle name="Обычный 2 15 4 12" xfId="12929" xr:uid="{00000000-0005-0000-0000-0000FC1B0000}"/>
    <cellStyle name="Обычный 2 15 4 13" xfId="13929" xr:uid="{00000000-0005-0000-0000-0000FD1B0000}"/>
    <cellStyle name="Обычный 2 15 4 14" xfId="14915" xr:uid="{00000000-0005-0000-0000-0000FE1B0000}"/>
    <cellStyle name="Обычный 2 15 4 2" xfId="6034" xr:uid="{00000000-0005-0000-0000-0000FF1B0000}"/>
    <cellStyle name="Обычный 2 15 4 2 10" xfId="12988" xr:uid="{00000000-0005-0000-0000-0000001C0000}"/>
    <cellStyle name="Обычный 2 15 4 2 11" xfId="13988" xr:uid="{00000000-0005-0000-0000-0000011C0000}"/>
    <cellStyle name="Обычный 2 15 4 2 12" xfId="14974" xr:uid="{00000000-0005-0000-0000-0000021C0000}"/>
    <cellStyle name="Обычный 2 15 4 2 2" xfId="6499" xr:uid="{00000000-0005-0000-0000-0000031C0000}"/>
    <cellStyle name="Обычный 2 15 4 2 2 10" xfId="15418" xr:uid="{00000000-0005-0000-0000-0000041C0000}"/>
    <cellStyle name="Обычный 2 15 4 2 2 2" xfId="7496" xr:uid="{00000000-0005-0000-0000-0000051C0000}"/>
    <cellStyle name="Обычный 2 15 4 2 2 3" xfId="8502" xr:uid="{00000000-0005-0000-0000-0000061C0000}"/>
    <cellStyle name="Обычный 2 15 4 2 2 4" xfId="9488" xr:uid="{00000000-0005-0000-0000-0000071C0000}"/>
    <cellStyle name="Обычный 2 15 4 2 2 5" xfId="10474" xr:uid="{00000000-0005-0000-0000-0000081C0000}"/>
    <cellStyle name="Обычный 2 15 4 2 2 6" xfId="11460" xr:uid="{00000000-0005-0000-0000-0000091C0000}"/>
    <cellStyle name="Обычный 2 15 4 2 2 7" xfId="12446" xr:uid="{00000000-0005-0000-0000-00000A1C0000}"/>
    <cellStyle name="Обычный 2 15 4 2 2 8" xfId="13432" xr:uid="{00000000-0005-0000-0000-00000B1C0000}"/>
    <cellStyle name="Обычный 2 15 4 2 2 9" xfId="14432" xr:uid="{00000000-0005-0000-0000-00000C1C0000}"/>
    <cellStyle name="Обычный 2 15 4 2 3" xfId="6769" xr:uid="{00000000-0005-0000-0000-00000D1C0000}"/>
    <cellStyle name="Обычный 2 15 4 2 3 10" xfId="15688" xr:uid="{00000000-0005-0000-0000-00000E1C0000}"/>
    <cellStyle name="Обычный 2 15 4 2 3 2" xfId="7766" xr:uid="{00000000-0005-0000-0000-00000F1C0000}"/>
    <cellStyle name="Обычный 2 15 4 2 3 3" xfId="8772" xr:uid="{00000000-0005-0000-0000-0000101C0000}"/>
    <cellStyle name="Обычный 2 15 4 2 3 4" xfId="9758" xr:uid="{00000000-0005-0000-0000-0000111C0000}"/>
    <cellStyle name="Обычный 2 15 4 2 3 5" xfId="10744" xr:uid="{00000000-0005-0000-0000-0000121C0000}"/>
    <cellStyle name="Обычный 2 15 4 2 3 6" xfId="11730" xr:uid="{00000000-0005-0000-0000-0000131C0000}"/>
    <cellStyle name="Обычный 2 15 4 2 3 7" xfId="12716" xr:uid="{00000000-0005-0000-0000-0000141C0000}"/>
    <cellStyle name="Обычный 2 15 4 2 3 8" xfId="13702" xr:uid="{00000000-0005-0000-0000-0000151C0000}"/>
    <cellStyle name="Обычный 2 15 4 2 3 9" xfId="14702" xr:uid="{00000000-0005-0000-0000-0000161C0000}"/>
    <cellStyle name="Обычный 2 15 4 2 4" xfId="7052" xr:uid="{00000000-0005-0000-0000-0000171C0000}"/>
    <cellStyle name="Обычный 2 15 4 2 5" xfId="8058" xr:uid="{00000000-0005-0000-0000-0000181C0000}"/>
    <cellStyle name="Обычный 2 15 4 2 6" xfId="9044" xr:uid="{00000000-0005-0000-0000-0000191C0000}"/>
    <cellStyle name="Обычный 2 15 4 2 7" xfId="10030" xr:uid="{00000000-0005-0000-0000-00001A1C0000}"/>
    <cellStyle name="Обычный 2 15 4 2 8" xfId="11016" xr:uid="{00000000-0005-0000-0000-00001B1C0000}"/>
    <cellStyle name="Обычный 2 15 4 2 9" xfId="12002" xr:uid="{00000000-0005-0000-0000-00001C1C0000}"/>
    <cellStyle name="Обычный 2 15 4 3" xfId="6091" xr:uid="{00000000-0005-0000-0000-00001D1C0000}"/>
    <cellStyle name="Обычный 2 15 4 3 10" xfId="13041" xr:uid="{00000000-0005-0000-0000-00001E1C0000}"/>
    <cellStyle name="Обычный 2 15 4 3 11" xfId="14041" xr:uid="{00000000-0005-0000-0000-00001F1C0000}"/>
    <cellStyle name="Обычный 2 15 4 3 12" xfId="15027" xr:uid="{00000000-0005-0000-0000-0000201C0000}"/>
    <cellStyle name="Обычный 2 15 4 3 2" xfId="6552" xr:uid="{00000000-0005-0000-0000-0000211C0000}"/>
    <cellStyle name="Обычный 2 15 4 3 2 10" xfId="15471" xr:uid="{00000000-0005-0000-0000-0000221C0000}"/>
    <cellStyle name="Обычный 2 15 4 3 2 2" xfId="7549" xr:uid="{00000000-0005-0000-0000-0000231C0000}"/>
    <cellStyle name="Обычный 2 15 4 3 2 3" xfId="8555" xr:uid="{00000000-0005-0000-0000-0000241C0000}"/>
    <cellStyle name="Обычный 2 15 4 3 2 4" xfId="9541" xr:uid="{00000000-0005-0000-0000-0000251C0000}"/>
    <cellStyle name="Обычный 2 15 4 3 2 5" xfId="10527" xr:uid="{00000000-0005-0000-0000-0000261C0000}"/>
    <cellStyle name="Обычный 2 15 4 3 2 6" xfId="11513" xr:uid="{00000000-0005-0000-0000-0000271C0000}"/>
    <cellStyle name="Обычный 2 15 4 3 2 7" xfId="12499" xr:uid="{00000000-0005-0000-0000-0000281C0000}"/>
    <cellStyle name="Обычный 2 15 4 3 2 8" xfId="13485" xr:uid="{00000000-0005-0000-0000-0000291C0000}"/>
    <cellStyle name="Обычный 2 15 4 3 2 9" xfId="14485" xr:uid="{00000000-0005-0000-0000-00002A1C0000}"/>
    <cellStyle name="Обычный 2 15 4 3 3" xfId="6822" xr:uid="{00000000-0005-0000-0000-00002B1C0000}"/>
    <cellStyle name="Обычный 2 15 4 3 3 10" xfId="15741" xr:uid="{00000000-0005-0000-0000-00002C1C0000}"/>
    <cellStyle name="Обычный 2 15 4 3 3 2" xfId="7819" xr:uid="{00000000-0005-0000-0000-00002D1C0000}"/>
    <cellStyle name="Обычный 2 15 4 3 3 3" xfId="8825" xr:uid="{00000000-0005-0000-0000-00002E1C0000}"/>
    <cellStyle name="Обычный 2 15 4 3 3 4" xfId="9811" xr:uid="{00000000-0005-0000-0000-00002F1C0000}"/>
    <cellStyle name="Обычный 2 15 4 3 3 5" xfId="10797" xr:uid="{00000000-0005-0000-0000-0000301C0000}"/>
    <cellStyle name="Обычный 2 15 4 3 3 6" xfId="11783" xr:uid="{00000000-0005-0000-0000-0000311C0000}"/>
    <cellStyle name="Обычный 2 15 4 3 3 7" xfId="12769" xr:uid="{00000000-0005-0000-0000-0000321C0000}"/>
    <cellStyle name="Обычный 2 15 4 3 3 8" xfId="13755" xr:uid="{00000000-0005-0000-0000-0000331C0000}"/>
    <cellStyle name="Обычный 2 15 4 3 3 9" xfId="14755" xr:uid="{00000000-0005-0000-0000-0000341C0000}"/>
    <cellStyle name="Обычный 2 15 4 3 4" xfId="7105" xr:uid="{00000000-0005-0000-0000-0000351C0000}"/>
    <cellStyle name="Обычный 2 15 4 3 5" xfId="8111" xr:uid="{00000000-0005-0000-0000-0000361C0000}"/>
    <cellStyle name="Обычный 2 15 4 3 6" xfId="9097" xr:uid="{00000000-0005-0000-0000-0000371C0000}"/>
    <cellStyle name="Обычный 2 15 4 3 7" xfId="10083" xr:uid="{00000000-0005-0000-0000-0000381C0000}"/>
    <cellStyle name="Обычный 2 15 4 3 8" xfId="11069" xr:uid="{00000000-0005-0000-0000-0000391C0000}"/>
    <cellStyle name="Обычный 2 15 4 3 9" xfId="12055" xr:uid="{00000000-0005-0000-0000-00003A1C0000}"/>
    <cellStyle name="Обычный 2 15 4 4" xfId="6440" xr:uid="{00000000-0005-0000-0000-00003B1C0000}"/>
    <cellStyle name="Обычный 2 15 4 4 10" xfId="15359" xr:uid="{00000000-0005-0000-0000-00003C1C0000}"/>
    <cellStyle name="Обычный 2 15 4 4 2" xfId="7437" xr:uid="{00000000-0005-0000-0000-00003D1C0000}"/>
    <cellStyle name="Обычный 2 15 4 4 3" xfId="8443" xr:uid="{00000000-0005-0000-0000-00003E1C0000}"/>
    <cellStyle name="Обычный 2 15 4 4 4" xfId="9429" xr:uid="{00000000-0005-0000-0000-00003F1C0000}"/>
    <cellStyle name="Обычный 2 15 4 4 5" xfId="10415" xr:uid="{00000000-0005-0000-0000-0000401C0000}"/>
    <cellStyle name="Обычный 2 15 4 4 6" xfId="11401" xr:uid="{00000000-0005-0000-0000-0000411C0000}"/>
    <cellStyle name="Обычный 2 15 4 4 7" xfId="12387" xr:uid="{00000000-0005-0000-0000-0000421C0000}"/>
    <cellStyle name="Обычный 2 15 4 4 8" xfId="13373" xr:uid="{00000000-0005-0000-0000-0000431C0000}"/>
    <cellStyle name="Обычный 2 15 4 4 9" xfId="14373" xr:uid="{00000000-0005-0000-0000-0000441C0000}"/>
    <cellStyle name="Обычный 2 15 4 5" xfId="6710" xr:uid="{00000000-0005-0000-0000-0000451C0000}"/>
    <cellStyle name="Обычный 2 15 4 5 10" xfId="15629" xr:uid="{00000000-0005-0000-0000-0000461C0000}"/>
    <cellStyle name="Обычный 2 15 4 5 2" xfId="7707" xr:uid="{00000000-0005-0000-0000-0000471C0000}"/>
    <cellStyle name="Обычный 2 15 4 5 3" xfId="8713" xr:uid="{00000000-0005-0000-0000-0000481C0000}"/>
    <cellStyle name="Обычный 2 15 4 5 4" xfId="9699" xr:uid="{00000000-0005-0000-0000-0000491C0000}"/>
    <cellStyle name="Обычный 2 15 4 5 5" xfId="10685" xr:uid="{00000000-0005-0000-0000-00004A1C0000}"/>
    <cellStyle name="Обычный 2 15 4 5 6" xfId="11671" xr:uid="{00000000-0005-0000-0000-00004B1C0000}"/>
    <cellStyle name="Обычный 2 15 4 5 7" xfId="12657" xr:uid="{00000000-0005-0000-0000-00004C1C0000}"/>
    <cellStyle name="Обычный 2 15 4 5 8" xfId="13643" xr:uid="{00000000-0005-0000-0000-00004D1C0000}"/>
    <cellStyle name="Обычный 2 15 4 5 9" xfId="14643" xr:uid="{00000000-0005-0000-0000-00004E1C0000}"/>
    <cellStyle name="Обычный 2 15 4 6" xfId="6993" xr:uid="{00000000-0005-0000-0000-00004F1C0000}"/>
    <cellStyle name="Обычный 2 15 4 7" xfId="7999" xr:uid="{00000000-0005-0000-0000-0000501C0000}"/>
    <cellStyle name="Обычный 2 15 4 8" xfId="8985" xr:uid="{00000000-0005-0000-0000-0000511C0000}"/>
    <cellStyle name="Обычный 2 15 4 9" xfId="9971" xr:uid="{00000000-0005-0000-0000-0000521C0000}"/>
    <cellStyle name="Обычный 2 15 5" xfId="3364" xr:uid="{00000000-0005-0000-0000-0000531C0000}"/>
    <cellStyle name="Обычный 2 15 5 10" xfId="10958" xr:uid="{00000000-0005-0000-0000-0000541C0000}"/>
    <cellStyle name="Обычный 2 15 5 11" xfId="11944" xr:uid="{00000000-0005-0000-0000-0000551C0000}"/>
    <cellStyle name="Обычный 2 15 5 12" xfId="12930" xr:uid="{00000000-0005-0000-0000-0000561C0000}"/>
    <cellStyle name="Обычный 2 15 5 13" xfId="13930" xr:uid="{00000000-0005-0000-0000-0000571C0000}"/>
    <cellStyle name="Обычный 2 15 5 14" xfId="14916" xr:uid="{00000000-0005-0000-0000-0000581C0000}"/>
    <cellStyle name="Обычный 2 15 5 2" xfId="6035" xr:uid="{00000000-0005-0000-0000-0000591C0000}"/>
    <cellStyle name="Обычный 2 15 5 2 10" xfId="12989" xr:uid="{00000000-0005-0000-0000-00005A1C0000}"/>
    <cellStyle name="Обычный 2 15 5 2 11" xfId="13989" xr:uid="{00000000-0005-0000-0000-00005B1C0000}"/>
    <cellStyle name="Обычный 2 15 5 2 12" xfId="14975" xr:uid="{00000000-0005-0000-0000-00005C1C0000}"/>
    <cellStyle name="Обычный 2 15 5 2 2" xfId="6500" xr:uid="{00000000-0005-0000-0000-00005D1C0000}"/>
    <cellStyle name="Обычный 2 15 5 2 2 10" xfId="15419" xr:uid="{00000000-0005-0000-0000-00005E1C0000}"/>
    <cellStyle name="Обычный 2 15 5 2 2 2" xfId="7497" xr:uid="{00000000-0005-0000-0000-00005F1C0000}"/>
    <cellStyle name="Обычный 2 15 5 2 2 3" xfId="8503" xr:uid="{00000000-0005-0000-0000-0000601C0000}"/>
    <cellStyle name="Обычный 2 15 5 2 2 4" xfId="9489" xr:uid="{00000000-0005-0000-0000-0000611C0000}"/>
    <cellStyle name="Обычный 2 15 5 2 2 5" xfId="10475" xr:uid="{00000000-0005-0000-0000-0000621C0000}"/>
    <cellStyle name="Обычный 2 15 5 2 2 6" xfId="11461" xr:uid="{00000000-0005-0000-0000-0000631C0000}"/>
    <cellStyle name="Обычный 2 15 5 2 2 7" xfId="12447" xr:uid="{00000000-0005-0000-0000-0000641C0000}"/>
    <cellStyle name="Обычный 2 15 5 2 2 8" xfId="13433" xr:uid="{00000000-0005-0000-0000-0000651C0000}"/>
    <cellStyle name="Обычный 2 15 5 2 2 9" xfId="14433" xr:uid="{00000000-0005-0000-0000-0000661C0000}"/>
    <cellStyle name="Обычный 2 15 5 2 3" xfId="6770" xr:uid="{00000000-0005-0000-0000-0000671C0000}"/>
    <cellStyle name="Обычный 2 15 5 2 3 10" xfId="15689" xr:uid="{00000000-0005-0000-0000-0000681C0000}"/>
    <cellStyle name="Обычный 2 15 5 2 3 2" xfId="7767" xr:uid="{00000000-0005-0000-0000-0000691C0000}"/>
    <cellStyle name="Обычный 2 15 5 2 3 3" xfId="8773" xr:uid="{00000000-0005-0000-0000-00006A1C0000}"/>
    <cellStyle name="Обычный 2 15 5 2 3 4" xfId="9759" xr:uid="{00000000-0005-0000-0000-00006B1C0000}"/>
    <cellStyle name="Обычный 2 15 5 2 3 5" xfId="10745" xr:uid="{00000000-0005-0000-0000-00006C1C0000}"/>
    <cellStyle name="Обычный 2 15 5 2 3 6" xfId="11731" xr:uid="{00000000-0005-0000-0000-00006D1C0000}"/>
    <cellStyle name="Обычный 2 15 5 2 3 7" xfId="12717" xr:uid="{00000000-0005-0000-0000-00006E1C0000}"/>
    <cellStyle name="Обычный 2 15 5 2 3 8" xfId="13703" xr:uid="{00000000-0005-0000-0000-00006F1C0000}"/>
    <cellStyle name="Обычный 2 15 5 2 3 9" xfId="14703" xr:uid="{00000000-0005-0000-0000-0000701C0000}"/>
    <cellStyle name="Обычный 2 15 5 2 4" xfId="7053" xr:uid="{00000000-0005-0000-0000-0000711C0000}"/>
    <cellStyle name="Обычный 2 15 5 2 5" xfId="8059" xr:uid="{00000000-0005-0000-0000-0000721C0000}"/>
    <cellStyle name="Обычный 2 15 5 2 6" xfId="9045" xr:uid="{00000000-0005-0000-0000-0000731C0000}"/>
    <cellStyle name="Обычный 2 15 5 2 7" xfId="10031" xr:uid="{00000000-0005-0000-0000-0000741C0000}"/>
    <cellStyle name="Обычный 2 15 5 2 8" xfId="11017" xr:uid="{00000000-0005-0000-0000-0000751C0000}"/>
    <cellStyle name="Обычный 2 15 5 2 9" xfId="12003" xr:uid="{00000000-0005-0000-0000-0000761C0000}"/>
    <cellStyle name="Обычный 2 15 5 3" xfId="6092" xr:uid="{00000000-0005-0000-0000-0000771C0000}"/>
    <cellStyle name="Обычный 2 15 5 3 10" xfId="13042" xr:uid="{00000000-0005-0000-0000-0000781C0000}"/>
    <cellStyle name="Обычный 2 15 5 3 11" xfId="14042" xr:uid="{00000000-0005-0000-0000-0000791C0000}"/>
    <cellStyle name="Обычный 2 15 5 3 12" xfId="15028" xr:uid="{00000000-0005-0000-0000-00007A1C0000}"/>
    <cellStyle name="Обычный 2 15 5 3 2" xfId="6553" xr:uid="{00000000-0005-0000-0000-00007B1C0000}"/>
    <cellStyle name="Обычный 2 15 5 3 2 10" xfId="15472" xr:uid="{00000000-0005-0000-0000-00007C1C0000}"/>
    <cellStyle name="Обычный 2 15 5 3 2 2" xfId="7550" xr:uid="{00000000-0005-0000-0000-00007D1C0000}"/>
    <cellStyle name="Обычный 2 15 5 3 2 3" xfId="8556" xr:uid="{00000000-0005-0000-0000-00007E1C0000}"/>
    <cellStyle name="Обычный 2 15 5 3 2 4" xfId="9542" xr:uid="{00000000-0005-0000-0000-00007F1C0000}"/>
    <cellStyle name="Обычный 2 15 5 3 2 5" xfId="10528" xr:uid="{00000000-0005-0000-0000-0000801C0000}"/>
    <cellStyle name="Обычный 2 15 5 3 2 6" xfId="11514" xr:uid="{00000000-0005-0000-0000-0000811C0000}"/>
    <cellStyle name="Обычный 2 15 5 3 2 7" xfId="12500" xr:uid="{00000000-0005-0000-0000-0000821C0000}"/>
    <cellStyle name="Обычный 2 15 5 3 2 8" xfId="13486" xr:uid="{00000000-0005-0000-0000-0000831C0000}"/>
    <cellStyle name="Обычный 2 15 5 3 2 9" xfId="14486" xr:uid="{00000000-0005-0000-0000-0000841C0000}"/>
    <cellStyle name="Обычный 2 15 5 3 3" xfId="6823" xr:uid="{00000000-0005-0000-0000-0000851C0000}"/>
    <cellStyle name="Обычный 2 15 5 3 3 10" xfId="15742" xr:uid="{00000000-0005-0000-0000-0000861C0000}"/>
    <cellStyle name="Обычный 2 15 5 3 3 2" xfId="7820" xr:uid="{00000000-0005-0000-0000-0000871C0000}"/>
    <cellStyle name="Обычный 2 15 5 3 3 3" xfId="8826" xr:uid="{00000000-0005-0000-0000-0000881C0000}"/>
    <cellStyle name="Обычный 2 15 5 3 3 4" xfId="9812" xr:uid="{00000000-0005-0000-0000-0000891C0000}"/>
    <cellStyle name="Обычный 2 15 5 3 3 5" xfId="10798" xr:uid="{00000000-0005-0000-0000-00008A1C0000}"/>
    <cellStyle name="Обычный 2 15 5 3 3 6" xfId="11784" xr:uid="{00000000-0005-0000-0000-00008B1C0000}"/>
    <cellStyle name="Обычный 2 15 5 3 3 7" xfId="12770" xr:uid="{00000000-0005-0000-0000-00008C1C0000}"/>
    <cellStyle name="Обычный 2 15 5 3 3 8" xfId="13756" xr:uid="{00000000-0005-0000-0000-00008D1C0000}"/>
    <cellStyle name="Обычный 2 15 5 3 3 9" xfId="14756" xr:uid="{00000000-0005-0000-0000-00008E1C0000}"/>
    <cellStyle name="Обычный 2 15 5 3 4" xfId="7106" xr:uid="{00000000-0005-0000-0000-00008F1C0000}"/>
    <cellStyle name="Обычный 2 15 5 3 5" xfId="8112" xr:uid="{00000000-0005-0000-0000-0000901C0000}"/>
    <cellStyle name="Обычный 2 15 5 3 6" xfId="9098" xr:uid="{00000000-0005-0000-0000-0000911C0000}"/>
    <cellStyle name="Обычный 2 15 5 3 7" xfId="10084" xr:uid="{00000000-0005-0000-0000-0000921C0000}"/>
    <cellStyle name="Обычный 2 15 5 3 8" xfId="11070" xr:uid="{00000000-0005-0000-0000-0000931C0000}"/>
    <cellStyle name="Обычный 2 15 5 3 9" xfId="12056" xr:uid="{00000000-0005-0000-0000-0000941C0000}"/>
    <cellStyle name="Обычный 2 15 5 4" xfId="6441" xr:uid="{00000000-0005-0000-0000-0000951C0000}"/>
    <cellStyle name="Обычный 2 15 5 4 10" xfId="15360" xr:uid="{00000000-0005-0000-0000-0000961C0000}"/>
    <cellStyle name="Обычный 2 15 5 4 2" xfId="7438" xr:uid="{00000000-0005-0000-0000-0000971C0000}"/>
    <cellStyle name="Обычный 2 15 5 4 3" xfId="8444" xr:uid="{00000000-0005-0000-0000-0000981C0000}"/>
    <cellStyle name="Обычный 2 15 5 4 4" xfId="9430" xr:uid="{00000000-0005-0000-0000-0000991C0000}"/>
    <cellStyle name="Обычный 2 15 5 4 5" xfId="10416" xr:uid="{00000000-0005-0000-0000-00009A1C0000}"/>
    <cellStyle name="Обычный 2 15 5 4 6" xfId="11402" xr:uid="{00000000-0005-0000-0000-00009B1C0000}"/>
    <cellStyle name="Обычный 2 15 5 4 7" xfId="12388" xr:uid="{00000000-0005-0000-0000-00009C1C0000}"/>
    <cellStyle name="Обычный 2 15 5 4 8" xfId="13374" xr:uid="{00000000-0005-0000-0000-00009D1C0000}"/>
    <cellStyle name="Обычный 2 15 5 4 9" xfId="14374" xr:uid="{00000000-0005-0000-0000-00009E1C0000}"/>
    <cellStyle name="Обычный 2 15 5 5" xfId="6711" xr:uid="{00000000-0005-0000-0000-00009F1C0000}"/>
    <cellStyle name="Обычный 2 15 5 5 10" xfId="15630" xr:uid="{00000000-0005-0000-0000-0000A01C0000}"/>
    <cellStyle name="Обычный 2 15 5 5 2" xfId="7708" xr:uid="{00000000-0005-0000-0000-0000A11C0000}"/>
    <cellStyle name="Обычный 2 15 5 5 3" xfId="8714" xr:uid="{00000000-0005-0000-0000-0000A21C0000}"/>
    <cellStyle name="Обычный 2 15 5 5 4" xfId="9700" xr:uid="{00000000-0005-0000-0000-0000A31C0000}"/>
    <cellStyle name="Обычный 2 15 5 5 5" xfId="10686" xr:uid="{00000000-0005-0000-0000-0000A41C0000}"/>
    <cellStyle name="Обычный 2 15 5 5 6" xfId="11672" xr:uid="{00000000-0005-0000-0000-0000A51C0000}"/>
    <cellStyle name="Обычный 2 15 5 5 7" xfId="12658" xr:uid="{00000000-0005-0000-0000-0000A61C0000}"/>
    <cellStyle name="Обычный 2 15 5 5 8" xfId="13644" xr:uid="{00000000-0005-0000-0000-0000A71C0000}"/>
    <cellStyle name="Обычный 2 15 5 5 9" xfId="14644" xr:uid="{00000000-0005-0000-0000-0000A81C0000}"/>
    <cellStyle name="Обычный 2 15 5 6" xfId="6994" xr:uid="{00000000-0005-0000-0000-0000A91C0000}"/>
    <cellStyle name="Обычный 2 15 5 7" xfId="8000" xr:uid="{00000000-0005-0000-0000-0000AA1C0000}"/>
    <cellStyle name="Обычный 2 15 5 8" xfId="8986" xr:uid="{00000000-0005-0000-0000-0000AB1C0000}"/>
    <cellStyle name="Обычный 2 15 5 9" xfId="9972" xr:uid="{00000000-0005-0000-0000-0000AC1C0000}"/>
    <cellStyle name="Обычный 2 15 6" xfId="3365" xr:uid="{00000000-0005-0000-0000-0000AD1C0000}"/>
    <cellStyle name="Обычный 2 15 6 10" xfId="10959" xr:uid="{00000000-0005-0000-0000-0000AE1C0000}"/>
    <cellStyle name="Обычный 2 15 6 11" xfId="11945" xr:uid="{00000000-0005-0000-0000-0000AF1C0000}"/>
    <cellStyle name="Обычный 2 15 6 12" xfId="12931" xr:uid="{00000000-0005-0000-0000-0000B01C0000}"/>
    <cellStyle name="Обычный 2 15 6 13" xfId="13931" xr:uid="{00000000-0005-0000-0000-0000B11C0000}"/>
    <cellStyle name="Обычный 2 15 6 14" xfId="14917" xr:uid="{00000000-0005-0000-0000-0000B21C0000}"/>
    <cellStyle name="Обычный 2 15 6 2" xfId="6036" xr:uid="{00000000-0005-0000-0000-0000B31C0000}"/>
    <cellStyle name="Обычный 2 15 6 2 10" xfId="12990" xr:uid="{00000000-0005-0000-0000-0000B41C0000}"/>
    <cellStyle name="Обычный 2 15 6 2 11" xfId="13990" xr:uid="{00000000-0005-0000-0000-0000B51C0000}"/>
    <cellStyle name="Обычный 2 15 6 2 12" xfId="14976" xr:uid="{00000000-0005-0000-0000-0000B61C0000}"/>
    <cellStyle name="Обычный 2 15 6 2 2" xfId="6501" xr:uid="{00000000-0005-0000-0000-0000B71C0000}"/>
    <cellStyle name="Обычный 2 15 6 2 2 10" xfId="15420" xr:uid="{00000000-0005-0000-0000-0000B81C0000}"/>
    <cellStyle name="Обычный 2 15 6 2 2 2" xfId="7498" xr:uid="{00000000-0005-0000-0000-0000B91C0000}"/>
    <cellStyle name="Обычный 2 15 6 2 2 3" xfId="8504" xr:uid="{00000000-0005-0000-0000-0000BA1C0000}"/>
    <cellStyle name="Обычный 2 15 6 2 2 4" xfId="9490" xr:uid="{00000000-0005-0000-0000-0000BB1C0000}"/>
    <cellStyle name="Обычный 2 15 6 2 2 5" xfId="10476" xr:uid="{00000000-0005-0000-0000-0000BC1C0000}"/>
    <cellStyle name="Обычный 2 15 6 2 2 6" xfId="11462" xr:uid="{00000000-0005-0000-0000-0000BD1C0000}"/>
    <cellStyle name="Обычный 2 15 6 2 2 7" xfId="12448" xr:uid="{00000000-0005-0000-0000-0000BE1C0000}"/>
    <cellStyle name="Обычный 2 15 6 2 2 8" xfId="13434" xr:uid="{00000000-0005-0000-0000-0000BF1C0000}"/>
    <cellStyle name="Обычный 2 15 6 2 2 9" xfId="14434" xr:uid="{00000000-0005-0000-0000-0000C01C0000}"/>
    <cellStyle name="Обычный 2 15 6 2 3" xfId="6771" xr:uid="{00000000-0005-0000-0000-0000C11C0000}"/>
    <cellStyle name="Обычный 2 15 6 2 3 10" xfId="15690" xr:uid="{00000000-0005-0000-0000-0000C21C0000}"/>
    <cellStyle name="Обычный 2 15 6 2 3 2" xfId="7768" xr:uid="{00000000-0005-0000-0000-0000C31C0000}"/>
    <cellStyle name="Обычный 2 15 6 2 3 3" xfId="8774" xr:uid="{00000000-0005-0000-0000-0000C41C0000}"/>
    <cellStyle name="Обычный 2 15 6 2 3 4" xfId="9760" xr:uid="{00000000-0005-0000-0000-0000C51C0000}"/>
    <cellStyle name="Обычный 2 15 6 2 3 5" xfId="10746" xr:uid="{00000000-0005-0000-0000-0000C61C0000}"/>
    <cellStyle name="Обычный 2 15 6 2 3 6" xfId="11732" xr:uid="{00000000-0005-0000-0000-0000C71C0000}"/>
    <cellStyle name="Обычный 2 15 6 2 3 7" xfId="12718" xr:uid="{00000000-0005-0000-0000-0000C81C0000}"/>
    <cellStyle name="Обычный 2 15 6 2 3 8" xfId="13704" xr:uid="{00000000-0005-0000-0000-0000C91C0000}"/>
    <cellStyle name="Обычный 2 15 6 2 3 9" xfId="14704" xr:uid="{00000000-0005-0000-0000-0000CA1C0000}"/>
    <cellStyle name="Обычный 2 15 6 2 4" xfId="7054" xr:uid="{00000000-0005-0000-0000-0000CB1C0000}"/>
    <cellStyle name="Обычный 2 15 6 2 5" xfId="8060" xr:uid="{00000000-0005-0000-0000-0000CC1C0000}"/>
    <cellStyle name="Обычный 2 15 6 2 6" xfId="9046" xr:uid="{00000000-0005-0000-0000-0000CD1C0000}"/>
    <cellStyle name="Обычный 2 15 6 2 7" xfId="10032" xr:uid="{00000000-0005-0000-0000-0000CE1C0000}"/>
    <cellStyle name="Обычный 2 15 6 2 8" xfId="11018" xr:uid="{00000000-0005-0000-0000-0000CF1C0000}"/>
    <cellStyle name="Обычный 2 15 6 2 9" xfId="12004" xr:uid="{00000000-0005-0000-0000-0000D01C0000}"/>
    <cellStyle name="Обычный 2 15 6 3" xfId="6093" xr:uid="{00000000-0005-0000-0000-0000D11C0000}"/>
    <cellStyle name="Обычный 2 15 6 3 10" xfId="13043" xr:uid="{00000000-0005-0000-0000-0000D21C0000}"/>
    <cellStyle name="Обычный 2 15 6 3 11" xfId="14043" xr:uid="{00000000-0005-0000-0000-0000D31C0000}"/>
    <cellStyle name="Обычный 2 15 6 3 12" xfId="15029" xr:uid="{00000000-0005-0000-0000-0000D41C0000}"/>
    <cellStyle name="Обычный 2 15 6 3 2" xfId="6554" xr:uid="{00000000-0005-0000-0000-0000D51C0000}"/>
    <cellStyle name="Обычный 2 15 6 3 2 10" xfId="15473" xr:uid="{00000000-0005-0000-0000-0000D61C0000}"/>
    <cellStyle name="Обычный 2 15 6 3 2 2" xfId="7551" xr:uid="{00000000-0005-0000-0000-0000D71C0000}"/>
    <cellStyle name="Обычный 2 15 6 3 2 3" xfId="8557" xr:uid="{00000000-0005-0000-0000-0000D81C0000}"/>
    <cellStyle name="Обычный 2 15 6 3 2 4" xfId="9543" xr:uid="{00000000-0005-0000-0000-0000D91C0000}"/>
    <cellStyle name="Обычный 2 15 6 3 2 5" xfId="10529" xr:uid="{00000000-0005-0000-0000-0000DA1C0000}"/>
    <cellStyle name="Обычный 2 15 6 3 2 6" xfId="11515" xr:uid="{00000000-0005-0000-0000-0000DB1C0000}"/>
    <cellStyle name="Обычный 2 15 6 3 2 7" xfId="12501" xr:uid="{00000000-0005-0000-0000-0000DC1C0000}"/>
    <cellStyle name="Обычный 2 15 6 3 2 8" xfId="13487" xr:uid="{00000000-0005-0000-0000-0000DD1C0000}"/>
    <cellStyle name="Обычный 2 15 6 3 2 9" xfId="14487" xr:uid="{00000000-0005-0000-0000-0000DE1C0000}"/>
    <cellStyle name="Обычный 2 15 6 3 3" xfId="6824" xr:uid="{00000000-0005-0000-0000-0000DF1C0000}"/>
    <cellStyle name="Обычный 2 15 6 3 3 10" xfId="15743" xr:uid="{00000000-0005-0000-0000-0000E01C0000}"/>
    <cellStyle name="Обычный 2 15 6 3 3 2" xfId="7821" xr:uid="{00000000-0005-0000-0000-0000E11C0000}"/>
    <cellStyle name="Обычный 2 15 6 3 3 3" xfId="8827" xr:uid="{00000000-0005-0000-0000-0000E21C0000}"/>
    <cellStyle name="Обычный 2 15 6 3 3 4" xfId="9813" xr:uid="{00000000-0005-0000-0000-0000E31C0000}"/>
    <cellStyle name="Обычный 2 15 6 3 3 5" xfId="10799" xr:uid="{00000000-0005-0000-0000-0000E41C0000}"/>
    <cellStyle name="Обычный 2 15 6 3 3 6" xfId="11785" xr:uid="{00000000-0005-0000-0000-0000E51C0000}"/>
    <cellStyle name="Обычный 2 15 6 3 3 7" xfId="12771" xr:uid="{00000000-0005-0000-0000-0000E61C0000}"/>
    <cellStyle name="Обычный 2 15 6 3 3 8" xfId="13757" xr:uid="{00000000-0005-0000-0000-0000E71C0000}"/>
    <cellStyle name="Обычный 2 15 6 3 3 9" xfId="14757" xr:uid="{00000000-0005-0000-0000-0000E81C0000}"/>
    <cellStyle name="Обычный 2 15 6 3 4" xfId="7107" xr:uid="{00000000-0005-0000-0000-0000E91C0000}"/>
    <cellStyle name="Обычный 2 15 6 3 5" xfId="8113" xr:uid="{00000000-0005-0000-0000-0000EA1C0000}"/>
    <cellStyle name="Обычный 2 15 6 3 6" xfId="9099" xr:uid="{00000000-0005-0000-0000-0000EB1C0000}"/>
    <cellStyle name="Обычный 2 15 6 3 7" xfId="10085" xr:uid="{00000000-0005-0000-0000-0000EC1C0000}"/>
    <cellStyle name="Обычный 2 15 6 3 8" xfId="11071" xr:uid="{00000000-0005-0000-0000-0000ED1C0000}"/>
    <cellStyle name="Обычный 2 15 6 3 9" xfId="12057" xr:uid="{00000000-0005-0000-0000-0000EE1C0000}"/>
    <cellStyle name="Обычный 2 15 6 4" xfId="6442" xr:uid="{00000000-0005-0000-0000-0000EF1C0000}"/>
    <cellStyle name="Обычный 2 15 6 4 10" xfId="15361" xr:uid="{00000000-0005-0000-0000-0000F01C0000}"/>
    <cellStyle name="Обычный 2 15 6 4 2" xfId="7439" xr:uid="{00000000-0005-0000-0000-0000F11C0000}"/>
    <cellStyle name="Обычный 2 15 6 4 3" xfId="8445" xr:uid="{00000000-0005-0000-0000-0000F21C0000}"/>
    <cellStyle name="Обычный 2 15 6 4 4" xfId="9431" xr:uid="{00000000-0005-0000-0000-0000F31C0000}"/>
    <cellStyle name="Обычный 2 15 6 4 5" xfId="10417" xr:uid="{00000000-0005-0000-0000-0000F41C0000}"/>
    <cellStyle name="Обычный 2 15 6 4 6" xfId="11403" xr:uid="{00000000-0005-0000-0000-0000F51C0000}"/>
    <cellStyle name="Обычный 2 15 6 4 7" xfId="12389" xr:uid="{00000000-0005-0000-0000-0000F61C0000}"/>
    <cellStyle name="Обычный 2 15 6 4 8" xfId="13375" xr:uid="{00000000-0005-0000-0000-0000F71C0000}"/>
    <cellStyle name="Обычный 2 15 6 4 9" xfId="14375" xr:uid="{00000000-0005-0000-0000-0000F81C0000}"/>
    <cellStyle name="Обычный 2 15 6 5" xfId="6712" xr:uid="{00000000-0005-0000-0000-0000F91C0000}"/>
    <cellStyle name="Обычный 2 15 6 5 10" xfId="15631" xr:uid="{00000000-0005-0000-0000-0000FA1C0000}"/>
    <cellStyle name="Обычный 2 15 6 5 2" xfId="7709" xr:uid="{00000000-0005-0000-0000-0000FB1C0000}"/>
    <cellStyle name="Обычный 2 15 6 5 3" xfId="8715" xr:uid="{00000000-0005-0000-0000-0000FC1C0000}"/>
    <cellStyle name="Обычный 2 15 6 5 4" xfId="9701" xr:uid="{00000000-0005-0000-0000-0000FD1C0000}"/>
    <cellStyle name="Обычный 2 15 6 5 5" xfId="10687" xr:uid="{00000000-0005-0000-0000-0000FE1C0000}"/>
    <cellStyle name="Обычный 2 15 6 5 6" xfId="11673" xr:uid="{00000000-0005-0000-0000-0000FF1C0000}"/>
    <cellStyle name="Обычный 2 15 6 5 7" xfId="12659" xr:uid="{00000000-0005-0000-0000-0000001D0000}"/>
    <cellStyle name="Обычный 2 15 6 5 8" xfId="13645" xr:uid="{00000000-0005-0000-0000-0000011D0000}"/>
    <cellStyle name="Обычный 2 15 6 5 9" xfId="14645" xr:uid="{00000000-0005-0000-0000-0000021D0000}"/>
    <cellStyle name="Обычный 2 15 6 6" xfId="6995" xr:uid="{00000000-0005-0000-0000-0000031D0000}"/>
    <cellStyle name="Обычный 2 15 6 7" xfId="8001" xr:uid="{00000000-0005-0000-0000-0000041D0000}"/>
    <cellStyle name="Обычный 2 15 6 8" xfId="8987" xr:uid="{00000000-0005-0000-0000-0000051D0000}"/>
    <cellStyle name="Обычный 2 15 6 9" xfId="9973" xr:uid="{00000000-0005-0000-0000-0000061D0000}"/>
    <cellStyle name="Обычный 2 15 7" xfId="3366" xr:uid="{00000000-0005-0000-0000-0000071D0000}"/>
    <cellStyle name="Обычный 2 15 7 10" xfId="10960" xr:uid="{00000000-0005-0000-0000-0000081D0000}"/>
    <cellStyle name="Обычный 2 15 7 11" xfId="11946" xr:uid="{00000000-0005-0000-0000-0000091D0000}"/>
    <cellStyle name="Обычный 2 15 7 12" xfId="12932" xr:uid="{00000000-0005-0000-0000-00000A1D0000}"/>
    <cellStyle name="Обычный 2 15 7 13" xfId="13932" xr:uid="{00000000-0005-0000-0000-00000B1D0000}"/>
    <cellStyle name="Обычный 2 15 7 14" xfId="14918" xr:uid="{00000000-0005-0000-0000-00000C1D0000}"/>
    <cellStyle name="Обычный 2 15 7 2" xfId="6037" xr:uid="{00000000-0005-0000-0000-00000D1D0000}"/>
    <cellStyle name="Обычный 2 15 7 2 10" xfId="12991" xr:uid="{00000000-0005-0000-0000-00000E1D0000}"/>
    <cellStyle name="Обычный 2 15 7 2 11" xfId="13991" xr:uid="{00000000-0005-0000-0000-00000F1D0000}"/>
    <cellStyle name="Обычный 2 15 7 2 12" xfId="14977" xr:uid="{00000000-0005-0000-0000-0000101D0000}"/>
    <cellStyle name="Обычный 2 15 7 2 2" xfId="6502" xr:uid="{00000000-0005-0000-0000-0000111D0000}"/>
    <cellStyle name="Обычный 2 15 7 2 2 10" xfId="15421" xr:uid="{00000000-0005-0000-0000-0000121D0000}"/>
    <cellStyle name="Обычный 2 15 7 2 2 2" xfId="7499" xr:uid="{00000000-0005-0000-0000-0000131D0000}"/>
    <cellStyle name="Обычный 2 15 7 2 2 3" xfId="8505" xr:uid="{00000000-0005-0000-0000-0000141D0000}"/>
    <cellStyle name="Обычный 2 15 7 2 2 4" xfId="9491" xr:uid="{00000000-0005-0000-0000-0000151D0000}"/>
    <cellStyle name="Обычный 2 15 7 2 2 5" xfId="10477" xr:uid="{00000000-0005-0000-0000-0000161D0000}"/>
    <cellStyle name="Обычный 2 15 7 2 2 6" xfId="11463" xr:uid="{00000000-0005-0000-0000-0000171D0000}"/>
    <cellStyle name="Обычный 2 15 7 2 2 7" xfId="12449" xr:uid="{00000000-0005-0000-0000-0000181D0000}"/>
    <cellStyle name="Обычный 2 15 7 2 2 8" xfId="13435" xr:uid="{00000000-0005-0000-0000-0000191D0000}"/>
    <cellStyle name="Обычный 2 15 7 2 2 9" xfId="14435" xr:uid="{00000000-0005-0000-0000-00001A1D0000}"/>
    <cellStyle name="Обычный 2 15 7 2 3" xfId="6772" xr:uid="{00000000-0005-0000-0000-00001B1D0000}"/>
    <cellStyle name="Обычный 2 15 7 2 3 10" xfId="15691" xr:uid="{00000000-0005-0000-0000-00001C1D0000}"/>
    <cellStyle name="Обычный 2 15 7 2 3 2" xfId="7769" xr:uid="{00000000-0005-0000-0000-00001D1D0000}"/>
    <cellStyle name="Обычный 2 15 7 2 3 3" xfId="8775" xr:uid="{00000000-0005-0000-0000-00001E1D0000}"/>
    <cellStyle name="Обычный 2 15 7 2 3 4" xfId="9761" xr:uid="{00000000-0005-0000-0000-00001F1D0000}"/>
    <cellStyle name="Обычный 2 15 7 2 3 5" xfId="10747" xr:uid="{00000000-0005-0000-0000-0000201D0000}"/>
    <cellStyle name="Обычный 2 15 7 2 3 6" xfId="11733" xr:uid="{00000000-0005-0000-0000-0000211D0000}"/>
    <cellStyle name="Обычный 2 15 7 2 3 7" xfId="12719" xr:uid="{00000000-0005-0000-0000-0000221D0000}"/>
    <cellStyle name="Обычный 2 15 7 2 3 8" xfId="13705" xr:uid="{00000000-0005-0000-0000-0000231D0000}"/>
    <cellStyle name="Обычный 2 15 7 2 3 9" xfId="14705" xr:uid="{00000000-0005-0000-0000-0000241D0000}"/>
    <cellStyle name="Обычный 2 15 7 2 4" xfId="7055" xr:uid="{00000000-0005-0000-0000-0000251D0000}"/>
    <cellStyle name="Обычный 2 15 7 2 5" xfId="8061" xr:uid="{00000000-0005-0000-0000-0000261D0000}"/>
    <cellStyle name="Обычный 2 15 7 2 6" xfId="9047" xr:uid="{00000000-0005-0000-0000-0000271D0000}"/>
    <cellStyle name="Обычный 2 15 7 2 7" xfId="10033" xr:uid="{00000000-0005-0000-0000-0000281D0000}"/>
    <cellStyle name="Обычный 2 15 7 2 8" xfId="11019" xr:uid="{00000000-0005-0000-0000-0000291D0000}"/>
    <cellStyle name="Обычный 2 15 7 2 9" xfId="12005" xr:uid="{00000000-0005-0000-0000-00002A1D0000}"/>
    <cellStyle name="Обычный 2 15 7 3" xfId="6094" xr:uid="{00000000-0005-0000-0000-00002B1D0000}"/>
    <cellStyle name="Обычный 2 15 7 3 10" xfId="13044" xr:uid="{00000000-0005-0000-0000-00002C1D0000}"/>
    <cellStyle name="Обычный 2 15 7 3 11" xfId="14044" xr:uid="{00000000-0005-0000-0000-00002D1D0000}"/>
    <cellStyle name="Обычный 2 15 7 3 12" xfId="15030" xr:uid="{00000000-0005-0000-0000-00002E1D0000}"/>
    <cellStyle name="Обычный 2 15 7 3 2" xfId="6555" xr:uid="{00000000-0005-0000-0000-00002F1D0000}"/>
    <cellStyle name="Обычный 2 15 7 3 2 10" xfId="15474" xr:uid="{00000000-0005-0000-0000-0000301D0000}"/>
    <cellStyle name="Обычный 2 15 7 3 2 2" xfId="7552" xr:uid="{00000000-0005-0000-0000-0000311D0000}"/>
    <cellStyle name="Обычный 2 15 7 3 2 3" xfId="8558" xr:uid="{00000000-0005-0000-0000-0000321D0000}"/>
    <cellStyle name="Обычный 2 15 7 3 2 4" xfId="9544" xr:uid="{00000000-0005-0000-0000-0000331D0000}"/>
    <cellStyle name="Обычный 2 15 7 3 2 5" xfId="10530" xr:uid="{00000000-0005-0000-0000-0000341D0000}"/>
    <cellStyle name="Обычный 2 15 7 3 2 6" xfId="11516" xr:uid="{00000000-0005-0000-0000-0000351D0000}"/>
    <cellStyle name="Обычный 2 15 7 3 2 7" xfId="12502" xr:uid="{00000000-0005-0000-0000-0000361D0000}"/>
    <cellStyle name="Обычный 2 15 7 3 2 8" xfId="13488" xr:uid="{00000000-0005-0000-0000-0000371D0000}"/>
    <cellStyle name="Обычный 2 15 7 3 2 9" xfId="14488" xr:uid="{00000000-0005-0000-0000-0000381D0000}"/>
    <cellStyle name="Обычный 2 15 7 3 3" xfId="6825" xr:uid="{00000000-0005-0000-0000-0000391D0000}"/>
    <cellStyle name="Обычный 2 15 7 3 3 10" xfId="15744" xr:uid="{00000000-0005-0000-0000-00003A1D0000}"/>
    <cellStyle name="Обычный 2 15 7 3 3 2" xfId="7822" xr:uid="{00000000-0005-0000-0000-00003B1D0000}"/>
    <cellStyle name="Обычный 2 15 7 3 3 3" xfId="8828" xr:uid="{00000000-0005-0000-0000-00003C1D0000}"/>
    <cellStyle name="Обычный 2 15 7 3 3 4" xfId="9814" xr:uid="{00000000-0005-0000-0000-00003D1D0000}"/>
    <cellStyle name="Обычный 2 15 7 3 3 5" xfId="10800" xr:uid="{00000000-0005-0000-0000-00003E1D0000}"/>
    <cellStyle name="Обычный 2 15 7 3 3 6" xfId="11786" xr:uid="{00000000-0005-0000-0000-00003F1D0000}"/>
    <cellStyle name="Обычный 2 15 7 3 3 7" xfId="12772" xr:uid="{00000000-0005-0000-0000-0000401D0000}"/>
    <cellStyle name="Обычный 2 15 7 3 3 8" xfId="13758" xr:uid="{00000000-0005-0000-0000-0000411D0000}"/>
    <cellStyle name="Обычный 2 15 7 3 3 9" xfId="14758" xr:uid="{00000000-0005-0000-0000-0000421D0000}"/>
    <cellStyle name="Обычный 2 15 7 3 4" xfId="7108" xr:uid="{00000000-0005-0000-0000-0000431D0000}"/>
    <cellStyle name="Обычный 2 15 7 3 5" xfId="8114" xr:uid="{00000000-0005-0000-0000-0000441D0000}"/>
    <cellStyle name="Обычный 2 15 7 3 6" xfId="9100" xr:uid="{00000000-0005-0000-0000-0000451D0000}"/>
    <cellStyle name="Обычный 2 15 7 3 7" xfId="10086" xr:uid="{00000000-0005-0000-0000-0000461D0000}"/>
    <cellStyle name="Обычный 2 15 7 3 8" xfId="11072" xr:uid="{00000000-0005-0000-0000-0000471D0000}"/>
    <cellStyle name="Обычный 2 15 7 3 9" xfId="12058" xr:uid="{00000000-0005-0000-0000-0000481D0000}"/>
    <cellStyle name="Обычный 2 15 7 4" xfId="6443" xr:uid="{00000000-0005-0000-0000-0000491D0000}"/>
    <cellStyle name="Обычный 2 15 7 4 10" xfId="15362" xr:uid="{00000000-0005-0000-0000-00004A1D0000}"/>
    <cellStyle name="Обычный 2 15 7 4 2" xfId="7440" xr:uid="{00000000-0005-0000-0000-00004B1D0000}"/>
    <cellStyle name="Обычный 2 15 7 4 3" xfId="8446" xr:uid="{00000000-0005-0000-0000-00004C1D0000}"/>
    <cellStyle name="Обычный 2 15 7 4 4" xfId="9432" xr:uid="{00000000-0005-0000-0000-00004D1D0000}"/>
    <cellStyle name="Обычный 2 15 7 4 5" xfId="10418" xr:uid="{00000000-0005-0000-0000-00004E1D0000}"/>
    <cellStyle name="Обычный 2 15 7 4 6" xfId="11404" xr:uid="{00000000-0005-0000-0000-00004F1D0000}"/>
    <cellStyle name="Обычный 2 15 7 4 7" xfId="12390" xr:uid="{00000000-0005-0000-0000-0000501D0000}"/>
    <cellStyle name="Обычный 2 15 7 4 8" xfId="13376" xr:uid="{00000000-0005-0000-0000-0000511D0000}"/>
    <cellStyle name="Обычный 2 15 7 4 9" xfId="14376" xr:uid="{00000000-0005-0000-0000-0000521D0000}"/>
    <cellStyle name="Обычный 2 15 7 5" xfId="6713" xr:uid="{00000000-0005-0000-0000-0000531D0000}"/>
    <cellStyle name="Обычный 2 15 7 5 10" xfId="15632" xr:uid="{00000000-0005-0000-0000-0000541D0000}"/>
    <cellStyle name="Обычный 2 15 7 5 2" xfId="7710" xr:uid="{00000000-0005-0000-0000-0000551D0000}"/>
    <cellStyle name="Обычный 2 15 7 5 3" xfId="8716" xr:uid="{00000000-0005-0000-0000-0000561D0000}"/>
    <cellStyle name="Обычный 2 15 7 5 4" xfId="9702" xr:uid="{00000000-0005-0000-0000-0000571D0000}"/>
    <cellStyle name="Обычный 2 15 7 5 5" xfId="10688" xr:uid="{00000000-0005-0000-0000-0000581D0000}"/>
    <cellStyle name="Обычный 2 15 7 5 6" xfId="11674" xr:uid="{00000000-0005-0000-0000-0000591D0000}"/>
    <cellStyle name="Обычный 2 15 7 5 7" xfId="12660" xr:uid="{00000000-0005-0000-0000-00005A1D0000}"/>
    <cellStyle name="Обычный 2 15 7 5 8" xfId="13646" xr:uid="{00000000-0005-0000-0000-00005B1D0000}"/>
    <cellStyle name="Обычный 2 15 7 5 9" xfId="14646" xr:uid="{00000000-0005-0000-0000-00005C1D0000}"/>
    <cellStyle name="Обычный 2 15 7 6" xfId="6996" xr:uid="{00000000-0005-0000-0000-00005D1D0000}"/>
    <cellStyle name="Обычный 2 15 7 7" xfId="8002" xr:uid="{00000000-0005-0000-0000-00005E1D0000}"/>
    <cellStyle name="Обычный 2 15 7 8" xfId="8988" xr:uid="{00000000-0005-0000-0000-00005F1D0000}"/>
    <cellStyle name="Обычный 2 15 7 9" xfId="9974" xr:uid="{00000000-0005-0000-0000-0000601D0000}"/>
    <cellStyle name="Обычный 2 15 8" xfId="3367" xr:uid="{00000000-0005-0000-0000-0000611D0000}"/>
    <cellStyle name="Обычный 2 15 8 10" xfId="10961" xr:uid="{00000000-0005-0000-0000-0000621D0000}"/>
    <cellStyle name="Обычный 2 15 8 11" xfId="11947" xr:uid="{00000000-0005-0000-0000-0000631D0000}"/>
    <cellStyle name="Обычный 2 15 8 12" xfId="12933" xr:uid="{00000000-0005-0000-0000-0000641D0000}"/>
    <cellStyle name="Обычный 2 15 8 13" xfId="13933" xr:uid="{00000000-0005-0000-0000-0000651D0000}"/>
    <cellStyle name="Обычный 2 15 8 14" xfId="14919" xr:uid="{00000000-0005-0000-0000-0000661D0000}"/>
    <cellStyle name="Обычный 2 15 8 2" xfId="6038" xr:uid="{00000000-0005-0000-0000-0000671D0000}"/>
    <cellStyle name="Обычный 2 15 8 2 10" xfId="12992" xr:uid="{00000000-0005-0000-0000-0000681D0000}"/>
    <cellStyle name="Обычный 2 15 8 2 11" xfId="13992" xr:uid="{00000000-0005-0000-0000-0000691D0000}"/>
    <cellStyle name="Обычный 2 15 8 2 12" xfId="14978" xr:uid="{00000000-0005-0000-0000-00006A1D0000}"/>
    <cellStyle name="Обычный 2 15 8 2 2" xfId="6503" xr:uid="{00000000-0005-0000-0000-00006B1D0000}"/>
    <cellStyle name="Обычный 2 15 8 2 2 10" xfId="15422" xr:uid="{00000000-0005-0000-0000-00006C1D0000}"/>
    <cellStyle name="Обычный 2 15 8 2 2 2" xfId="7500" xr:uid="{00000000-0005-0000-0000-00006D1D0000}"/>
    <cellStyle name="Обычный 2 15 8 2 2 3" xfId="8506" xr:uid="{00000000-0005-0000-0000-00006E1D0000}"/>
    <cellStyle name="Обычный 2 15 8 2 2 4" xfId="9492" xr:uid="{00000000-0005-0000-0000-00006F1D0000}"/>
    <cellStyle name="Обычный 2 15 8 2 2 5" xfId="10478" xr:uid="{00000000-0005-0000-0000-0000701D0000}"/>
    <cellStyle name="Обычный 2 15 8 2 2 6" xfId="11464" xr:uid="{00000000-0005-0000-0000-0000711D0000}"/>
    <cellStyle name="Обычный 2 15 8 2 2 7" xfId="12450" xr:uid="{00000000-0005-0000-0000-0000721D0000}"/>
    <cellStyle name="Обычный 2 15 8 2 2 8" xfId="13436" xr:uid="{00000000-0005-0000-0000-0000731D0000}"/>
    <cellStyle name="Обычный 2 15 8 2 2 9" xfId="14436" xr:uid="{00000000-0005-0000-0000-0000741D0000}"/>
    <cellStyle name="Обычный 2 15 8 2 3" xfId="6773" xr:uid="{00000000-0005-0000-0000-0000751D0000}"/>
    <cellStyle name="Обычный 2 15 8 2 3 10" xfId="15692" xr:uid="{00000000-0005-0000-0000-0000761D0000}"/>
    <cellStyle name="Обычный 2 15 8 2 3 2" xfId="7770" xr:uid="{00000000-0005-0000-0000-0000771D0000}"/>
    <cellStyle name="Обычный 2 15 8 2 3 3" xfId="8776" xr:uid="{00000000-0005-0000-0000-0000781D0000}"/>
    <cellStyle name="Обычный 2 15 8 2 3 4" xfId="9762" xr:uid="{00000000-0005-0000-0000-0000791D0000}"/>
    <cellStyle name="Обычный 2 15 8 2 3 5" xfId="10748" xr:uid="{00000000-0005-0000-0000-00007A1D0000}"/>
    <cellStyle name="Обычный 2 15 8 2 3 6" xfId="11734" xr:uid="{00000000-0005-0000-0000-00007B1D0000}"/>
    <cellStyle name="Обычный 2 15 8 2 3 7" xfId="12720" xr:uid="{00000000-0005-0000-0000-00007C1D0000}"/>
    <cellStyle name="Обычный 2 15 8 2 3 8" xfId="13706" xr:uid="{00000000-0005-0000-0000-00007D1D0000}"/>
    <cellStyle name="Обычный 2 15 8 2 3 9" xfId="14706" xr:uid="{00000000-0005-0000-0000-00007E1D0000}"/>
    <cellStyle name="Обычный 2 15 8 2 4" xfId="7056" xr:uid="{00000000-0005-0000-0000-00007F1D0000}"/>
    <cellStyle name="Обычный 2 15 8 2 5" xfId="8062" xr:uid="{00000000-0005-0000-0000-0000801D0000}"/>
    <cellStyle name="Обычный 2 15 8 2 6" xfId="9048" xr:uid="{00000000-0005-0000-0000-0000811D0000}"/>
    <cellStyle name="Обычный 2 15 8 2 7" xfId="10034" xr:uid="{00000000-0005-0000-0000-0000821D0000}"/>
    <cellStyle name="Обычный 2 15 8 2 8" xfId="11020" xr:uid="{00000000-0005-0000-0000-0000831D0000}"/>
    <cellStyle name="Обычный 2 15 8 2 9" xfId="12006" xr:uid="{00000000-0005-0000-0000-0000841D0000}"/>
    <cellStyle name="Обычный 2 15 8 3" xfId="6095" xr:uid="{00000000-0005-0000-0000-0000851D0000}"/>
    <cellStyle name="Обычный 2 15 8 3 10" xfId="13045" xr:uid="{00000000-0005-0000-0000-0000861D0000}"/>
    <cellStyle name="Обычный 2 15 8 3 11" xfId="14045" xr:uid="{00000000-0005-0000-0000-0000871D0000}"/>
    <cellStyle name="Обычный 2 15 8 3 12" xfId="15031" xr:uid="{00000000-0005-0000-0000-0000881D0000}"/>
    <cellStyle name="Обычный 2 15 8 3 2" xfId="6556" xr:uid="{00000000-0005-0000-0000-0000891D0000}"/>
    <cellStyle name="Обычный 2 15 8 3 2 10" xfId="15475" xr:uid="{00000000-0005-0000-0000-00008A1D0000}"/>
    <cellStyle name="Обычный 2 15 8 3 2 2" xfId="7553" xr:uid="{00000000-0005-0000-0000-00008B1D0000}"/>
    <cellStyle name="Обычный 2 15 8 3 2 3" xfId="8559" xr:uid="{00000000-0005-0000-0000-00008C1D0000}"/>
    <cellStyle name="Обычный 2 15 8 3 2 4" xfId="9545" xr:uid="{00000000-0005-0000-0000-00008D1D0000}"/>
    <cellStyle name="Обычный 2 15 8 3 2 5" xfId="10531" xr:uid="{00000000-0005-0000-0000-00008E1D0000}"/>
    <cellStyle name="Обычный 2 15 8 3 2 6" xfId="11517" xr:uid="{00000000-0005-0000-0000-00008F1D0000}"/>
    <cellStyle name="Обычный 2 15 8 3 2 7" xfId="12503" xr:uid="{00000000-0005-0000-0000-0000901D0000}"/>
    <cellStyle name="Обычный 2 15 8 3 2 8" xfId="13489" xr:uid="{00000000-0005-0000-0000-0000911D0000}"/>
    <cellStyle name="Обычный 2 15 8 3 2 9" xfId="14489" xr:uid="{00000000-0005-0000-0000-0000921D0000}"/>
    <cellStyle name="Обычный 2 15 8 3 3" xfId="6826" xr:uid="{00000000-0005-0000-0000-0000931D0000}"/>
    <cellStyle name="Обычный 2 15 8 3 3 10" xfId="15745" xr:uid="{00000000-0005-0000-0000-0000941D0000}"/>
    <cellStyle name="Обычный 2 15 8 3 3 2" xfId="7823" xr:uid="{00000000-0005-0000-0000-0000951D0000}"/>
    <cellStyle name="Обычный 2 15 8 3 3 3" xfId="8829" xr:uid="{00000000-0005-0000-0000-0000961D0000}"/>
    <cellStyle name="Обычный 2 15 8 3 3 4" xfId="9815" xr:uid="{00000000-0005-0000-0000-0000971D0000}"/>
    <cellStyle name="Обычный 2 15 8 3 3 5" xfId="10801" xr:uid="{00000000-0005-0000-0000-0000981D0000}"/>
    <cellStyle name="Обычный 2 15 8 3 3 6" xfId="11787" xr:uid="{00000000-0005-0000-0000-0000991D0000}"/>
    <cellStyle name="Обычный 2 15 8 3 3 7" xfId="12773" xr:uid="{00000000-0005-0000-0000-00009A1D0000}"/>
    <cellStyle name="Обычный 2 15 8 3 3 8" xfId="13759" xr:uid="{00000000-0005-0000-0000-00009B1D0000}"/>
    <cellStyle name="Обычный 2 15 8 3 3 9" xfId="14759" xr:uid="{00000000-0005-0000-0000-00009C1D0000}"/>
    <cellStyle name="Обычный 2 15 8 3 4" xfId="7109" xr:uid="{00000000-0005-0000-0000-00009D1D0000}"/>
    <cellStyle name="Обычный 2 15 8 3 5" xfId="8115" xr:uid="{00000000-0005-0000-0000-00009E1D0000}"/>
    <cellStyle name="Обычный 2 15 8 3 6" xfId="9101" xr:uid="{00000000-0005-0000-0000-00009F1D0000}"/>
    <cellStyle name="Обычный 2 15 8 3 7" xfId="10087" xr:uid="{00000000-0005-0000-0000-0000A01D0000}"/>
    <cellStyle name="Обычный 2 15 8 3 8" xfId="11073" xr:uid="{00000000-0005-0000-0000-0000A11D0000}"/>
    <cellStyle name="Обычный 2 15 8 3 9" xfId="12059" xr:uid="{00000000-0005-0000-0000-0000A21D0000}"/>
    <cellStyle name="Обычный 2 15 8 4" xfId="6444" xr:uid="{00000000-0005-0000-0000-0000A31D0000}"/>
    <cellStyle name="Обычный 2 15 8 4 10" xfId="15363" xr:uid="{00000000-0005-0000-0000-0000A41D0000}"/>
    <cellStyle name="Обычный 2 15 8 4 2" xfId="7441" xr:uid="{00000000-0005-0000-0000-0000A51D0000}"/>
    <cellStyle name="Обычный 2 15 8 4 3" xfId="8447" xr:uid="{00000000-0005-0000-0000-0000A61D0000}"/>
    <cellStyle name="Обычный 2 15 8 4 4" xfId="9433" xr:uid="{00000000-0005-0000-0000-0000A71D0000}"/>
    <cellStyle name="Обычный 2 15 8 4 5" xfId="10419" xr:uid="{00000000-0005-0000-0000-0000A81D0000}"/>
    <cellStyle name="Обычный 2 15 8 4 6" xfId="11405" xr:uid="{00000000-0005-0000-0000-0000A91D0000}"/>
    <cellStyle name="Обычный 2 15 8 4 7" xfId="12391" xr:uid="{00000000-0005-0000-0000-0000AA1D0000}"/>
    <cellStyle name="Обычный 2 15 8 4 8" xfId="13377" xr:uid="{00000000-0005-0000-0000-0000AB1D0000}"/>
    <cellStyle name="Обычный 2 15 8 4 9" xfId="14377" xr:uid="{00000000-0005-0000-0000-0000AC1D0000}"/>
    <cellStyle name="Обычный 2 15 8 5" xfId="6714" xr:uid="{00000000-0005-0000-0000-0000AD1D0000}"/>
    <cellStyle name="Обычный 2 15 8 5 10" xfId="15633" xr:uid="{00000000-0005-0000-0000-0000AE1D0000}"/>
    <cellStyle name="Обычный 2 15 8 5 2" xfId="7711" xr:uid="{00000000-0005-0000-0000-0000AF1D0000}"/>
    <cellStyle name="Обычный 2 15 8 5 3" xfId="8717" xr:uid="{00000000-0005-0000-0000-0000B01D0000}"/>
    <cellStyle name="Обычный 2 15 8 5 4" xfId="9703" xr:uid="{00000000-0005-0000-0000-0000B11D0000}"/>
    <cellStyle name="Обычный 2 15 8 5 5" xfId="10689" xr:uid="{00000000-0005-0000-0000-0000B21D0000}"/>
    <cellStyle name="Обычный 2 15 8 5 6" xfId="11675" xr:uid="{00000000-0005-0000-0000-0000B31D0000}"/>
    <cellStyle name="Обычный 2 15 8 5 7" xfId="12661" xr:uid="{00000000-0005-0000-0000-0000B41D0000}"/>
    <cellStyle name="Обычный 2 15 8 5 8" xfId="13647" xr:uid="{00000000-0005-0000-0000-0000B51D0000}"/>
    <cellStyle name="Обычный 2 15 8 5 9" xfId="14647" xr:uid="{00000000-0005-0000-0000-0000B61D0000}"/>
    <cellStyle name="Обычный 2 15 8 6" xfId="6997" xr:uid="{00000000-0005-0000-0000-0000B71D0000}"/>
    <cellStyle name="Обычный 2 15 8 7" xfId="8003" xr:uid="{00000000-0005-0000-0000-0000B81D0000}"/>
    <cellStyle name="Обычный 2 15 8 8" xfId="8989" xr:uid="{00000000-0005-0000-0000-0000B91D0000}"/>
    <cellStyle name="Обычный 2 15 8 9" xfId="9975" xr:uid="{00000000-0005-0000-0000-0000BA1D0000}"/>
    <cellStyle name="Обычный 2 15 9" xfId="3428" xr:uid="{00000000-0005-0000-0000-0000BB1D0000}"/>
    <cellStyle name="Обычный 2 15 9 10" xfId="10990" xr:uid="{00000000-0005-0000-0000-0000BC1D0000}"/>
    <cellStyle name="Обычный 2 15 9 11" xfId="11976" xr:uid="{00000000-0005-0000-0000-0000BD1D0000}"/>
    <cellStyle name="Обычный 2 15 9 12" xfId="12962" xr:uid="{00000000-0005-0000-0000-0000BE1D0000}"/>
    <cellStyle name="Обычный 2 15 9 13" xfId="13962" xr:uid="{00000000-0005-0000-0000-0000BF1D0000}"/>
    <cellStyle name="Обычный 2 15 9 14" xfId="14948" xr:uid="{00000000-0005-0000-0000-0000C01D0000}"/>
    <cellStyle name="Обычный 2 15 9 2" xfId="6067" xr:uid="{00000000-0005-0000-0000-0000C11D0000}"/>
    <cellStyle name="Обычный 2 15 9 2 10" xfId="13021" xr:uid="{00000000-0005-0000-0000-0000C21D0000}"/>
    <cellStyle name="Обычный 2 15 9 2 11" xfId="14021" xr:uid="{00000000-0005-0000-0000-0000C31D0000}"/>
    <cellStyle name="Обычный 2 15 9 2 12" xfId="15007" xr:uid="{00000000-0005-0000-0000-0000C41D0000}"/>
    <cellStyle name="Обычный 2 15 9 2 2" xfId="6532" xr:uid="{00000000-0005-0000-0000-0000C51D0000}"/>
    <cellStyle name="Обычный 2 15 9 2 2 10" xfId="15451" xr:uid="{00000000-0005-0000-0000-0000C61D0000}"/>
    <cellStyle name="Обычный 2 15 9 2 2 2" xfId="7529" xr:uid="{00000000-0005-0000-0000-0000C71D0000}"/>
    <cellStyle name="Обычный 2 15 9 2 2 3" xfId="8535" xr:uid="{00000000-0005-0000-0000-0000C81D0000}"/>
    <cellStyle name="Обычный 2 15 9 2 2 4" xfId="9521" xr:uid="{00000000-0005-0000-0000-0000C91D0000}"/>
    <cellStyle name="Обычный 2 15 9 2 2 5" xfId="10507" xr:uid="{00000000-0005-0000-0000-0000CA1D0000}"/>
    <cellStyle name="Обычный 2 15 9 2 2 6" xfId="11493" xr:uid="{00000000-0005-0000-0000-0000CB1D0000}"/>
    <cellStyle name="Обычный 2 15 9 2 2 7" xfId="12479" xr:uid="{00000000-0005-0000-0000-0000CC1D0000}"/>
    <cellStyle name="Обычный 2 15 9 2 2 8" xfId="13465" xr:uid="{00000000-0005-0000-0000-0000CD1D0000}"/>
    <cellStyle name="Обычный 2 15 9 2 2 9" xfId="14465" xr:uid="{00000000-0005-0000-0000-0000CE1D0000}"/>
    <cellStyle name="Обычный 2 15 9 2 3" xfId="6802" xr:uid="{00000000-0005-0000-0000-0000CF1D0000}"/>
    <cellStyle name="Обычный 2 15 9 2 3 10" xfId="15721" xr:uid="{00000000-0005-0000-0000-0000D01D0000}"/>
    <cellStyle name="Обычный 2 15 9 2 3 2" xfId="7799" xr:uid="{00000000-0005-0000-0000-0000D11D0000}"/>
    <cellStyle name="Обычный 2 15 9 2 3 3" xfId="8805" xr:uid="{00000000-0005-0000-0000-0000D21D0000}"/>
    <cellStyle name="Обычный 2 15 9 2 3 4" xfId="9791" xr:uid="{00000000-0005-0000-0000-0000D31D0000}"/>
    <cellStyle name="Обычный 2 15 9 2 3 5" xfId="10777" xr:uid="{00000000-0005-0000-0000-0000D41D0000}"/>
    <cellStyle name="Обычный 2 15 9 2 3 6" xfId="11763" xr:uid="{00000000-0005-0000-0000-0000D51D0000}"/>
    <cellStyle name="Обычный 2 15 9 2 3 7" xfId="12749" xr:uid="{00000000-0005-0000-0000-0000D61D0000}"/>
    <cellStyle name="Обычный 2 15 9 2 3 8" xfId="13735" xr:uid="{00000000-0005-0000-0000-0000D71D0000}"/>
    <cellStyle name="Обычный 2 15 9 2 3 9" xfId="14735" xr:uid="{00000000-0005-0000-0000-0000D81D0000}"/>
    <cellStyle name="Обычный 2 15 9 2 4" xfId="7085" xr:uid="{00000000-0005-0000-0000-0000D91D0000}"/>
    <cellStyle name="Обычный 2 15 9 2 5" xfId="8091" xr:uid="{00000000-0005-0000-0000-0000DA1D0000}"/>
    <cellStyle name="Обычный 2 15 9 2 6" xfId="9077" xr:uid="{00000000-0005-0000-0000-0000DB1D0000}"/>
    <cellStyle name="Обычный 2 15 9 2 7" xfId="10063" xr:uid="{00000000-0005-0000-0000-0000DC1D0000}"/>
    <cellStyle name="Обычный 2 15 9 2 8" xfId="11049" xr:uid="{00000000-0005-0000-0000-0000DD1D0000}"/>
    <cellStyle name="Обычный 2 15 9 2 9" xfId="12035" xr:uid="{00000000-0005-0000-0000-0000DE1D0000}"/>
    <cellStyle name="Обычный 2 15 9 3" xfId="6124" xr:uid="{00000000-0005-0000-0000-0000DF1D0000}"/>
    <cellStyle name="Обычный 2 15 9 3 10" xfId="13074" xr:uid="{00000000-0005-0000-0000-0000E01D0000}"/>
    <cellStyle name="Обычный 2 15 9 3 11" xfId="14074" xr:uid="{00000000-0005-0000-0000-0000E11D0000}"/>
    <cellStyle name="Обычный 2 15 9 3 12" xfId="15060" xr:uid="{00000000-0005-0000-0000-0000E21D0000}"/>
    <cellStyle name="Обычный 2 15 9 3 2" xfId="6585" xr:uid="{00000000-0005-0000-0000-0000E31D0000}"/>
    <cellStyle name="Обычный 2 15 9 3 2 10" xfId="15504" xr:uid="{00000000-0005-0000-0000-0000E41D0000}"/>
    <cellStyle name="Обычный 2 15 9 3 2 2" xfId="7582" xr:uid="{00000000-0005-0000-0000-0000E51D0000}"/>
    <cellStyle name="Обычный 2 15 9 3 2 3" xfId="8588" xr:uid="{00000000-0005-0000-0000-0000E61D0000}"/>
    <cellStyle name="Обычный 2 15 9 3 2 4" xfId="9574" xr:uid="{00000000-0005-0000-0000-0000E71D0000}"/>
    <cellStyle name="Обычный 2 15 9 3 2 5" xfId="10560" xr:uid="{00000000-0005-0000-0000-0000E81D0000}"/>
    <cellStyle name="Обычный 2 15 9 3 2 6" xfId="11546" xr:uid="{00000000-0005-0000-0000-0000E91D0000}"/>
    <cellStyle name="Обычный 2 15 9 3 2 7" xfId="12532" xr:uid="{00000000-0005-0000-0000-0000EA1D0000}"/>
    <cellStyle name="Обычный 2 15 9 3 2 8" xfId="13518" xr:uid="{00000000-0005-0000-0000-0000EB1D0000}"/>
    <cellStyle name="Обычный 2 15 9 3 2 9" xfId="14518" xr:uid="{00000000-0005-0000-0000-0000EC1D0000}"/>
    <cellStyle name="Обычный 2 15 9 3 3" xfId="6855" xr:uid="{00000000-0005-0000-0000-0000ED1D0000}"/>
    <cellStyle name="Обычный 2 15 9 3 3 10" xfId="15774" xr:uid="{00000000-0005-0000-0000-0000EE1D0000}"/>
    <cellStyle name="Обычный 2 15 9 3 3 2" xfId="7852" xr:uid="{00000000-0005-0000-0000-0000EF1D0000}"/>
    <cellStyle name="Обычный 2 15 9 3 3 3" xfId="8858" xr:uid="{00000000-0005-0000-0000-0000F01D0000}"/>
    <cellStyle name="Обычный 2 15 9 3 3 4" xfId="9844" xr:uid="{00000000-0005-0000-0000-0000F11D0000}"/>
    <cellStyle name="Обычный 2 15 9 3 3 5" xfId="10830" xr:uid="{00000000-0005-0000-0000-0000F21D0000}"/>
    <cellStyle name="Обычный 2 15 9 3 3 6" xfId="11816" xr:uid="{00000000-0005-0000-0000-0000F31D0000}"/>
    <cellStyle name="Обычный 2 15 9 3 3 7" xfId="12802" xr:uid="{00000000-0005-0000-0000-0000F41D0000}"/>
    <cellStyle name="Обычный 2 15 9 3 3 8" xfId="13788" xr:uid="{00000000-0005-0000-0000-0000F51D0000}"/>
    <cellStyle name="Обычный 2 15 9 3 3 9" xfId="14788" xr:uid="{00000000-0005-0000-0000-0000F61D0000}"/>
    <cellStyle name="Обычный 2 15 9 3 4" xfId="7138" xr:uid="{00000000-0005-0000-0000-0000F71D0000}"/>
    <cellStyle name="Обычный 2 15 9 3 5" xfId="8144" xr:uid="{00000000-0005-0000-0000-0000F81D0000}"/>
    <cellStyle name="Обычный 2 15 9 3 6" xfId="9130" xr:uid="{00000000-0005-0000-0000-0000F91D0000}"/>
    <cellStyle name="Обычный 2 15 9 3 7" xfId="10116" xr:uid="{00000000-0005-0000-0000-0000FA1D0000}"/>
    <cellStyle name="Обычный 2 15 9 3 8" xfId="11102" xr:uid="{00000000-0005-0000-0000-0000FB1D0000}"/>
    <cellStyle name="Обычный 2 15 9 3 9" xfId="12088" xr:uid="{00000000-0005-0000-0000-0000FC1D0000}"/>
    <cellStyle name="Обычный 2 15 9 4" xfId="6473" xr:uid="{00000000-0005-0000-0000-0000FD1D0000}"/>
    <cellStyle name="Обычный 2 15 9 4 10" xfId="15392" xr:uid="{00000000-0005-0000-0000-0000FE1D0000}"/>
    <cellStyle name="Обычный 2 15 9 4 2" xfId="7470" xr:uid="{00000000-0005-0000-0000-0000FF1D0000}"/>
    <cellStyle name="Обычный 2 15 9 4 3" xfId="8476" xr:uid="{00000000-0005-0000-0000-0000001E0000}"/>
    <cellStyle name="Обычный 2 15 9 4 4" xfId="9462" xr:uid="{00000000-0005-0000-0000-0000011E0000}"/>
    <cellStyle name="Обычный 2 15 9 4 5" xfId="10448" xr:uid="{00000000-0005-0000-0000-0000021E0000}"/>
    <cellStyle name="Обычный 2 15 9 4 6" xfId="11434" xr:uid="{00000000-0005-0000-0000-0000031E0000}"/>
    <cellStyle name="Обычный 2 15 9 4 7" xfId="12420" xr:uid="{00000000-0005-0000-0000-0000041E0000}"/>
    <cellStyle name="Обычный 2 15 9 4 8" xfId="13406" xr:uid="{00000000-0005-0000-0000-0000051E0000}"/>
    <cellStyle name="Обычный 2 15 9 4 9" xfId="14406" xr:uid="{00000000-0005-0000-0000-0000061E0000}"/>
    <cellStyle name="Обычный 2 15 9 5" xfId="6743" xr:uid="{00000000-0005-0000-0000-0000071E0000}"/>
    <cellStyle name="Обычный 2 15 9 5 10" xfId="15662" xr:uid="{00000000-0005-0000-0000-0000081E0000}"/>
    <cellStyle name="Обычный 2 15 9 5 2" xfId="7740" xr:uid="{00000000-0005-0000-0000-0000091E0000}"/>
    <cellStyle name="Обычный 2 15 9 5 3" xfId="8746" xr:uid="{00000000-0005-0000-0000-00000A1E0000}"/>
    <cellStyle name="Обычный 2 15 9 5 4" xfId="9732" xr:uid="{00000000-0005-0000-0000-00000B1E0000}"/>
    <cellStyle name="Обычный 2 15 9 5 5" xfId="10718" xr:uid="{00000000-0005-0000-0000-00000C1E0000}"/>
    <cellStyle name="Обычный 2 15 9 5 6" xfId="11704" xr:uid="{00000000-0005-0000-0000-00000D1E0000}"/>
    <cellStyle name="Обычный 2 15 9 5 7" xfId="12690" xr:uid="{00000000-0005-0000-0000-00000E1E0000}"/>
    <cellStyle name="Обычный 2 15 9 5 8" xfId="13676" xr:uid="{00000000-0005-0000-0000-00000F1E0000}"/>
    <cellStyle name="Обычный 2 15 9 5 9" xfId="14676" xr:uid="{00000000-0005-0000-0000-0000101E0000}"/>
    <cellStyle name="Обычный 2 15 9 6" xfId="7026" xr:uid="{00000000-0005-0000-0000-0000111E0000}"/>
    <cellStyle name="Обычный 2 15 9 7" xfId="8032" xr:uid="{00000000-0005-0000-0000-0000121E0000}"/>
    <cellStyle name="Обычный 2 15 9 8" xfId="9018" xr:uid="{00000000-0005-0000-0000-0000131E0000}"/>
    <cellStyle name="Обычный 2 15 9 9" xfId="10004" xr:uid="{00000000-0005-0000-0000-0000141E0000}"/>
    <cellStyle name="Обычный 2 16" xfId="3368" xr:uid="{00000000-0005-0000-0000-0000151E0000}"/>
    <cellStyle name="Обычный 2 16 10" xfId="10962" xr:uid="{00000000-0005-0000-0000-0000161E0000}"/>
    <cellStyle name="Обычный 2 16 11" xfId="11948" xr:uid="{00000000-0005-0000-0000-0000171E0000}"/>
    <cellStyle name="Обычный 2 16 12" xfId="12934" xr:uid="{00000000-0005-0000-0000-0000181E0000}"/>
    <cellStyle name="Обычный 2 16 13" xfId="13934" xr:uid="{00000000-0005-0000-0000-0000191E0000}"/>
    <cellStyle name="Обычный 2 16 14" xfId="14920" xr:uid="{00000000-0005-0000-0000-00001A1E0000}"/>
    <cellStyle name="Обычный 2 16 2" xfId="6039" xr:uid="{00000000-0005-0000-0000-00001B1E0000}"/>
    <cellStyle name="Обычный 2 16 2 10" xfId="12993" xr:uid="{00000000-0005-0000-0000-00001C1E0000}"/>
    <cellStyle name="Обычный 2 16 2 11" xfId="13993" xr:uid="{00000000-0005-0000-0000-00001D1E0000}"/>
    <cellStyle name="Обычный 2 16 2 12" xfId="14979" xr:uid="{00000000-0005-0000-0000-00001E1E0000}"/>
    <cellStyle name="Обычный 2 16 2 2" xfId="6504" xr:uid="{00000000-0005-0000-0000-00001F1E0000}"/>
    <cellStyle name="Обычный 2 16 2 2 10" xfId="15423" xr:uid="{00000000-0005-0000-0000-0000201E0000}"/>
    <cellStyle name="Обычный 2 16 2 2 2" xfId="7501" xr:uid="{00000000-0005-0000-0000-0000211E0000}"/>
    <cellStyle name="Обычный 2 16 2 2 3" xfId="8507" xr:uid="{00000000-0005-0000-0000-0000221E0000}"/>
    <cellStyle name="Обычный 2 16 2 2 4" xfId="9493" xr:uid="{00000000-0005-0000-0000-0000231E0000}"/>
    <cellStyle name="Обычный 2 16 2 2 5" xfId="10479" xr:uid="{00000000-0005-0000-0000-0000241E0000}"/>
    <cellStyle name="Обычный 2 16 2 2 6" xfId="11465" xr:uid="{00000000-0005-0000-0000-0000251E0000}"/>
    <cellStyle name="Обычный 2 16 2 2 7" xfId="12451" xr:uid="{00000000-0005-0000-0000-0000261E0000}"/>
    <cellStyle name="Обычный 2 16 2 2 8" xfId="13437" xr:uid="{00000000-0005-0000-0000-0000271E0000}"/>
    <cellStyle name="Обычный 2 16 2 2 9" xfId="14437" xr:uid="{00000000-0005-0000-0000-0000281E0000}"/>
    <cellStyle name="Обычный 2 16 2 3" xfId="6774" xr:uid="{00000000-0005-0000-0000-0000291E0000}"/>
    <cellStyle name="Обычный 2 16 2 3 10" xfId="15693" xr:uid="{00000000-0005-0000-0000-00002A1E0000}"/>
    <cellStyle name="Обычный 2 16 2 3 2" xfId="7771" xr:uid="{00000000-0005-0000-0000-00002B1E0000}"/>
    <cellStyle name="Обычный 2 16 2 3 3" xfId="8777" xr:uid="{00000000-0005-0000-0000-00002C1E0000}"/>
    <cellStyle name="Обычный 2 16 2 3 4" xfId="9763" xr:uid="{00000000-0005-0000-0000-00002D1E0000}"/>
    <cellStyle name="Обычный 2 16 2 3 5" xfId="10749" xr:uid="{00000000-0005-0000-0000-00002E1E0000}"/>
    <cellStyle name="Обычный 2 16 2 3 6" xfId="11735" xr:uid="{00000000-0005-0000-0000-00002F1E0000}"/>
    <cellStyle name="Обычный 2 16 2 3 7" xfId="12721" xr:uid="{00000000-0005-0000-0000-0000301E0000}"/>
    <cellStyle name="Обычный 2 16 2 3 8" xfId="13707" xr:uid="{00000000-0005-0000-0000-0000311E0000}"/>
    <cellStyle name="Обычный 2 16 2 3 9" xfId="14707" xr:uid="{00000000-0005-0000-0000-0000321E0000}"/>
    <cellStyle name="Обычный 2 16 2 4" xfId="7057" xr:uid="{00000000-0005-0000-0000-0000331E0000}"/>
    <cellStyle name="Обычный 2 16 2 5" xfId="8063" xr:uid="{00000000-0005-0000-0000-0000341E0000}"/>
    <cellStyle name="Обычный 2 16 2 6" xfId="9049" xr:uid="{00000000-0005-0000-0000-0000351E0000}"/>
    <cellStyle name="Обычный 2 16 2 7" xfId="10035" xr:uid="{00000000-0005-0000-0000-0000361E0000}"/>
    <cellStyle name="Обычный 2 16 2 8" xfId="11021" xr:uid="{00000000-0005-0000-0000-0000371E0000}"/>
    <cellStyle name="Обычный 2 16 2 9" xfId="12007" xr:uid="{00000000-0005-0000-0000-0000381E0000}"/>
    <cellStyle name="Обычный 2 16 3" xfId="6096" xr:uid="{00000000-0005-0000-0000-0000391E0000}"/>
    <cellStyle name="Обычный 2 16 3 10" xfId="13046" xr:uid="{00000000-0005-0000-0000-00003A1E0000}"/>
    <cellStyle name="Обычный 2 16 3 11" xfId="14046" xr:uid="{00000000-0005-0000-0000-00003B1E0000}"/>
    <cellStyle name="Обычный 2 16 3 12" xfId="15032" xr:uid="{00000000-0005-0000-0000-00003C1E0000}"/>
    <cellStyle name="Обычный 2 16 3 2" xfId="6557" xr:uid="{00000000-0005-0000-0000-00003D1E0000}"/>
    <cellStyle name="Обычный 2 16 3 2 10" xfId="15476" xr:uid="{00000000-0005-0000-0000-00003E1E0000}"/>
    <cellStyle name="Обычный 2 16 3 2 2" xfId="7554" xr:uid="{00000000-0005-0000-0000-00003F1E0000}"/>
    <cellStyle name="Обычный 2 16 3 2 3" xfId="8560" xr:uid="{00000000-0005-0000-0000-0000401E0000}"/>
    <cellStyle name="Обычный 2 16 3 2 4" xfId="9546" xr:uid="{00000000-0005-0000-0000-0000411E0000}"/>
    <cellStyle name="Обычный 2 16 3 2 5" xfId="10532" xr:uid="{00000000-0005-0000-0000-0000421E0000}"/>
    <cellStyle name="Обычный 2 16 3 2 6" xfId="11518" xr:uid="{00000000-0005-0000-0000-0000431E0000}"/>
    <cellStyle name="Обычный 2 16 3 2 7" xfId="12504" xr:uid="{00000000-0005-0000-0000-0000441E0000}"/>
    <cellStyle name="Обычный 2 16 3 2 8" xfId="13490" xr:uid="{00000000-0005-0000-0000-0000451E0000}"/>
    <cellStyle name="Обычный 2 16 3 2 9" xfId="14490" xr:uid="{00000000-0005-0000-0000-0000461E0000}"/>
    <cellStyle name="Обычный 2 16 3 3" xfId="6827" xr:uid="{00000000-0005-0000-0000-0000471E0000}"/>
    <cellStyle name="Обычный 2 16 3 3 10" xfId="15746" xr:uid="{00000000-0005-0000-0000-0000481E0000}"/>
    <cellStyle name="Обычный 2 16 3 3 2" xfId="7824" xr:uid="{00000000-0005-0000-0000-0000491E0000}"/>
    <cellStyle name="Обычный 2 16 3 3 3" xfId="8830" xr:uid="{00000000-0005-0000-0000-00004A1E0000}"/>
    <cellStyle name="Обычный 2 16 3 3 4" xfId="9816" xr:uid="{00000000-0005-0000-0000-00004B1E0000}"/>
    <cellStyle name="Обычный 2 16 3 3 5" xfId="10802" xr:uid="{00000000-0005-0000-0000-00004C1E0000}"/>
    <cellStyle name="Обычный 2 16 3 3 6" xfId="11788" xr:uid="{00000000-0005-0000-0000-00004D1E0000}"/>
    <cellStyle name="Обычный 2 16 3 3 7" xfId="12774" xr:uid="{00000000-0005-0000-0000-00004E1E0000}"/>
    <cellStyle name="Обычный 2 16 3 3 8" xfId="13760" xr:uid="{00000000-0005-0000-0000-00004F1E0000}"/>
    <cellStyle name="Обычный 2 16 3 3 9" xfId="14760" xr:uid="{00000000-0005-0000-0000-0000501E0000}"/>
    <cellStyle name="Обычный 2 16 3 4" xfId="7110" xr:uid="{00000000-0005-0000-0000-0000511E0000}"/>
    <cellStyle name="Обычный 2 16 3 5" xfId="8116" xr:uid="{00000000-0005-0000-0000-0000521E0000}"/>
    <cellStyle name="Обычный 2 16 3 6" xfId="9102" xr:uid="{00000000-0005-0000-0000-0000531E0000}"/>
    <cellStyle name="Обычный 2 16 3 7" xfId="10088" xr:uid="{00000000-0005-0000-0000-0000541E0000}"/>
    <cellStyle name="Обычный 2 16 3 8" xfId="11074" xr:uid="{00000000-0005-0000-0000-0000551E0000}"/>
    <cellStyle name="Обычный 2 16 3 9" xfId="12060" xr:uid="{00000000-0005-0000-0000-0000561E0000}"/>
    <cellStyle name="Обычный 2 16 4" xfId="6445" xr:uid="{00000000-0005-0000-0000-0000571E0000}"/>
    <cellStyle name="Обычный 2 16 4 10" xfId="15364" xr:uid="{00000000-0005-0000-0000-0000581E0000}"/>
    <cellStyle name="Обычный 2 16 4 2" xfId="7442" xr:uid="{00000000-0005-0000-0000-0000591E0000}"/>
    <cellStyle name="Обычный 2 16 4 3" xfId="8448" xr:uid="{00000000-0005-0000-0000-00005A1E0000}"/>
    <cellStyle name="Обычный 2 16 4 4" xfId="9434" xr:uid="{00000000-0005-0000-0000-00005B1E0000}"/>
    <cellStyle name="Обычный 2 16 4 5" xfId="10420" xr:uid="{00000000-0005-0000-0000-00005C1E0000}"/>
    <cellStyle name="Обычный 2 16 4 6" xfId="11406" xr:uid="{00000000-0005-0000-0000-00005D1E0000}"/>
    <cellStyle name="Обычный 2 16 4 7" xfId="12392" xr:uid="{00000000-0005-0000-0000-00005E1E0000}"/>
    <cellStyle name="Обычный 2 16 4 8" xfId="13378" xr:uid="{00000000-0005-0000-0000-00005F1E0000}"/>
    <cellStyle name="Обычный 2 16 4 9" xfId="14378" xr:uid="{00000000-0005-0000-0000-0000601E0000}"/>
    <cellStyle name="Обычный 2 16 5" xfId="6715" xr:uid="{00000000-0005-0000-0000-0000611E0000}"/>
    <cellStyle name="Обычный 2 16 5 10" xfId="15634" xr:uid="{00000000-0005-0000-0000-0000621E0000}"/>
    <cellStyle name="Обычный 2 16 5 2" xfId="7712" xr:uid="{00000000-0005-0000-0000-0000631E0000}"/>
    <cellStyle name="Обычный 2 16 5 3" xfId="8718" xr:uid="{00000000-0005-0000-0000-0000641E0000}"/>
    <cellStyle name="Обычный 2 16 5 4" xfId="9704" xr:uid="{00000000-0005-0000-0000-0000651E0000}"/>
    <cellStyle name="Обычный 2 16 5 5" xfId="10690" xr:uid="{00000000-0005-0000-0000-0000661E0000}"/>
    <cellStyle name="Обычный 2 16 5 6" xfId="11676" xr:uid="{00000000-0005-0000-0000-0000671E0000}"/>
    <cellStyle name="Обычный 2 16 5 7" xfId="12662" xr:uid="{00000000-0005-0000-0000-0000681E0000}"/>
    <cellStyle name="Обычный 2 16 5 8" xfId="13648" xr:uid="{00000000-0005-0000-0000-0000691E0000}"/>
    <cellStyle name="Обычный 2 16 5 9" xfId="14648" xr:uid="{00000000-0005-0000-0000-00006A1E0000}"/>
    <cellStyle name="Обычный 2 16 6" xfId="6998" xr:uid="{00000000-0005-0000-0000-00006B1E0000}"/>
    <cellStyle name="Обычный 2 16 7" xfId="8004" xr:uid="{00000000-0005-0000-0000-00006C1E0000}"/>
    <cellStyle name="Обычный 2 16 8" xfId="8990" xr:uid="{00000000-0005-0000-0000-00006D1E0000}"/>
    <cellStyle name="Обычный 2 16 9" xfId="9976" xr:uid="{00000000-0005-0000-0000-00006E1E0000}"/>
    <cellStyle name="Обычный 2 17" xfId="3369" xr:uid="{00000000-0005-0000-0000-00006F1E0000}"/>
    <cellStyle name="Обычный 2 17 10" xfId="10963" xr:uid="{00000000-0005-0000-0000-0000701E0000}"/>
    <cellStyle name="Обычный 2 17 11" xfId="11949" xr:uid="{00000000-0005-0000-0000-0000711E0000}"/>
    <cellStyle name="Обычный 2 17 12" xfId="12935" xr:uid="{00000000-0005-0000-0000-0000721E0000}"/>
    <cellStyle name="Обычный 2 17 13" xfId="13935" xr:uid="{00000000-0005-0000-0000-0000731E0000}"/>
    <cellStyle name="Обычный 2 17 14" xfId="14921" xr:uid="{00000000-0005-0000-0000-0000741E0000}"/>
    <cellStyle name="Обычный 2 17 2" xfId="6040" xr:uid="{00000000-0005-0000-0000-0000751E0000}"/>
    <cellStyle name="Обычный 2 17 2 10" xfId="12994" xr:uid="{00000000-0005-0000-0000-0000761E0000}"/>
    <cellStyle name="Обычный 2 17 2 11" xfId="13994" xr:uid="{00000000-0005-0000-0000-0000771E0000}"/>
    <cellStyle name="Обычный 2 17 2 12" xfId="14980" xr:uid="{00000000-0005-0000-0000-0000781E0000}"/>
    <cellStyle name="Обычный 2 17 2 2" xfId="6505" xr:uid="{00000000-0005-0000-0000-0000791E0000}"/>
    <cellStyle name="Обычный 2 17 2 2 10" xfId="15424" xr:uid="{00000000-0005-0000-0000-00007A1E0000}"/>
    <cellStyle name="Обычный 2 17 2 2 2" xfId="7502" xr:uid="{00000000-0005-0000-0000-00007B1E0000}"/>
    <cellStyle name="Обычный 2 17 2 2 3" xfId="8508" xr:uid="{00000000-0005-0000-0000-00007C1E0000}"/>
    <cellStyle name="Обычный 2 17 2 2 4" xfId="9494" xr:uid="{00000000-0005-0000-0000-00007D1E0000}"/>
    <cellStyle name="Обычный 2 17 2 2 5" xfId="10480" xr:uid="{00000000-0005-0000-0000-00007E1E0000}"/>
    <cellStyle name="Обычный 2 17 2 2 6" xfId="11466" xr:uid="{00000000-0005-0000-0000-00007F1E0000}"/>
    <cellStyle name="Обычный 2 17 2 2 7" xfId="12452" xr:uid="{00000000-0005-0000-0000-0000801E0000}"/>
    <cellStyle name="Обычный 2 17 2 2 8" xfId="13438" xr:uid="{00000000-0005-0000-0000-0000811E0000}"/>
    <cellStyle name="Обычный 2 17 2 2 9" xfId="14438" xr:uid="{00000000-0005-0000-0000-0000821E0000}"/>
    <cellStyle name="Обычный 2 17 2 3" xfId="6775" xr:uid="{00000000-0005-0000-0000-0000831E0000}"/>
    <cellStyle name="Обычный 2 17 2 3 10" xfId="15694" xr:uid="{00000000-0005-0000-0000-0000841E0000}"/>
    <cellStyle name="Обычный 2 17 2 3 2" xfId="7772" xr:uid="{00000000-0005-0000-0000-0000851E0000}"/>
    <cellStyle name="Обычный 2 17 2 3 3" xfId="8778" xr:uid="{00000000-0005-0000-0000-0000861E0000}"/>
    <cellStyle name="Обычный 2 17 2 3 4" xfId="9764" xr:uid="{00000000-0005-0000-0000-0000871E0000}"/>
    <cellStyle name="Обычный 2 17 2 3 5" xfId="10750" xr:uid="{00000000-0005-0000-0000-0000881E0000}"/>
    <cellStyle name="Обычный 2 17 2 3 6" xfId="11736" xr:uid="{00000000-0005-0000-0000-0000891E0000}"/>
    <cellStyle name="Обычный 2 17 2 3 7" xfId="12722" xr:uid="{00000000-0005-0000-0000-00008A1E0000}"/>
    <cellStyle name="Обычный 2 17 2 3 8" xfId="13708" xr:uid="{00000000-0005-0000-0000-00008B1E0000}"/>
    <cellStyle name="Обычный 2 17 2 3 9" xfId="14708" xr:uid="{00000000-0005-0000-0000-00008C1E0000}"/>
    <cellStyle name="Обычный 2 17 2 4" xfId="7058" xr:uid="{00000000-0005-0000-0000-00008D1E0000}"/>
    <cellStyle name="Обычный 2 17 2 5" xfId="8064" xr:uid="{00000000-0005-0000-0000-00008E1E0000}"/>
    <cellStyle name="Обычный 2 17 2 6" xfId="9050" xr:uid="{00000000-0005-0000-0000-00008F1E0000}"/>
    <cellStyle name="Обычный 2 17 2 7" xfId="10036" xr:uid="{00000000-0005-0000-0000-0000901E0000}"/>
    <cellStyle name="Обычный 2 17 2 8" xfId="11022" xr:uid="{00000000-0005-0000-0000-0000911E0000}"/>
    <cellStyle name="Обычный 2 17 2 9" xfId="12008" xr:uid="{00000000-0005-0000-0000-0000921E0000}"/>
    <cellStyle name="Обычный 2 17 3" xfId="6097" xr:uid="{00000000-0005-0000-0000-0000931E0000}"/>
    <cellStyle name="Обычный 2 17 3 10" xfId="13047" xr:uid="{00000000-0005-0000-0000-0000941E0000}"/>
    <cellStyle name="Обычный 2 17 3 11" xfId="14047" xr:uid="{00000000-0005-0000-0000-0000951E0000}"/>
    <cellStyle name="Обычный 2 17 3 12" xfId="15033" xr:uid="{00000000-0005-0000-0000-0000961E0000}"/>
    <cellStyle name="Обычный 2 17 3 2" xfId="6558" xr:uid="{00000000-0005-0000-0000-0000971E0000}"/>
    <cellStyle name="Обычный 2 17 3 2 10" xfId="15477" xr:uid="{00000000-0005-0000-0000-0000981E0000}"/>
    <cellStyle name="Обычный 2 17 3 2 2" xfId="7555" xr:uid="{00000000-0005-0000-0000-0000991E0000}"/>
    <cellStyle name="Обычный 2 17 3 2 3" xfId="8561" xr:uid="{00000000-0005-0000-0000-00009A1E0000}"/>
    <cellStyle name="Обычный 2 17 3 2 4" xfId="9547" xr:uid="{00000000-0005-0000-0000-00009B1E0000}"/>
    <cellStyle name="Обычный 2 17 3 2 5" xfId="10533" xr:uid="{00000000-0005-0000-0000-00009C1E0000}"/>
    <cellStyle name="Обычный 2 17 3 2 6" xfId="11519" xr:uid="{00000000-0005-0000-0000-00009D1E0000}"/>
    <cellStyle name="Обычный 2 17 3 2 7" xfId="12505" xr:uid="{00000000-0005-0000-0000-00009E1E0000}"/>
    <cellStyle name="Обычный 2 17 3 2 8" xfId="13491" xr:uid="{00000000-0005-0000-0000-00009F1E0000}"/>
    <cellStyle name="Обычный 2 17 3 2 9" xfId="14491" xr:uid="{00000000-0005-0000-0000-0000A01E0000}"/>
    <cellStyle name="Обычный 2 17 3 3" xfId="6828" xr:uid="{00000000-0005-0000-0000-0000A11E0000}"/>
    <cellStyle name="Обычный 2 17 3 3 10" xfId="15747" xr:uid="{00000000-0005-0000-0000-0000A21E0000}"/>
    <cellStyle name="Обычный 2 17 3 3 2" xfId="7825" xr:uid="{00000000-0005-0000-0000-0000A31E0000}"/>
    <cellStyle name="Обычный 2 17 3 3 3" xfId="8831" xr:uid="{00000000-0005-0000-0000-0000A41E0000}"/>
    <cellStyle name="Обычный 2 17 3 3 4" xfId="9817" xr:uid="{00000000-0005-0000-0000-0000A51E0000}"/>
    <cellStyle name="Обычный 2 17 3 3 5" xfId="10803" xr:uid="{00000000-0005-0000-0000-0000A61E0000}"/>
    <cellStyle name="Обычный 2 17 3 3 6" xfId="11789" xr:uid="{00000000-0005-0000-0000-0000A71E0000}"/>
    <cellStyle name="Обычный 2 17 3 3 7" xfId="12775" xr:uid="{00000000-0005-0000-0000-0000A81E0000}"/>
    <cellStyle name="Обычный 2 17 3 3 8" xfId="13761" xr:uid="{00000000-0005-0000-0000-0000A91E0000}"/>
    <cellStyle name="Обычный 2 17 3 3 9" xfId="14761" xr:uid="{00000000-0005-0000-0000-0000AA1E0000}"/>
    <cellStyle name="Обычный 2 17 3 4" xfId="7111" xr:uid="{00000000-0005-0000-0000-0000AB1E0000}"/>
    <cellStyle name="Обычный 2 17 3 5" xfId="8117" xr:uid="{00000000-0005-0000-0000-0000AC1E0000}"/>
    <cellStyle name="Обычный 2 17 3 6" xfId="9103" xr:uid="{00000000-0005-0000-0000-0000AD1E0000}"/>
    <cellStyle name="Обычный 2 17 3 7" xfId="10089" xr:uid="{00000000-0005-0000-0000-0000AE1E0000}"/>
    <cellStyle name="Обычный 2 17 3 8" xfId="11075" xr:uid="{00000000-0005-0000-0000-0000AF1E0000}"/>
    <cellStyle name="Обычный 2 17 3 9" xfId="12061" xr:uid="{00000000-0005-0000-0000-0000B01E0000}"/>
    <cellStyle name="Обычный 2 17 4" xfId="6446" xr:uid="{00000000-0005-0000-0000-0000B11E0000}"/>
    <cellStyle name="Обычный 2 17 4 10" xfId="15365" xr:uid="{00000000-0005-0000-0000-0000B21E0000}"/>
    <cellStyle name="Обычный 2 17 4 2" xfId="7443" xr:uid="{00000000-0005-0000-0000-0000B31E0000}"/>
    <cellStyle name="Обычный 2 17 4 3" xfId="8449" xr:uid="{00000000-0005-0000-0000-0000B41E0000}"/>
    <cellStyle name="Обычный 2 17 4 4" xfId="9435" xr:uid="{00000000-0005-0000-0000-0000B51E0000}"/>
    <cellStyle name="Обычный 2 17 4 5" xfId="10421" xr:uid="{00000000-0005-0000-0000-0000B61E0000}"/>
    <cellStyle name="Обычный 2 17 4 6" xfId="11407" xr:uid="{00000000-0005-0000-0000-0000B71E0000}"/>
    <cellStyle name="Обычный 2 17 4 7" xfId="12393" xr:uid="{00000000-0005-0000-0000-0000B81E0000}"/>
    <cellStyle name="Обычный 2 17 4 8" xfId="13379" xr:uid="{00000000-0005-0000-0000-0000B91E0000}"/>
    <cellStyle name="Обычный 2 17 4 9" xfId="14379" xr:uid="{00000000-0005-0000-0000-0000BA1E0000}"/>
    <cellStyle name="Обычный 2 17 5" xfId="6716" xr:uid="{00000000-0005-0000-0000-0000BB1E0000}"/>
    <cellStyle name="Обычный 2 17 5 10" xfId="15635" xr:uid="{00000000-0005-0000-0000-0000BC1E0000}"/>
    <cellStyle name="Обычный 2 17 5 2" xfId="7713" xr:uid="{00000000-0005-0000-0000-0000BD1E0000}"/>
    <cellStyle name="Обычный 2 17 5 3" xfId="8719" xr:uid="{00000000-0005-0000-0000-0000BE1E0000}"/>
    <cellStyle name="Обычный 2 17 5 4" xfId="9705" xr:uid="{00000000-0005-0000-0000-0000BF1E0000}"/>
    <cellStyle name="Обычный 2 17 5 5" xfId="10691" xr:uid="{00000000-0005-0000-0000-0000C01E0000}"/>
    <cellStyle name="Обычный 2 17 5 6" xfId="11677" xr:uid="{00000000-0005-0000-0000-0000C11E0000}"/>
    <cellStyle name="Обычный 2 17 5 7" xfId="12663" xr:uid="{00000000-0005-0000-0000-0000C21E0000}"/>
    <cellStyle name="Обычный 2 17 5 8" xfId="13649" xr:uid="{00000000-0005-0000-0000-0000C31E0000}"/>
    <cellStyle name="Обычный 2 17 5 9" xfId="14649" xr:uid="{00000000-0005-0000-0000-0000C41E0000}"/>
    <cellStyle name="Обычный 2 17 6" xfId="6999" xr:uid="{00000000-0005-0000-0000-0000C51E0000}"/>
    <cellStyle name="Обычный 2 17 7" xfId="8005" xr:uid="{00000000-0005-0000-0000-0000C61E0000}"/>
    <cellStyle name="Обычный 2 17 8" xfId="8991" xr:uid="{00000000-0005-0000-0000-0000C71E0000}"/>
    <cellStyle name="Обычный 2 17 9" xfId="9977" xr:uid="{00000000-0005-0000-0000-0000C81E0000}"/>
    <cellStyle name="Обычный 2 18" xfId="3370" xr:uid="{00000000-0005-0000-0000-0000C91E0000}"/>
    <cellStyle name="Обычный 2 18 10" xfId="10964" xr:uid="{00000000-0005-0000-0000-0000CA1E0000}"/>
    <cellStyle name="Обычный 2 18 11" xfId="11950" xr:uid="{00000000-0005-0000-0000-0000CB1E0000}"/>
    <cellStyle name="Обычный 2 18 12" xfId="12936" xr:uid="{00000000-0005-0000-0000-0000CC1E0000}"/>
    <cellStyle name="Обычный 2 18 13" xfId="13936" xr:uid="{00000000-0005-0000-0000-0000CD1E0000}"/>
    <cellStyle name="Обычный 2 18 14" xfId="14922" xr:uid="{00000000-0005-0000-0000-0000CE1E0000}"/>
    <cellStyle name="Обычный 2 18 2" xfId="6041" xr:uid="{00000000-0005-0000-0000-0000CF1E0000}"/>
    <cellStyle name="Обычный 2 18 2 10" xfId="12995" xr:uid="{00000000-0005-0000-0000-0000D01E0000}"/>
    <cellStyle name="Обычный 2 18 2 11" xfId="13995" xr:uid="{00000000-0005-0000-0000-0000D11E0000}"/>
    <cellStyle name="Обычный 2 18 2 12" xfId="14981" xr:uid="{00000000-0005-0000-0000-0000D21E0000}"/>
    <cellStyle name="Обычный 2 18 2 2" xfId="6506" xr:uid="{00000000-0005-0000-0000-0000D31E0000}"/>
    <cellStyle name="Обычный 2 18 2 2 10" xfId="15425" xr:uid="{00000000-0005-0000-0000-0000D41E0000}"/>
    <cellStyle name="Обычный 2 18 2 2 2" xfId="7503" xr:uid="{00000000-0005-0000-0000-0000D51E0000}"/>
    <cellStyle name="Обычный 2 18 2 2 3" xfId="8509" xr:uid="{00000000-0005-0000-0000-0000D61E0000}"/>
    <cellStyle name="Обычный 2 18 2 2 4" xfId="9495" xr:uid="{00000000-0005-0000-0000-0000D71E0000}"/>
    <cellStyle name="Обычный 2 18 2 2 5" xfId="10481" xr:uid="{00000000-0005-0000-0000-0000D81E0000}"/>
    <cellStyle name="Обычный 2 18 2 2 6" xfId="11467" xr:uid="{00000000-0005-0000-0000-0000D91E0000}"/>
    <cellStyle name="Обычный 2 18 2 2 7" xfId="12453" xr:uid="{00000000-0005-0000-0000-0000DA1E0000}"/>
    <cellStyle name="Обычный 2 18 2 2 8" xfId="13439" xr:uid="{00000000-0005-0000-0000-0000DB1E0000}"/>
    <cellStyle name="Обычный 2 18 2 2 9" xfId="14439" xr:uid="{00000000-0005-0000-0000-0000DC1E0000}"/>
    <cellStyle name="Обычный 2 18 2 3" xfId="6776" xr:uid="{00000000-0005-0000-0000-0000DD1E0000}"/>
    <cellStyle name="Обычный 2 18 2 3 10" xfId="15695" xr:uid="{00000000-0005-0000-0000-0000DE1E0000}"/>
    <cellStyle name="Обычный 2 18 2 3 2" xfId="7773" xr:uid="{00000000-0005-0000-0000-0000DF1E0000}"/>
    <cellStyle name="Обычный 2 18 2 3 3" xfId="8779" xr:uid="{00000000-0005-0000-0000-0000E01E0000}"/>
    <cellStyle name="Обычный 2 18 2 3 4" xfId="9765" xr:uid="{00000000-0005-0000-0000-0000E11E0000}"/>
    <cellStyle name="Обычный 2 18 2 3 5" xfId="10751" xr:uid="{00000000-0005-0000-0000-0000E21E0000}"/>
    <cellStyle name="Обычный 2 18 2 3 6" xfId="11737" xr:uid="{00000000-0005-0000-0000-0000E31E0000}"/>
    <cellStyle name="Обычный 2 18 2 3 7" xfId="12723" xr:uid="{00000000-0005-0000-0000-0000E41E0000}"/>
    <cellStyle name="Обычный 2 18 2 3 8" xfId="13709" xr:uid="{00000000-0005-0000-0000-0000E51E0000}"/>
    <cellStyle name="Обычный 2 18 2 3 9" xfId="14709" xr:uid="{00000000-0005-0000-0000-0000E61E0000}"/>
    <cellStyle name="Обычный 2 18 2 4" xfId="7059" xr:uid="{00000000-0005-0000-0000-0000E71E0000}"/>
    <cellStyle name="Обычный 2 18 2 5" xfId="8065" xr:uid="{00000000-0005-0000-0000-0000E81E0000}"/>
    <cellStyle name="Обычный 2 18 2 6" xfId="9051" xr:uid="{00000000-0005-0000-0000-0000E91E0000}"/>
    <cellStyle name="Обычный 2 18 2 7" xfId="10037" xr:uid="{00000000-0005-0000-0000-0000EA1E0000}"/>
    <cellStyle name="Обычный 2 18 2 8" xfId="11023" xr:uid="{00000000-0005-0000-0000-0000EB1E0000}"/>
    <cellStyle name="Обычный 2 18 2 9" xfId="12009" xr:uid="{00000000-0005-0000-0000-0000EC1E0000}"/>
    <cellStyle name="Обычный 2 18 3" xfId="6098" xr:uid="{00000000-0005-0000-0000-0000ED1E0000}"/>
    <cellStyle name="Обычный 2 18 3 10" xfId="13048" xr:uid="{00000000-0005-0000-0000-0000EE1E0000}"/>
    <cellStyle name="Обычный 2 18 3 11" xfId="14048" xr:uid="{00000000-0005-0000-0000-0000EF1E0000}"/>
    <cellStyle name="Обычный 2 18 3 12" xfId="15034" xr:uid="{00000000-0005-0000-0000-0000F01E0000}"/>
    <cellStyle name="Обычный 2 18 3 2" xfId="6559" xr:uid="{00000000-0005-0000-0000-0000F11E0000}"/>
    <cellStyle name="Обычный 2 18 3 2 10" xfId="15478" xr:uid="{00000000-0005-0000-0000-0000F21E0000}"/>
    <cellStyle name="Обычный 2 18 3 2 2" xfId="7556" xr:uid="{00000000-0005-0000-0000-0000F31E0000}"/>
    <cellStyle name="Обычный 2 18 3 2 3" xfId="8562" xr:uid="{00000000-0005-0000-0000-0000F41E0000}"/>
    <cellStyle name="Обычный 2 18 3 2 4" xfId="9548" xr:uid="{00000000-0005-0000-0000-0000F51E0000}"/>
    <cellStyle name="Обычный 2 18 3 2 5" xfId="10534" xr:uid="{00000000-0005-0000-0000-0000F61E0000}"/>
    <cellStyle name="Обычный 2 18 3 2 6" xfId="11520" xr:uid="{00000000-0005-0000-0000-0000F71E0000}"/>
    <cellStyle name="Обычный 2 18 3 2 7" xfId="12506" xr:uid="{00000000-0005-0000-0000-0000F81E0000}"/>
    <cellStyle name="Обычный 2 18 3 2 8" xfId="13492" xr:uid="{00000000-0005-0000-0000-0000F91E0000}"/>
    <cellStyle name="Обычный 2 18 3 2 9" xfId="14492" xr:uid="{00000000-0005-0000-0000-0000FA1E0000}"/>
    <cellStyle name="Обычный 2 18 3 3" xfId="6829" xr:uid="{00000000-0005-0000-0000-0000FB1E0000}"/>
    <cellStyle name="Обычный 2 18 3 3 10" xfId="15748" xr:uid="{00000000-0005-0000-0000-0000FC1E0000}"/>
    <cellStyle name="Обычный 2 18 3 3 2" xfId="7826" xr:uid="{00000000-0005-0000-0000-0000FD1E0000}"/>
    <cellStyle name="Обычный 2 18 3 3 3" xfId="8832" xr:uid="{00000000-0005-0000-0000-0000FE1E0000}"/>
    <cellStyle name="Обычный 2 18 3 3 4" xfId="9818" xr:uid="{00000000-0005-0000-0000-0000FF1E0000}"/>
    <cellStyle name="Обычный 2 18 3 3 5" xfId="10804" xr:uid="{00000000-0005-0000-0000-0000001F0000}"/>
    <cellStyle name="Обычный 2 18 3 3 6" xfId="11790" xr:uid="{00000000-0005-0000-0000-0000011F0000}"/>
    <cellStyle name="Обычный 2 18 3 3 7" xfId="12776" xr:uid="{00000000-0005-0000-0000-0000021F0000}"/>
    <cellStyle name="Обычный 2 18 3 3 8" xfId="13762" xr:uid="{00000000-0005-0000-0000-0000031F0000}"/>
    <cellStyle name="Обычный 2 18 3 3 9" xfId="14762" xr:uid="{00000000-0005-0000-0000-0000041F0000}"/>
    <cellStyle name="Обычный 2 18 3 4" xfId="7112" xr:uid="{00000000-0005-0000-0000-0000051F0000}"/>
    <cellStyle name="Обычный 2 18 3 5" xfId="8118" xr:uid="{00000000-0005-0000-0000-0000061F0000}"/>
    <cellStyle name="Обычный 2 18 3 6" xfId="9104" xr:uid="{00000000-0005-0000-0000-0000071F0000}"/>
    <cellStyle name="Обычный 2 18 3 7" xfId="10090" xr:uid="{00000000-0005-0000-0000-0000081F0000}"/>
    <cellStyle name="Обычный 2 18 3 8" xfId="11076" xr:uid="{00000000-0005-0000-0000-0000091F0000}"/>
    <cellStyle name="Обычный 2 18 3 9" xfId="12062" xr:uid="{00000000-0005-0000-0000-00000A1F0000}"/>
    <cellStyle name="Обычный 2 18 4" xfId="6447" xr:uid="{00000000-0005-0000-0000-00000B1F0000}"/>
    <cellStyle name="Обычный 2 18 4 10" xfId="15366" xr:uid="{00000000-0005-0000-0000-00000C1F0000}"/>
    <cellStyle name="Обычный 2 18 4 2" xfId="7444" xr:uid="{00000000-0005-0000-0000-00000D1F0000}"/>
    <cellStyle name="Обычный 2 18 4 3" xfId="8450" xr:uid="{00000000-0005-0000-0000-00000E1F0000}"/>
    <cellStyle name="Обычный 2 18 4 4" xfId="9436" xr:uid="{00000000-0005-0000-0000-00000F1F0000}"/>
    <cellStyle name="Обычный 2 18 4 5" xfId="10422" xr:uid="{00000000-0005-0000-0000-0000101F0000}"/>
    <cellStyle name="Обычный 2 18 4 6" xfId="11408" xr:uid="{00000000-0005-0000-0000-0000111F0000}"/>
    <cellStyle name="Обычный 2 18 4 7" xfId="12394" xr:uid="{00000000-0005-0000-0000-0000121F0000}"/>
    <cellStyle name="Обычный 2 18 4 8" xfId="13380" xr:uid="{00000000-0005-0000-0000-0000131F0000}"/>
    <cellStyle name="Обычный 2 18 4 9" xfId="14380" xr:uid="{00000000-0005-0000-0000-0000141F0000}"/>
    <cellStyle name="Обычный 2 18 5" xfId="6717" xr:uid="{00000000-0005-0000-0000-0000151F0000}"/>
    <cellStyle name="Обычный 2 18 5 10" xfId="15636" xr:uid="{00000000-0005-0000-0000-0000161F0000}"/>
    <cellStyle name="Обычный 2 18 5 2" xfId="7714" xr:uid="{00000000-0005-0000-0000-0000171F0000}"/>
    <cellStyle name="Обычный 2 18 5 3" xfId="8720" xr:uid="{00000000-0005-0000-0000-0000181F0000}"/>
    <cellStyle name="Обычный 2 18 5 4" xfId="9706" xr:uid="{00000000-0005-0000-0000-0000191F0000}"/>
    <cellStyle name="Обычный 2 18 5 5" xfId="10692" xr:uid="{00000000-0005-0000-0000-00001A1F0000}"/>
    <cellStyle name="Обычный 2 18 5 6" xfId="11678" xr:uid="{00000000-0005-0000-0000-00001B1F0000}"/>
    <cellStyle name="Обычный 2 18 5 7" xfId="12664" xr:uid="{00000000-0005-0000-0000-00001C1F0000}"/>
    <cellStyle name="Обычный 2 18 5 8" xfId="13650" xr:uid="{00000000-0005-0000-0000-00001D1F0000}"/>
    <cellStyle name="Обычный 2 18 5 9" xfId="14650" xr:uid="{00000000-0005-0000-0000-00001E1F0000}"/>
    <cellStyle name="Обычный 2 18 6" xfId="7000" xr:uid="{00000000-0005-0000-0000-00001F1F0000}"/>
    <cellStyle name="Обычный 2 18 7" xfId="8006" xr:uid="{00000000-0005-0000-0000-0000201F0000}"/>
    <cellStyle name="Обычный 2 18 8" xfId="8992" xr:uid="{00000000-0005-0000-0000-0000211F0000}"/>
    <cellStyle name="Обычный 2 18 9" xfId="9978" xr:uid="{00000000-0005-0000-0000-0000221F0000}"/>
    <cellStyle name="Обычный 2 19" xfId="3426" xr:uid="{00000000-0005-0000-0000-0000231F0000}"/>
    <cellStyle name="Обычный 2 19 10" xfId="10988" xr:uid="{00000000-0005-0000-0000-0000241F0000}"/>
    <cellStyle name="Обычный 2 19 11" xfId="11974" xr:uid="{00000000-0005-0000-0000-0000251F0000}"/>
    <cellStyle name="Обычный 2 19 12" xfId="12960" xr:uid="{00000000-0005-0000-0000-0000261F0000}"/>
    <cellStyle name="Обычный 2 19 13" xfId="13960" xr:uid="{00000000-0005-0000-0000-0000271F0000}"/>
    <cellStyle name="Обычный 2 19 14" xfId="14946" xr:uid="{00000000-0005-0000-0000-0000281F0000}"/>
    <cellStyle name="Обычный 2 19 2" xfId="6065" xr:uid="{00000000-0005-0000-0000-0000291F0000}"/>
    <cellStyle name="Обычный 2 19 2 10" xfId="13019" xr:uid="{00000000-0005-0000-0000-00002A1F0000}"/>
    <cellStyle name="Обычный 2 19 2 11" xfId="14019" xr:uid="{00000000-0005-0000-0000-00002B1F0000}"/>
    <cellStyle name="Обычный 2 19 2 12" xfId="15005" xr:uid="{00000000-0005-0000-0000-00002C1F0000}"/>
    <cellStyle name="Обычный 2 19 2 2" xfId="6530" xr:uid="{00000000-0005-0000-0000-00002D1F0000}"/>
    <cellStyle name="Обычный 2 19 2 2 10" xfId="15449" xr:uid="{00000000-0005-0000-0000-00002E1F0000}"/>
    <cellStyle name="Обычный 2 19 2 2 2" xfId="7527" xr:uid="{00000000-0005-0000-0000-00002F1F0000}"/>
    <cellStyle name="Обычный 2 19 2 2 3" xfId="8533" xr:uid="{00000000-0005-0000-0000-0000301F0000}"/>
    <cellStyle name="Обычный 2 19 2 2 4" xfId="9519" xr:uid="{00000000-0005-0000-0000-0000311F0000}"/>
    <cellStyle name="Обычный 2 19 2 2 5" xfId="10505" xr:uid="{00000000-0005-0000-0000-0000321F0000}"/>
    <cellStyle name="Обычный 2 19 2 2 6" xfId="11491" xr:uid="{00000000-0005-0000-0000-0000331F0000}"/>
    <cellStyle name="Обычный 2 19 2 2 7" xfId="12477" xr:uid="{00000000-0005-0000-0000-0000341F0000}"/>
    <cellStyle name="Обычный 2 19 2 2 8" xfId="13463" xr:uid="{00000000-0005-0000-0000-0000351F0000}"/>
    <cellStyle name="Обычный 2 19 2 2 9" xfId="14463" xr:uid="{00000000-0005-0000-0000-0000361F0000}"/>
    <cellStyle name="Обычный 2 19 2 3" xfId="6800" xr:uid="{00000000-0005-0000-0000-0000371F0000}"/>
    <cellStyle name="Обычный 2 19 2 3 10" xfId="15719" xr:uid="{00000000-0005-0000-0000-0000381F0000}"/>
    <cellStyle name="Обычный 2 19 2 3 2" xfId="7797" xr:uid="{00000000-0005-0000-0000-0000391F0000}"/>
    <cellStyle name="Обычный 2 19 2 3 3" xfId="8803" xr:uid="{00000000-0005-0000-0000-00003A1F0000}"/>
    <cellStyle name="Обычный 2 19 2 3 4" xfId="9789" xr:uid="{00000000-0005-0000-0000-00003B1F0000}"/>
    <cellStyle name="Обычный 2 19 2 3 5" xfId="10775" xr:uid="{00000000-0005-0000-0000-00003C1F0000}"/>
    <cellStyle name="Обычный 2 19 2 3 6" xfId="11761" xr:uid="{00000000-0005-0000-0000-00003D1F0000}"/>
    <cellStyle name="Обычный 2 19 2 3 7" xfId="12747" xr:uid="{00000000-0005-0000-0000-00003E1F0000}"/>
    <cellStyle name="Обычный 2 19 2 3 8" xfId="13733" xr:uid="{00000000-0005-0000-0000-00003F1F0000}"/>
    <cellStyle name="Обычный 2 19 2 3 9" xfId="14733" xr:uid="{00000000-0005-0000-0000-0000401F0000}"/>
    <cellStyle name="Обычный 2 19 2 4" xfId="7083" xr:uid="{00000000-0005-0000-0000-0000411F0000}"/>
    <cellStyle name="Обычный 2 19 2 5" xfId="8089" xr:uid="{00000000-0005-0000-0000-0000421F0000}"/>
    <cellStyle name="Обычный 2 19 2 6" xfId="9075" xr:uid="{00000000-0005-0000-0000-0000431F0000}"/>
    <cellStyle name="Обычный 2 19 2 7" xfId="10061" xr:uid="{00000000-0005-0000-0000-0000441F0000}"/>
    <cellStyle name="Обычный 2 19 2 8" xfId="11047" xr:uid="{00000000-0005-0000-0000-0000451F0000}"/>
    <cellStyle name="Обычный 2 19 2 9" xfId="12033" xr:uid="{00000000-0005-0000-0000-0000461F0000}"/>
    <cellStyle name="Обычный 2 19 3" xfId="6122" xr:uid="{00000000-0005-0000-0000-0000471F0000}"/>
    <cellStyle name="Обычный 2 19 3 10" xfId="13072" xr:uid="{00000000-0005-0000-0000-0000481F0000}"/>
    <cellStyle name="Обычный 2 19 3 11" xfId="14072" xr:uid="{00000000-0005-0000-0000-0000491F0000}"/>
    <cellStyle name="Обычный 2 19 3 12" xfId="15058" xr:uid="{00000000-0005-0000-0000-00004A1F0000}"/>
    <cellStyle name="Обычный 2 19 3 2" xfId="6583" xr:uid="{00000000-0005-0000-0000-00004B1F0000}"/>
    <cellStyle name="Обычный 2 19 3 2 10" xfId="15502" xr:uid="{00000000-0005-0000-0000-00004C1F0000}"/>
    <cellStyle name="Обычный 2 19 3 2 2" xfId="7580" xr:uid="{00000000-0005-0000-0000-00004D1F0000}"/>
    <cellStyle name="Обычный 2 19 3 2 3" xfId="8586" xr:uid="{00000000-0005-0000-0000-00004E1F0000}"/>
    <cellStyle name="Обычный 2 19 3 2 4" xfId="9572" xr:uid="{00000000-0005-0000-0000-00004F1F0000}"/>
    <cellStyle name="Обычный 2 19 3 2 5" xfId="10558" xr:uid="{00000000-0005-0000-0000-0000501F0000}"/>
    <cellStyle name="Обычный 2 19 3 2 6" xfId="11544" xr:uid="{00000000-0005-0000-0000-0000511F0000}"/>
    <cellStyle name="Обычный 2 19 3 2 7" xfId="12530" xr:uid="{00000000-0005-0000-0000-0000521F0000}"/>
    <cellStyle name="Обычный 2 19 3 2 8" xfId="13516" xr:uid="{00000000-0005-0000-0000-0000531F0000}"/>
    <cellStyle name="Обычный 2 19 3 2 9" xfId="14516" xr:uid="{00000000-0005-0000-0000-0000541F0000}"/>
    <cellStyle name="Обычный 2 19 3 3" xfId="6853" xr:uid="{00000000-0005-0000-0000-0000551F0000}"/>
    <cellStyle name="Обычный 2 19 3 3 10" xfId="15772" xr:uid="{00000000-0005-0000-0000-0000561F0000}"/>
    <cellStyle name="Обычный 2 19 3 3 2" xfId="7850" xr:uid="{00000000-0005-0000-0000-0000571F0000}"/>
    <cellStyle name="Обычный 2 19 3 3 3" xfId="8856" xr:uid="{00000000-0005-0000-0000-0000581F0000}"/>
    <cellStyle name="Обычный 2 19 3 3 4" xfId="9842" xr:uid="{00000000-0005-0000-0000-0000591F0000}"/>
    <cellStyle name="Обычный 2 19 3 3 5" xfId="10828" xr:uid="{00000000-0005-0000-0000-00005A1F0000}"/>
    <cellStyle name="Обычный 2 19 3 3 6" xfId="11814" xr:uid="{00000000-0005-0000-0000-00005B1F0000}"/>
    <cellStyle name="Обычный 2 19 3 3 7" xfId="12800" xr:uid="{00000000-0005-0000-0000-00005C1F0000}"/>
    <cellStyle name="Обычный 2 19 3 3 8" xfId="13786" xr:uid="{00000000-0005-0000-0000-00005D1F0000}"/>
    <cellStyle name="Обычный 2 19 3 3 9" xfId="14786" xr:uid="{00000000-0005-0000-0000-00005E1F0000}"/>
    <cellStyle name="Обычный 2 19 3 4" xfId="7136" xr:uid="{00000000-0005-0000-0000-00005F1F0000}"/>
    <cellStyle name="Обычный 2 19 3 5" xfId="8142" xr:uid="{00000000-0005-0000-0000-0000601F0000}"/>
    <cellStyle name="Обычный 2 19 3 6" xfId="9128" xr:uid="{00000000-0005-0000-0000-0000611F0000}"/>
    <cellStyle name="Обычный 2 19 3 7" xfId="10114" xr:uid="{00000000-0005-0000-0000-0000621F0000}"/>
    <cellStyle name="Обычный 2 19 3 8" xfId="11100" xr:uid="{00000000-0005-0000-0000-0000631F0000}"/>
    <cellStyle name="Обычный 2 19 3 9" xfId="12086" xr:uid="{00000000-0005-0000-0000-0000641F0000}"/>
    <cellStyle name="Обычный 2 19 4" xfId="6471" xr:uid="{00000000-0005-0000-0000-0000651F0000}"/>
    <cellStyle name="Обычный 2 19 4 10" xfId="15390" xr:uid="{00000000-0005-0000-0000-0000661F0000}"/>
    <cellStyle name="Обычный 2 19 4 2" xfId="7468" xr:uid="{00000000-0005-0000-0000-0000671F0000}"/>
    <cellStyle name="Обычный 2 19 4 3" xfId="8474" xr:uid="{00000000-0005-0000-0000-0000681F0000}"/>
    <cellStyle name="Обычный 2 19 4 4" xfId="9460" xr:uid="{00000000-0005-0000-0000-0000691F0000}"/>
    <cellStyle name="Обычный 2 19 4 5" xfId="10446" xr:uid="{00000000-0005-0000-0000-00006A1F0000}"/>
    <cellStyle name="Обычный 2 19 4 6" xfId="11432" xr:uid="{00000000-0005-0000-0000-00006B1F0000}"/>
    <cellStyle name="Обычный 2 19 4 7" xfId="12418" xr:uid="{00000000-0005-0000-0000-00006C1F0000}"/>
    <cellStyle name="Обычный 2 19 4 8" xfId="13404" xr:uid="{00000000-0005-0000-0000-00006D1F0000}"/>
    <cellStyle name="Обычный 2 19 4 9" xfId="14404" xr:uid="{00000000-0005-0000-0000-00006E1F0000}"/>
    <cellStyle name="Обычный 2 19 5" xfId="6741" xr:uid="{00000000-0005-0000-0000-00006F1F0000}"/>
    <cellStyle name="Обычный 2 19 5 10" xfId="15660" xr:uid="{00000000-0005-0000-0000-0000701F0000}"/>
    <cellStyle name="Обычный 2 19 5 2" xfId="7738" xr:uid="{00000000-0005-0000-0000-0000711F0000}"/>
    <cellStyle name="Обычный 2 19 5 3" xfId="8744" xr:uid="{00000000-0005-0000-0000-0000721F0000}"/>
    <cellStyle name="Обычный 2 19 5 4" xfId="9730" xr:uid="{00000000-0005-0000-0000-0000731F0000}"/>
    <cellStyle name="Обычный 2 19 5 5" xfId="10716" xr:uid="{00000000-0005-0000-0000-0000741F0000}"/>
    <cellStyle name="Обычный 2 19 5 6" xfId="11702" xr:uid="{00000000-0005-0000-0000-0000751F0000}"/>
    <cellStyle name="Обычный 2 19 5 7" xfId="12688" xr:uid="{00000000-0005-0000-0000-0000761F0000}"/>
    <cellStyle name="Обычный 2 19 5 8" xfId="13674" xr:uid="{00000000-0005-0000-0000-0000771F0000}"/>
    <cellStyle name="Обычный 2 19 5 9" xfId="14674" xr:uid="{00000000-0005-0000-0000-0000781F0000}"/>
    <cellStyle name="Обычный 2 19 6" xfId="7024" xr:uid="{00000000-0005-0000-0000-0000791F0000}"/>
    <cellStyle name="Обычный 2 19 7" xfId="8030" xr:uid="{00000000-0005-0000-0000-00007A1F0000}"/>
    <cellStyle name="Обычный 2 19 8" xfId="9016" xr:uid="{00000000-0005-0000-0000-00007B1F0000}"/>
    <cellStyle name="Обычный 2 19 9" xfId="10002" xr:uid="{00000000-0005-0000-0000-00007C1F0000}"/>
    <cellStyle name="Обычный 2 2" xfId="2615" xr:uid="{00000000-0005-0000-0000-00007D1F0000}"/>
    <cellStyle name="Обычный 2 2 10" xfId="2616" xr:uid="{00000000-0005-0000-0000-00007E1F0000}"/>
    <cellStyle name="Обычный 2 2 10 2" xfId="3371" xr:uid="{00000000-0005-0000-0000-00007F1F0000}"/>
    <cellStyle name="Обычный 2 2 10 3" xfId="6008" xr:uid="{00000000-0005-0000-0000-0000801F0000}"/>
    <cellStyle name="Обычный 2 2 2" xfId="2617" xr:uid="{00000000-0005-0000-0000-0000811F0000}"/>
    <cellStyle name="Обычный 2 2 2 2" xfId="2618" xr:uid="{00000000-0005-0000-0000-0000821F0000}"/>
    <cellStyle name="Обычный 2 2 2 2 2" xfId="3422" xr:uid="{00000000-0005-0000-0000-0000831F0000}"/>
    <cellStyle name="Обычный 2 2 2 3" xfId="3372" xr:uid="{00000000-0005-0000-0000-0000841F0000}"/>
    <cellStyle name="Обычный 2 2 3" xfId="2619" xr:uid="{00000000-0005-0000-0000-0000851F0000}"/>
    <cellStyle name="Обычный 2 2 3 2" xfId="6009" xr:uid="{00000000-0005-0000-0000-0000861F0000}"/>
    <cellStyle name="Обычный 2 2 4" xfId="2620" xr:uid="{00000000-0005-0000-0000-0000871F0000}"/>
    <cellStyle name="Обычный 2 2 4 2" xfId="3423" xr:uid="{00000000-0005-0000-0000-0000881F0000}"/>
    <cellStyle name="Обычный 2 2 4 3" xfId="3424" xr:uid="{00000000-0005-0000-0000-0000891F0000}"/>
    <cellStyle name="Обычный 2 2 5" xfId="3373" xr:uid="{00000000-0005-0000-0000-00008A1F0000}"/>
    <cellStyle name="Обычный 2 2 6" xfId="3374" xr:uid="{00000000-0005-0000-0000-00008B1F0000}"/>
    <cellStyle name="Обычный 2 2 7" xfId="3375" xr:uid="{00000000-0005-0000-0000-00008C1F0000}"/>
    <cellStyle name="Обычный 2 2 8" xfId="3376" xr:uid="{00000000-0005-0000-0000-00008D1F0000}"/>
    <cellStyle name="Обычный 2 2 9" xfId="3377" xr:uid="{00000000-0005-0000-0000-00008E1F0000}"/>
    <cellStyle name="Обычный 2 2_Пр 4     11.05.11. ИКС" xfId="2621" xr:uid="{00000000-0005-0000-0000-00008F1F0000}"/>
    <cellStyle name="Обычный 2 20" xfId="3440" xr:uid="{00000000-0005-0000-0000-0000901F0000}"/>
    <cellStyle name="Обычный 2 20 10" xfId="12965" xr:uid="{00000000-0005-0000-0000-0000911F0000}"/>
    <cellStyle name="Обычный 2 20 11" xfId="13965" xr:uid="{00000000-0005-0000-0000-0000921F0000}"/>
    <cellStyle name="Обычный 2 20 12" xfId="14951" xr:uid="{00000000-0005-0000-0000-0000931F0000}"/>
    <cellStyle name="Обычный 2 20 2" xfId="6476" xr:uid="{00000000-0005-0000-0000-0000941F0000}"/>
    <cellStyle name="Обычный 2 20 2 10" xfId="15395" xr:uid="{00000000-0005-0000-0000-0000951F0000}"/>
    <cellStyle name="Обычный 2 20 2 2" xfId="7473" xr:uid="{00000000-0005-0000-0000-0000961F0000}"/>
    <cellStyle name="Обычный 2 20 2 3" xfId="8479" xr:uid="{00000000-0005-0000-0000-0000971F0000}"/>
    <cellStyle name="Обычный 2 20 2 4" xfId="9465" xr:uid="{00000000-0005-0000-0000-0000981F0000}"/>
    <cellStyle name="Обычный 2 20 2 5" xfId="10451" xr:uid="{00000000-0005-0000-0000-0000991F0000}"/>
    <cellStyle name="Обычный 2 20 2 6" xfId="11437" xr:uid="{00000000-0005-0000-0000-00009A1F0000}"/>
    <cellStyle name="Обычный 2 20 2 7" xfId="12423" xr:uid="{00000000-0005-0000-0000-00009B1F0000}"/>
    <cellStyle name="Обычный 2 20 2 8" xfId="13409" xr:uid="{00000000-0005-0000-0000-00009C1F0000}"/>
    <cellStyle name="Обычный 2 20 2 9" xfId="14409" xr:uid="{00000000-0005-0000-0000-00009D1F0000}"/>
    <cellStyle name="Обычный 2 20 3" xfId="6746" xr:uid="{00000000-0005-0000-0000-00009E1F0000}"/>
    <cellStyle name="Обычный 2 20 3 10" xfId="15665" xr:uid="{00000000-0005-0000-0000-00009F1F0000}"/>
    <cellStyle name="Обычный 2 20 3 2" xfId="7743" xr:uid="{00000000-0005-0000-0000-0000A01F0000}"/>
    <cellStyle name="Обычный 2 20 3 3" xfId="8749" xr:uid="{00000000-0005-0000-0000-0000A11F0000}"/>
    <cellStyle name="Обычный 2 20 3 4" xfId="9735" xr:uid="{00000000-0005-0000-0000-0000A21F0000}"/>
    <cellStyle name="Обычный 2 20 3 5" xfId="10721" xr:uid="{00000000-0005-0000-0000-0000A31F0000}"/>
    <cellStyle name="Обычный 2 20 3 6" xfId="11707" xr:uid="{00000000-0005-0000-0000-0000A41F0000}"/>
    <cellStyle name="Обычный 2 20 3 7" xfId="12693" xr:uid="{00000000-0005-0000-0000-0000A51F0000}"/>
    <cellStyle name="Обычный 2 20 3 8" xfId="13679" xr:uid="{00000000-0005-0000-0000-0000A61F0000}"/>
    <cellStyle name="Обычный 2 20 3 9" xfId="14679" xr:uid="{00000000-0005-0000-0000-0000A71F0000}"/>
    <cellStyle name="Обычный 2 20 4" xfId="7029" xr:uid="{00000000-0005-0000-0000-0000A81F0000}"/>
    <cellStyle name="Обычный 2 20 5" xfId="8035" xr:uid="{00000000-0005-0000-0000-0000A91F0000}"/>
    <cellStyle name="Обычный 2 20 6" xfId="9021" xr:uid="{00000000-0005-0000-0000-0000AA1F0000}"/>
    <cellStyle name="Обычный 2 20 7" xfId="10007" xr:uid="{00000000-0005-0000-0000-0000AB1F0000}"/>
    <cellStyle name="Обычный 2 20 8" xfId="10993" xr:uid="{00000000-0005-0000-0000-0000AC1F0000}"/>
    <cellStyle name="Обычный 2 20 9" xfId="11979" xr:uid="{00000000-0005-0000-0000-0000AD1F0000}"/>
    <cellStyle name="Обычный 2 21" xfId="3439" xr:uid="{00000000-0005-0000-0000-0000AE1F0000}"/>
    <cellStyle name="Обычный 2 21 10" xfId="12964" xr:uid="{00000000-0005-0000-0000-0000AF1F0000}"/>
    <cellStyle name="Обычный 2 21 11" xfId="13964" xr:uid="{00000000-0005-0000-0000-0000B01F0000}"/>
    <cellStyle name="Обычный 2 21 12" xfId="14950" xr:uid="{00000000-0005-0000-0000-0000B11F0000}"/>
    <cellStyle name="Обычный 2 21 2" xfId="6475" xr:uid="{00000000-0005-0000-0000-0000B21F0000}"/>
    <cellStyle name="Обычный 2 21 2 10" xfId="15394" xr:uid="{00000000-0005-0000-0000-0000B31F0000}"/>
    <cellStyle name="Обычный 2 21 2 2" xfId="7472" xr:uid="{00000000-0005-0000-0000-0000B41F0000}"/>
    <cellStyle name="Обычный 2 21 2 3" xfId="8478" xr:uid="{00000000-0005-0000-0000-0000B51F0000}"/>
    <cellStyle name="Обычный 2 21 2 4" xfId="9464" xr:uid="{00000000-0005-0000-0000-0000B61F0000}"/>
    <cellStyle name="Обычный 2 21 2 5" xfId="10450" xr:uid="{00000000-0005-0000-0000-0000B71F0000}"/>
    <cellStyle name="Обычный 2 21 2 6" xfId="11436" xr:uid="{00000000-0005-0000-0000-0000B81F0000}"/>
    <cellStyle name="Обычный 2 21 2 7" xfId="12422" xr:uid="{00000000-0005-0000-0000-0000B91F0000}"/>
    <cellStyle name="Обычный 2 21 2 8" xfId="13408" xr:uid="{00000000-0005-0000-0000-0000BA1F0000}"/>
    <cellStyle name="Обычный 2 21 2 9" xfId="14408" xr:uid="{00000000-0005-0000-0000-0000BB1F0000}"/>
    <cellStyle name="Обычный 2 21 3" xfId="6745" xr:uid="{00000000-0005-0000-0000-0000BC1F0000}"/>
    <cellStyle name="Обычный 2 21 3 10" xfId="15664" xr:uid="{00000000-0005-0000-0000-0000BD1F0000}"/>
    <cellStyle name="Обычный 2 21 3 2" xfId="7742" xr:uid="{00000000-0005-0000-0000-0000BE1F0000}"/>
    <cellStyle name="Обычный 2 21 3 3" xfId="8748" xr:uid="{00000000-0005-0000-0000-0000BF1F0000}"/>
    <cellStyle name="Обычный 2 21 3 4" xfId="9734" xr:uid="{00000000-0005-0000-0000-0000C01F0000}"/>
    <cellStyle name="Обычный 2 21 3 5" xfId="10720" xr:uid="{00000000-0005-0000-0000-0000C11F0000}"/>
    <cellStyle name="Обычный 2 21 3 6" xfId="11706" xr:uid="{00000000-0005-0000-0000-0000C21F0000}"/>
    <cellStyle name="Обычный 2 21 3 7" xfId="12692" xr:uid="{00000000-0005-0000-0000-0000C31F0000}"/>
    <cellStyle name="Обычный 2 21 3 8" xfId="13678" xr:uid="{00000000-0005-0000-0000-0000C41F0000}"/>
    <cellStyle name="Обычный 2 21 3 9" xfId="14678" xr:uid="{00000000-0005-0000-0000-0000C51F0000}"/>
    <cellStyle name="Обычный 2 21 4" xfId="7028" xr:uid="{00000000-0005-0000-0000-0000C61F0000}"/>
    <cellStyle name="Обычный 2 21 5" xfId="8034" xr:uid="{00000000-0005-0000-0000-0000C71F0000}"/>
    <cellStyle name="Обычный 2 21 6" xfId="9020" xr:uid="{00000000-0005-0000-0000-0000C81F0000}"/>
    <cellStyle name="Обычный 2 21 7" xfId="10006" xr:uid="{00000000-0005-0000-0000-0000C91F0000}"/>
    <cellStyle name="Обычный 2 21 8" xfId="10992" xr:uid="{00000000-0005-0000-0000-0000CA1F0000}"/>
    <cellStyle name="Обычный 2 21 9" xfId="11978" xr:uid="{00000000-0005-0000-0000-0000CB1F0000}"/>
    <cellStyle name="Обычный 2 22" xfId="6164" xr:uid="{00000000-0005-0000-0000-0000CC1F0000}"/>
    <cellStyle name="Обычный 2 22 10" xfId="13108" xr:uid="{00000000-0005-0000-0000-0000CD1F0000}"/>
    <cellStyle name="Обычный 2 22 11" xfId="14108" xr:uid="{00000000-0005-0000-0000-0000CE1F0000}"/>
    <cellStyle name="Обычный 2 22 12" xfId="15094" xr:uid="{00000000-0005-0000-0000-0000CF1F0000}"/>
    <cellStyle name="Обычный 2 22 2" xfId="6619" xr:uid="{00000000-0005-0000-0000-0000D01F0000}"/>
    <cellStyle name="Обычный 2 22 2 10" xfId="15538" xr:uid="{00000000-0005-0000-0000-0000D11F0000}"/>
    <cellStyle name="Обычный 2 22 2 2" xfId="7616" xr:uid="{00000000-0005-0000-0000-0000D21F0000}"/>
    <cellStyle name="Обычный 2 22 2 3" xfId="8622" xr:uid="{00000000-0005-0000-0000-0000D31F0000}"/>
    <cellStyle name="Обычный 2 22 2 4" xfId="9608" xr:uid="{00000000-0005-0000-0000-0000D41F0000}"/>
    <cellStyle name="Обычный 2 22 2 5" xfId="10594" xr:uid="{00000000-0005-0000-0000-0000D51F0000}"/>
    <cellStyle name="Обычный 2 22 2 6" xfId="11580" xr:uid="{00000000-0005-0000-0000-0000D61F0000}"/>
    <cellStyle name="Обычный 2 22 2 7" xfId="12566" xr:uid="{00000000-0005-0000-0000-0000D71F0000}"/>
    <cellStyle name="Обычный 2 22 2 8" xfId="13552" xr:uid="{00000000-0005-0000-0000-0000D81F0000}"/>
    <cellStyle name="Обычный 2 22 2 9" xfId="14552" xr:uid="{00000000-0005-0000-0000-0000D91F0000}"/>
    <cellStyle name="Обычный 2 22 3" xfId="6889" xr:uid="{00000000-0005-0000-0000-0000DA1F0000}"/>
    <cellStyle name="Обычный 2 22 3 10" xfId="15808" xr:uid="{00000000-0005-0000-0000-0000DB1F0000}"/>
    <cellStyle name="Обычный 2 22 3 2" xfId="7886" xr:uid="{00000000-0005-0000-0000-0000DC1F0000}"/>
    <cellStyle name="Обычный 2 22 3 3" xfId="8892" xr:uid="{00000000-0005-0000-0000-0000DD1F0000}"/>
    <cellStyle name="Обычный 2 22 3 4" xfId="9878" xr:uid="{00000000-0005-0000-0000-0000DE1F0000}"/>
    <cellStyle name="Обычный 2 22 3 5" xfId="10864" xr:uid="{00000000-0005-0000-0000-0000DF1F0000}"/>
    <cellStyle name="Обычный 2 22 3 6" xfId="11850" xr:uid="{00000000-0005-0000-0000-0000E01F0000}"/>
    <cellStyle name="Обычный 2 22 3 7" xfId="12836" xr:uid="{00000000-0005-0000-0000-0000E11F0000}"/>
    <cellStyle name="Обычный 2 22 3 8" xfId="13822" xr:uid="{00000000-0005-0000-0000-0000E21F0000}"/>
    <cellStyle name="Обычный 2 22 3 9" xfId="14822" xr:uid="{00000000-0005-0000-0000-0000E31F0000}"/>
    <cellStyle name="Обычный 2 22 4" xfId="7172" xr:uid="{00000000-0005-0000-0000-0000E41F0000}"/>
    <cellStyle name="Обычный 2 22 5" xfId="8178" xr:uid="{00000000-0005-0000-0000-0000E51F0000}"/>
    <cellStyle name="Обычный 2 22 6" xfId="9164" xr:uid="{00000000-0005-0000-0000-0000E61F0000}"/>
    <cellStyle name="Обычный 2 22 7" xfId="10150" xr:uid="{00000000-0005-0000-0000-0000E71F0000}"/>
    <cellStyle name="Обычный 2 22 8" xfId="11136" xr:uid="{00000000-0005-0000-0000-0000E81F0000}"/>
    <cellStyle name="Обычный 2 22 9" xfId="12122" xr:uid="{00000000-0005-0000-0000-0000E91F0000}"/>
    <cellStyle name="Обычный 2 23" xfId="7960" xr:uid="{00000000-0005-0000-0000-0000EA1F0000}"/>
    <cellStyle name="Обычный 2 23 2" xfId="8966" xr:uid="{00000000-0005-0000-0000-0000EB1F0000}"/>
    <cellStyle name="Обычный 2 23 3" xfId="9952" xr:uid="{00000000-0005-0000-0000-0000EC1F0000}"/>
    <cellStyle name="Обычный 2 23 4" xfId="10938" xr:uid="{00000000-0005-0000-0000-0000ED1F0000}"/>
    <cellStyle name="Обычный 2 23 5" xfId="11924" xr:uid="{00000000-0005-0000-0000-0000EE1F0000}"/>
    <cellStyle name="Обычный 2 23 6" xfId="12910" xr:uid="{00000000-0005-0000-0000-0000EF1F0000}"/>
    <cellStyle name="Обычный 2 23 7" xfId="13896" xr:uid="{00000000-0005-0000-0000-0000F01F0000}"/>
    <cellStyle name="Обычный 2 23 8" xfId="14896" xr:uid="{00000000-0005-0000-0000-0000F11F0000}"/>
    <cellStyle name="Обычный 2 23 9" xfId="15882" xr:uid="{00000000-0005-0000-0000-0000F21F0000}"/>
    <cellStyle name="Обычный 2 24" xfId="3446" xr:uid="{00000000-0005-0000-0000-0000F31F0000}"/>
    <cellStyle name="Обычный 2 24 10" xfId="12969" xr:uid="{00000000-0005-0000-0000-0000F41F0000}"/>
    <cellStyle name="Обычный 2 24 11" xfId="13969" xr:uid="{00000000-0005-0000-0000-0000F51F0000}"/>
    <cellStyle name="Обычный 2 24 12" xfId="14955" xr:uid="{00000000-0005-0000-0000-0000F61F0000}"/>
    <cellStyle name="Обычный 2 24 2" xfId="6480" xr:uid="{00000000-0005-0000-0000-0000F71F0000}"/>
    <cellStyle name="Обычный 2 24 2 10" xfId="15399" xr:uid="{00000000-0005-0000-0000-0000F81F0000}"/>
    <cellStyle name="Обычный 2 24 2 2" xfId="7477" xr:uid="{00000000-0005-0000-0000-0000F91F0000}"/>
    <cellStyle name="Обычный 2 24 2 3" xfId="8483" xr:uid="{00000000-0005-0000-0000-0000FA1F0000}"/>
    <cellStyle name="Обычный 2 24 2 4" xfId="9469" xr:uid="{00000000-0005-0000-0000-0000FB1F0000}"/>
    <cellStyle name="Обычный 2 24 2 5" xfId="10455" xr:uid="{00000000-0005-0000-0000-0000FC1F0000}"/>
    <cellStyle name="Обычный 2 24 2 6" xfId="11441" xr:uid="{00000000-0005-0000-0000-0000FD1F0000}"/>
    <cellStyle name="Обычный 2 24 2 7" xfId="12427" xr:uid="{00000000-0005-0000-0000-0000FE1F0000}"/>
    <cellStyle name="Обычный 2 24 2 8" xfId="13413" xr:uid="{00000000-0005-0000-0000-0000FF1F0000}"/>
    <cellStyle name="Обычный 2 24 2 9" xfId="14413" xr:uid="{00000000-0005-0000-0000-000000200000}"/>
    <cellStyle name="Обычный 2 24 3" xfId="6750" xr:uid="{00000000-0005-0000-0000-000001200000}"/>
    <cellStyle name="Обычный 2 24 3 10" xfId="15669" xr:uid="{00000000-0005-0000-0000-000002200000}"/>
    <cellStyle name="Обычный 2 24 3 2" xfId="7747" xr:uid="{00000000-0005-0000-0000-000003200000}"/>
    <cellStyle name="Обычный 2 24 3 3" xfId="8753" xr:uid="{00000000-0005-0000-0000-000004200000}"/>
    <cellStyle name="Обычный 2 24 3 4" xfId="9739" xr:uid="{00000000-0005-0000-0000-000005200000}"/>
    <cellStyle name="Обычный 2 24 3 5" xfId="10725" xr:uid="{00000000-0005-0000-0000-000006200000}"/>
    <cellStyle name="Обычный 2 24 3 6" xfId="11711" xr:uid="{00000000-0005-0000-0000-000007200000}"/>
    <cellStyle name="Обычный 2 24 3 7" xfId="12697" xr:uid="{00000000-0005-0000-0000-000008200000}"/>
    <cellStyle name="Обычный 2 24 3 8" xfId="13683" xr:uid="{00000000-0005-0000-0000-000009200000}"/>
    <cellStyle name="Обычный 2 24 3 9" xfId="14683" xr:uid="{00000000-0005-0000-0000-00000A200000}"/>
    <cellStyle name="Обычный 2 24 4" xfId="7033" xr:uid="{00000000-0005-0000-0000-00000B200000}"/>
    <cellStyle name="Обычный 2 24 5" xfId="8039" xr:uid="{00000000-0005-0000-0000-00000C200000}"/>
    <cellStyle name="Обычный 2 24 6" xfId="9025" xr:uid="{00000000-0005-0000-0000-00000D200000}"/>
    <cellStyle name="Обычный 2 24 7" xfId="10011" xr:uid="{00000000-0005-0000-0000-00000E200000}"/>
    <cellStyle name="Обычный 2 24 8" xfId="10997" xr:uid="{00000000-0005-0000-0000-00000F200000}"/>
    <cellStyle name="Обычный 2 24 9" xfId="11983" xr:uid="{00000000-0005-0000-0000-000010200000}"/>
    <cellStyle name="Обычный 2 28" xfId="3445" xr:uid="{00000000-0005-0000-0000-000011200000}"/>
    <cellStyle name="Обычный 2 28 10" xfId="12968" xr:uid="{00000000-0005-0000-0000-000012200000}"/>
    <cellStyle name="Обычный 2 28 11" xfId="13968" xr:uid="{00000000-0005-0000-0000-000013200000}"/>
    <cellStyle name="Обычный 2 28 12" xfId="14954" xr:uid="{00000000-0005-0000-0000-000014200000}"/>
    <cellStyle name="Обычный 2 28 2" xfId="6479" xr:uid="{00000000-0005-0000-0000-000015200000}"/>
    <cellStyle name="Обычный 2 28 2 10" xfId="15398" xr:uid="{00000000-0005-0000-0000-000016200000}"/>
    <cellStyle name="Обычный 2 28 2 2" xfId="7476" xr:uid="{00000000-0005-0000-0000-000017200000}"/>
    <cellStyle name="Обычный 2 28 2 3" xfId="8482" xr:uid="{00000000-0005-0000-0000-000018200000}"/>
    <cellStyle name="Обычный 2 28 2 4" xfId="9468" xr:uid="{00000000-0005-0000-0000-000019200000}"/>
    <cellStyle name="Обычный 2 28 2 5" xfId="10454" xr:uid="{00000000-0005-0000-0000-00001A200000}"/>
    <cellStyle name="Обычный 2 28 2 6" xfId="11440" xr:uid="{00000000-0005-0000-0000-00001B200000}"/>
    <cellStyle name="Обычный 2 28 2 7" xfId="12426" xr:uid="{00000000-0005-0000-0000-00001C200000}"/>
    <cellStyle name="Обычный 2 28 2 8" xfId="13412" xr:uid="{00000000-0005-0000-0000-00001D200000}"/>
    <cellStyle name="Обычный 2 28 2 9" xfId="14412" xr:uid="{00000000-0005-0000-0000-00001E200000}"/>
    <cellStyle name="Обычный 2 28 3" xfId="6749" xr:uid="{00000000-0005-0000-0000-00001F200000}"/>
    <cellStyle name="Обычный 2 28 3 10" xfId="15668" xr:uid="{00000000-0005-0000-0000-000020200000}"/>
    <cellStyle name="Обычный 2 28 3 2" xfId="7746" xr:uid="{00000000-0005-0000-0000-000021200000}"/>
    <cellStyle name="Обычный 2 28 3 3" xfId="8752" xr:uid="{00000000-0005-0000-0000-000022200000}"/>
    <cellStyle name="Обычный 2 28 3 4" xfId="9738" xr:uid="{00000000-0005-0000-0000-000023200000}"/>
    <cellStyle name="Обычный 2 28 3 5" xfId="10724" xr:uid="{00000000-0005-0000-0000-000024200000}"/>
    <cellStyle name="Обычный 2 28 3 6" xfId="11710" xr:uid="{00000000-0005-0000-0000-000025200000}"/>
    <cellStyle name="Обычный 2 28 3 7" xfId="12696" xr:uid="{00000000-0005-0000-0000-000026200000}"/>
    <cellStyle name="Обычный 2 28 3 8" xfId="13682" xr:uid="{00000000-0005-0000-0000-000027200000}"/>
    <cellStyle name="Обычный 2 28 3 9" xfId="14682" xr:uid="{00000000-0005-0000-0000-000028200000}"/>
    <cellStyle name="Обычный 2 28 4" xfId="7032" xr:uid="{00000000-0005-0000-0000-000029200000}"/>
    <cellStyle name="Обычный 2 28 5" xfId="8038" xr:uid="{00000000-0005-0000-0000-00002A200000}"/>
    <cellStyle name="Обычный 2 28 6" xfId="9024" xr:uid="{00000000-0005-0000-0000-00002B200000}"/>
    <cellStyle name="Обычный 2 28 7" xfId="10010" xr:uid="{00000000-0005-0000-0000-00002C200000}"/>
    <cellStyle name="Обычный 2 28 8" xfId="10996" xr:uid="{00000000-0005-0000-0000-00002D200000}"/>
    <cellStyle name="Обычный 2 28 9" xfId="11982" xr:uid="{00000000-0005-0000-0000-00002E200000}"/>
    <cellStyle name="Обычный 2 3" xfId="2622" xr:uid="{00000000-0005-0000-0000-00002F200000}"/>
    <cellStyle name="Обычный 2 3 2" xfId="2623" xr:uid="{00000000-0005-0000-0000-000030200000}"/>
    <cellStyle name="Обычный 2 3 3" xfId="3438" xr:uid="{00000000-0005-0000-0000-000031200000}"/>
    <cellStyle name="Обычный 2 3 4" xfId="6165" xr:uid="{00000000-0005-0000-0000-000032200000}"/>
    <cellStyle name="Обычный 2 3 4 10" xfId="13109" xr:uid="{00000000-0005-0000-0000-000033200000}"/>
    <cellStyle name="Обычный 2 3 4 11" xfId="14109" xr:uid="{00000000-0005-0000-0000-000034200000}"/>
    <cellStyle name="Обычный 2 3 4 12" xfId="15095" xr:uid="{00000000-0005-0000-0000-000035200000}"/>
    <cellStyle name="Обычный 2 3 4 2" xfId="6620" xr:uid="{00000000-0005-0000-0000-000036200000}"/>
    <cellStyle name="Обычный 2 3 4 2 10" xfId="15539" xr:uid="{00000000-0005-0000-0000-000037200000}"/>
    <cellStyle name="Обычный 2 3 4 2 2" xfId="7617" xr:uid="{00000000-0005-0000-0000-000038200000}"/>
    <cellStyle name="Обычный 2 3 4 2 3" xfId="8623" xr:uid="{00000000-0005-0000-0000-000039200000}"/>
    <cellStyle name="Обычный 2 3 4 2 4" xfId="9609" xr:uid="{00000000-0005-0000-0000-00003A200000}"/>
    <cellStyle name="Обычный 2 3 4 2 5" xfId="10595" xr:uid="{00000000-0005-0000-0000-00003B200000}"/>
    <cellStyle name="Обычный 2 3 4 2 6" xfId="11581" xr:uid="{00000000-0005-0000-0000-00003C200000}"/>
    <cellStyle name="Обычный 2 3 4 2 7" xfId="12567" xr:uid="{00000000-0005-0000-0000-00003D200000}"/>
    <cellStyle name="Обычный 2 3 4 2 8" xfId="13553" xr:uid="{00000000-0005-0000-0000-00003E200000}"/>
    <cellStyle name="Обычный 2 3 4 2 9" xfId="14553" xr:uid="{00000000-0005-0000-0000-00003F200000}"/>
    <cellStyle name="Обычный 2 3 4 3" xfId="6890" xr:uid="{00000000-0005-0000-0000-000040200000}"/>
    <cellStyle name="Обычный 2 3 4 3 10" xfId="15809" xr:uid="{00000000-0005-0000-0000-000041200000}"/>
    <cellStyle name="Обычный 2 3 4 3 2" xfId="7887" xr:uid="{00000000-0005-0000-0000-000042200000}"/>
    <cellStyle name="Обычный 2 3 4 3 3" xfId="8893" xr:uid="{00000000-0005-0000-0000-000043200000}"/>
    <cellStyle name="Обычный 2 3 4 3 4" xfId="9879" xr:uid="{00000000-0005-0000-0000-000044200000}"/>
    <cellStyle name="Обычный 2 3 4 3 5" xfId="10865" xr:uid="{00000000-0005-0000-0000-000045200000}"/>
    <cellStyle name="Обычный 2 3 4 3 6" xfId="11851" xr:uid="{00000000-0005-0000-0000-000046200000}"/>
    <cellStyle name="Обычный 2 3 4 3 7" xfId="12837" xr:uid="{00000000-0005-0000-0000-000047200000}"/>
    <cellStyle name="Обычный 2 3 4 3 8" xfId="13823" xr:uid="{00000000-0005-0000-0000-000048200000}"/>
    <cellStyle name="Обычный 2 3 4 3 9" xfId="14823" xr:uid="{00000000-0005-0000-0000-000049200000}"/>
    <cellStyle name="Обычный 2 3 4 4" xfId="7173" xr:uid="{00000000-0005-0000-0000-00004A200000}"/>
    <cellStyle name="Обычный 2 3 4 5" xfId="8179" xr:uid="{00000000-0005-0000-0000-00004B200000}"/>
    <cellStyle name="Обычный 2 3 4 6" xfId="9165" xr:uid="{00000000-0005-0000-0000-00004C200000}"/>
    <cellStyle name="Обычный 2 3 4 7" xfId="10151" xr:uid="{00000000-0005-0000-0000-00004D200000}"/>
    <cellStyle name="Обычный 2 3 4 8" xfId="11137" xr:uid="{00000000-0005-0000-0000-00004E200000}"/>
    <cellStyle name="Обычный 2 3 4 9" xfId="12123" xr:uid="{00000000-0005-0000-0000-00004F200000}"/>
    <cellStyle name="Обычный 2 4" xfId="2624" xr:uid="{00000000-0005-0000-0000-000050200000}"/>
    <cellStyle name="Обычный 2 5" xfId="3378" xr:uid="{00000000-0005-0000-0000-000051200000}"/>
    <cellStyle name="Обычный 2 5 2" xfId="6166" xr:uid="{00000000-0005-0000-0000-000052200000}"/>
    <cellStyle name="Обычный 2 5 2 10" xfId="13110" xr:uid="{00000000-0005-0000-0000-000053200000}"/>
    <cellStyle name="Обычный 2 5 2 11" xfId="14110" xr:uid="{00000000-0005-0000-0000-000054200000}"/>
    <cellStyle name="Обычный 2 5 2 12" xfId="15096" xr:uid="{00000000-0005-0000-0000-000055200000}"/>
    <cellStyle name="Обычный 2 5 2 2" xfId="6621" xr:uid="{00000000-0005-0000-0000-000056200000}"/>
    <cellStyle name="Обычный 2 5 2 2 10" xfId="15540" xr:uid="{00000000-0005-0000-0000-000057200000}"/>
    <cellStyle name="Обычный 2 5 2 2 2" xfId="7618" xr:uid="{00000000-0005-0000-0000-000058200000}"/>
    <cellStyle name="Обычный 2 5 2 2 3" xfId="8624" xr:uid="{00000000-0005-0000-0000-000059200000}"/>
    <cellStyle name="Обычный 2 5 2 2 4" xfId="9610" xr:uid="{00000000-0005-0000-0000-00005A200000}"/>
    <cellStyle name="Обычный 2 5 2 2 5" xfId="10596" xr:uid="{00000000-0005-0000-0000-00005B200000}"/>
    <cellStyle name="Обычный 2 5 2 2 6" xfId="11582" xr:uid="{00000000-0005-0000-0000-00005C200000}"/>
    <cellStyle name="Обычный 2 5 2 2 7" xfId="12568" xr:uid="{00000000-0005-0000-0000-00005D200000}"/>
    <cellStyle name="Обычный 2 5 2 2 8" xfId="13554" xr:uid="{00000000-0005-0000-0000-00005E200000}"/>
    <cellStyle name="Обычный 2 5 2 2 9" xfId="14554" xr:uid="{00000000-0005-0000-0000-00005F200000}"/>
    <cellStyle name="Обычный 2 5 2 3" xfId="6891" xr:uid="{00000000-0005-0000-0000-000060200000}"/>
    <cellStyle name="Обычный 2 5 2 3 10" xfId="15810" xr:uid="{00000000-0005-0000-0000-000061200000}"/>
    <cellStyle name="Обычный 2 5 2 3 2" xfId="7888" xr:uid="{00000000-0005-0000-0000-000062200000}"/>
    <cellStyle name="Обычный 2 5 2 3 3" xfId="8894" xr:uid="{00000000-0005-0000-0000-000063200000}"/>
    <cellStyle name="Обычный 2 5 2 3 4" xfId="9880" xr:uid="{00000000-0005-0000-0000-000064200000}"/>
    <cellStyle name="Обычный 2 5 2 3 5" xfId="10866" xr:uid="{00000000-0005-0000-0000-000065200000}"/>
    <cellStyle name="Обычный 2 5 2 3 6" xfId="11852" xr:uid="{00000000-0005-0000-0000-000066200000}"/>
    <cellStyle name="Обычный 2 5 2 3 7" xfId="12838" xr:uid="{00000000-0005-0000-0000-000067200000}"/>
    <cellStyle name="Обычный 2 5 2 3 8" xfId="13824" xr:uid="{00000000-0005-0000-0000-000068200000}"/>
    <cellStyle name="Обычный 2 5 2 3 9" xfId="14824" xr:uid="{00000000-0005-0000-0000-000069200000}"/>
    <cellStyle name="Обычный 2 5 2 4" xfId="7174" xr:uid="{00000000-0005-0000-0000-00006A200000}"/>
    <cellStyle name="Обычный 2 5 2 5" xfId="8180" xr:uid="{00000000-0005-0000-0000-00006B200000}"/>
    <cellStyle name="Обычный 2 5 2 6" xfId="9166" xr:uid="{00000000-0005-0000-0000-00006C200000}"/>
    <cellStyle name="Обычный 2 5 2 7" xfId="10152" xr:uid="{00000000-0005-0000-0000-00006D200000}"/>
    <cellStyle name="Обычный 2 5 2 8" xfId="11138" xr:uid="{00000000-0005-0000-0000-00006E200000}"/>
    <cellStyle name="Обычный 2 5 2 9" xfId="12124" xr:uid="{00000000-0005-0000-0000-00006F200000}"/>
    <cellStyle name="Обычный 2 6" xfId="3379" xr:uid="{00000000-0005-0000-0000-000070200000}"/>
    <cellStyle name="Обычный 2 7" xfId="3380" xr:uid="{00000000-0005-0000-0000-000071200000}"/>
    <cellStyle name="Обычный 2 8" xfId="3381" xr:uid="{00000000-0005-0000-0000-000072200000}"/>
    <cellStyle name="Обычный 2 9" xfId="3382" xr:uid="{00000000-0005-0000-0000-000073200000}"/>
    <cellStyle name="Обычный 2_пр 60" xfId="3433" xr:uid="{00000000-0005-0000-0000-000074200000}"/>
    <cellStyle name="Обычный 20" xfId="3383" xr:uid="{00000000-0005-0000-0000-000075200000}"/>
    <cellStyle name="Обычный 20 10" xfId="10965" xr:uid="{00000000-0005-0000-0000-000076200000}"/>
    <cellStyle name="Обычный 20 11" xfId="11951" xr:uid="{00000000-0005-0000-0000-000077200000}"/>
    <cellStyle name="Обычный 20 12" xfId="12937" xr:uid="{00000000-0005-0000-0000-000078200000}"/>
    <cellStyle name="Обычный 20 13" xfId="13937" xr:uid="{00000000-0005-0000-0000-000079200000}"/>
    <cellStyle name="Обычный 20 14" xfId="14923" xr:uid="{00000000-0005-0000-0000-00007A200000}"/>
    <cellStyle name="Обычный 20 2" xfId="6042" xr:uid="{00000000-0005-0000-0000-00007B200000}"/>
    <cellStyle name="Обычный 20 2 10" xfId="12996" xr:uid="{00000000-0005-0000-0000-00007C200000}"/>
    <cellStyle name="Обычный 20 2 11" xfId="13996" xr:uid="{00000000-0005-0000-0000-00007D200000}"/>
    <cellStyle name="Обычный 20 2 12" xfId="14982" xr:uid="{00000000-0005-0000-0000-00007E200000}"/>
    <cellStyle name="Обычный 20 2 2" xfId="6507" xr:uid="{00000000-0005-0000-0000-00007F200000}"/>
    <cellStyle name="Обычный 20 2 2 10" xfId="15426" xr:uid="{00000000-0005-0000-0000-000080200000}"/>
    <cellStyle name="Обычный 20 2 2 2" xfId="7504" xr:uid="{00000000-0005-0000-0000-000081200000}"/>
    <cellStyle name="Обычный 20 2 2 3" xfId="8510" xr:uid="{00000000-0005-0000-0000-000082200000}"/>
    <cellStyle name="Обычный 20 2 2 4" xfId="9496" xr:uid="{00000000-0005-0000-0000-000083200000}"/>
    <cellStyle name="Обычный 20 2 2 5" xfId="10482" xr:uid="{00000000-0005-0000-0000-000084200000}"/>
    <cellStyle name="Обычный 20 2 2 6" xfId="11468" xr:uid="{00000000-0005-0000-0000-000085200000}"/>
    <cellStyle name="Обычный 20 2 2 7" xfId="12454" xr:uid="{00000000-0005-0000-0000-000086200000}"/>
    <cellStyle name="Обычный 20 2 2 8" xfId="13440" xr:uid="{00000000-0005-0000-0000-000087200000}"/>
    <cellStyle name="Обычный 20 2 2 9" xfId="14440" xr:uid="{00000000-0005-0000-0000-000088200000}"/>
    <cellStyle name="Обычный 20 2 3" xfId="6777" xr:uid="{00000000-0005-0000-0000-000089200000}"/>
    <cellStyle name="Обычный 20 2 3 10" xfId="15696" xr:uid="{00000000-0005-0000-0000-00008A200000}"/>
    <cellStyle name="Обычный 20 2 3 2" xfId="7774" xr:uid="{00000000-0005-0000-0000-00008B200000}"/>
    <cellStyle name="Обычный 20 2 3 3" xfId="8780" xr:uid="{00000000-0005-0000-0000-00008C200000}"/>
    <cellStyle name="Обычный 20 2 3 4" xfId="9766" xr:uid="{00000000-0005-0000-0000-00008D200000}"/>
    <cellStyle name="Обычный 20 2 3 5" xfId="10752" xr:uid="{00000000-0005-0000-0000-00008E200000}"/>
    <cellStyle name="Обычный 20 2 3 6" xfId="11738" xr:uid="{00000000-0005-0000-0000-00008F200000}"/>
    <cellStyle name="Обычный 20 2 3 7" xfId="12724" xr:uid="{00000000-0005-0000-0000-000090200000}"/>
    <cellStyle name="Обычный 20 2 3 8" xfId="13710" xr:uid="{00000000-0005-0000-0000-000091200000}"/>
    <cellStyle name="Обычный 20 2 3 9" xfId="14710" xr:uid="{00000000-0005-0000-0000-000092200000}"/>
    <cellStyle name="Обычный 20 2 4" xfId="7060" xr:uid="{00000000-0005-0000-0000-000093200000}"/>
    <cellStyle name="Обычный 20 2 5" xfId="8066" xr:uid="{00000000-0005-0000-0000-000094200000}"/>
    <cellStyle name="Обычный 20 2 6" xfId="9052" xr:uid="{00000000-0005-0000-0000-000095200000}"/>
    <cellStyle name="Обычный 20 2 7" xfId="10038" xr:uid="{00000000-0005-0000-0000-000096200000}"/>
    <cellStyle name="Обычный 20 2 8" xfId="11024" xr:uid="{00000000-0005-0000-0000-000097200000}"/>
    <cellStyle name="Обычный 20 2 9" xfId="12010" xr:uid="{00000000-0005-0000-0000-000098200000}"/>
    <cellStyle name="Обычный 20 3" xfId="6099" xr:uid="{00000000-0005-0000-0000-000099200000}"/>
    <cellStyle name="Обычный 20 3 10" xfId="13049" xr:uid="{00000000-0005-0000-0000-00009A200000}"/>
    <cellStyle name="Обычный 20 3 11" xfId="14049" xr:uid="{00000000-0005-0000-0000-00009B200000}"/>
    <cellStyle name="Обычный 20 3 12" xfId="15035" xr:uid="{00000000-0005-0000-0000-00009C200000}"/>
    <cellStyle name="Обычный 20 3 2" xfId="6560" xr:uid="{00000000-0005-0000-0000-00009D200000}"/>
    <cellStyle name="Обычный 20 3 2 10" xfId="15479" xr:uid="{00000000-0005-0000-0000-00009E200000}"/>
    <cellStyle name="Обычный 20 3 2 2" xfId="7557" xr:uid="{00000000-0005-0000-0000-00009F200000}"/>
    <cellStyle name="Обычный 20 3 2 3" xfId="8563" xr:uid="{00000000-0005-0000-0000-0000A0200000}"/>
    <cellStyle name="Обычный 20 3 2 4" xfId="9549" xr:uid="{00000000-0005-0000-0000-0000A1200000}"/>
    <cellStyle name="Обычный 20 3 2 5" xfId="10535" xr:uid="{00000000-0005-0000-0000-0000A2200000}"/>
    <cellStyle name="Обычный 20 3 2 6" xfId="11521" xr:uid="{00000000-0005-0000-0000-0000A3200000}"/>
    <cellStyle name="Обычный 20 3 2 7" xfId="12507" xr:uid="{00000000-0005-0000-0000-0000A4200000}"/>
    <cellStyle name="Обычный 20 3 2 8" xfId="13493" xr:uid="{00000000-0005-0000-0000-0000A5200000}"/>
    <cellStyle name="Обычный 20 3 2 9" xfId="14493" xr:uid="{00000000-0005-0000-0000-0000A6200000}"/>
    <cellStyle name="Обычный 20 3 3" xfId="6830" xr:uid="{00000000-0005-0000-0000-0000A7200000}"/>
    <cellStyle name="Обычный 20 3 3 10" xfId="15749" xr:uid="{00000000-0005-0000-0000-0000A8200000}"/>
    <cellStyle name="Обычный 20 3 3 2" xfId="7827" xr:uid="{00000000-0005-0000-0000-0000A9200000}"/>
    <cellStyle name="Обычный 20 3 3 3" xfId="8833" xr:uid="{00000000-0005-0000-0000-0000AA200000}"/>
    <cellStyle name="Обычный 20 3 3 4" xfId="9819" xr:uid="{00000000-0005-0000-0000-0000AB200000}"/>
    <cellStyle name="Обычный 20 3 3 5" xfId="10805" xr:uid="{00000000-0005-0000-0000-0000AC200000}"/>
    <cellStyle name="Обычный 20 3 3 6" xfId="11791" xr:uid="{00000000-0005-0000-0000-0000AD200000}"/>
    <cellStyle name="Обычный 20 3 3 7" xfId="12777" xr:uid="{00000000-0005-0000-0000-0000AE200000}"/>
    <cellStyle name="Обычный 20 3 3 8" xfId="13763" xr:uid="{00000000-0005-0000-0000-0000AF200000}"/>
    <cellStyle name="Обычный 20 3 3 9" xfId="14763" xr:uid="{00000000-0005-0000-0000-0000B0200000}"/>
    <cellStyle name="Обычный 20 3 4" xfId="7113" xr:uid="{00000000-0005-0000-0000-0000B1200000}"/>
    <cellStyle name="Обычный 20 3 5" xfId="8119" xr:uid="{00000000-0005-0000-0000-0000B2200000}"/>
    <cellStyle name="Обычный 20 3 6" xfId="9105" xr:uid="{00000000-0005-0000-0000-0000B3200000}"/>
    <cellStyle name="Обычный 20 3 7" xfId="10091" xr:uid="{00000000-0005-0000-0000-0000B4200000}"/>
    <cellStyle name="Обычный 20 3 8" xfId="11077" xr:uid="{00000000-0005-0000-0000-0000B5200000}"/>
    <cellStyle name="Обычный 20 3 9" xfId="12063" xr:uid="{00000000-0005-0000-0000-0000B6200000}"/>
    <cellStyle name="Обычный 20 4" xfId="6448" xr:uid="{00000000-0005-0000-0000-0000B7200000}"/>
    <cellStyle name="Обычный 20 4 10" xfId="15367" xr:uid="{00000000-0005-0000-0000-0000B8200000}"/>
    <cellStyle name="Обычный 20 4 2" xfId="7445" xr:uid="{00000000-0005-0000-0000-0000B9200000}"/>
    <cellStyle name="Обычный 20 4 3" xfId="8451" xr:uid="{00000000-0005-0000-0000-0000BA200000}"/>
    <cellStyle name="Обычный 20 4 4" xfId="9437" xr:uid="{00000000-0005-0000-0000-0000BB200000}"/>
    <cellStyle name="Обычный 20 4 5" xfId="10423" xr:uid="{00000000-0005-0000-0000-0000BC200000}"/>
    <cellStyle name="Обычный 20 4 6" xfId="11409" xr:uid="{00000000-0005-0000-0000-0000BD200000}"/>
    <cellStyle name="Обычный 20 4 7" xfId="12395" xr:uid="{00000000-0005-0000-0000-0000BE200000}"/>
    <cellStyle name="Обычный 20 4 8" xfId="13381" xr:uid="{00000000-0005-0000-0000-0000BF200000}"/>
    <cellStyle name="Обычный 20 4 9" xfId="14381" xr:uid="{00000000-0005-0000-0000-0000C0200000}"/>
    <cellStyle name="Обычный 20 5" xfId="6718" xr:uid="{00000000-0005-0000-0000-0000C1200000}"/>
    <cellStyle name="Обычный 20 5 10" xfId="15637" xr:uid="{00000000-0005-0000-0000-0000C2200000}"/>
    <cellStyle name="Обычный 20 5 2" xfId="7715" xr:uid="{00000000-0005-0000-0000-0000C3200000}"/>
    <cellStyle name="Обычный 20 5 3" xfId="8721" xr:uid="{00000000-0005-0000-0000-0000C4200000}"/>
    <cellStyle name="Обычный 20 5 4" xfId="9707" xr:uid="{00000000-0005-0000-0000-0000C5200000}"/>
    <cellStyle name="Обычный 20 5 5" xfId="10693" xr:uid="{00000000-0005-0000-0000-0000C6200000}"/>
    <cellStyle name="Обычный 20 5 6" xfId="11679" xr:uid="{00000000-0005-0000-0000-0000C7200000}"/>
    <cellStyle name="Обычный 20 5 7" xfId="12665" xr:uid="{00000000-0005-0000-0000-0000C8200000}"/>
    <cellStyle name="Обычный 20 5 8" xfId="13651" xr:uid="{00000000-0005-0000-0000-0000C9200000}"/>
    <cellStyle name="Обычный 20 5 9" xfId="14651" xr:uid="{00000000-0005-0000-0000-0000CA200000}"/>
    <cellStyle name="Обычный 20 6" xfId="7001" xr:uid="{00000000-0005-0000-0000-0000CB200000}"/>
    <cellStyle name="Обычный 20 7" xfId="8007" xr:uid="{00000000-0005-0000-0000-0000CC200000}"/>
    <cellStyle name="Обычный 20 8" xfId="8993" xr:uid="{00000000-0005-0000-0000-0000CD200000}"/>
    <cellStyle name="Обычный 20 9" xfId="9979" xr:uid="{00000000-0005-0000-0000-0000CE200000}"/>
    <cellStyle name="Обычный 21" xfId="3384" xr:uid="{00000000-0005-0000-0000-0000CF200000}"/>
    <cellStyle name="Обычный 21 10" xfId="10966" xr:uid="{00000000-0005-0000-0000-0000D0200000}"/>
    <cellStyle name="Обычный 21 11" xfId="11952" xr:uid="{00000000-0005-0000-0000-0000D1200000}"/>
    <cellStyle name="Обычный 21 12" xfId="12938" xr:uid="{00000000-0005-0000-0000-0000D2200000}"/>
    <cellStyle name="Обычный 21 13" xfId="13938" xr:uid="{00000000-0005-0000-0000-0000D3200000}"/>
    <cellStyle name="Обычный 21 14" xfId="14924" xr:uid="{00000000-0005-0000-0000-0000D4200000}"/>
    <cellStyle name="Обычный 21 2" xfId="6043" xr:uid="{00000000-0005-0000-0000-0000D5200000}"/>
    <cellStyle name="Обычный 21 2 10" xfId="12997" xr:uid="{00000000-0005-0000-0000-0000D6200000}"/>
    <cellStyle name="Обычный 21 2 11" xfId="13997" xr:uid="{00000000-0005-0000-0000-0000D7200000}"/>
    <cellStyle name="Обычный 21 2 12" xfId="14983" xr:uid="{00000000-0005-0000-0000-0000D8200000}"/>
    <cellStyle name="Обычный 21 2 2" xfId="6508" xr:uid="{00000000-0005-0000-0000-0000D9200000}"/>
    <cellStyle name="Обычный 21 2 2 10" xfId="15427" xr:uid="{00000000-0005-0000-0000-0000DA200000}"/>
    <cellStyle name="Обычный 21 2 2 2" xfId="7505" xr:uid="{00000000-0005-0000-0000-0000DB200000}"/>
    <cellStyle name="Обычный 21 2 2 3" xfId="8511" xr:uid="{00000000-0005-0000-0000-0000DC200000}"/>
    <cellStyle name="Обычный 21 2 2 4" xfId="9497" xr:uid="{00000000-0005-0000-0000-0000DD200000}"/>
    <cellStyle name="Обычный 21 2 2 5" xfId="10483" xr:uid="{00000000-0005-0000-0000-0000DE200000}"/>
    <cellStyle name="Обычный 21 2 2 6" xfId="11469" xr:uid="{00000000-0005-0000-0000-0000DF200000}"/>
    <cellStyle name="Обычный 21 2 2 7" xfId="12455" xr:uid="{00000000-0005-0000-0000-0000E0200000}"/>
    <cellStyle name="Обычный 21 2 2 8" xfId="13441" xr:uid="{00000000-0005-0000-0000-0000E1200000}"/>
    <cellStyle name="Обычный 21 2 2 9" xfId="14441" xr:uid="{00000000-0005-0000-0000-0000E2200000}"/>
    <cellStyle name="Обычный 21 2 3" xfId="6778" xr:uid="{00000000-0005-0000-0000-0000E3200000}"/>
    <cellStyle name="Обычный 21 2 3 10" xfId="15697" xr:uid="{00000000-0005-0000-0000-0000E4200000}"/>
    <cellStyle name="Обычный 21 2 3 2" xfId="7775" xr:uid="{00000000-0005-0000-0000-0000E5200000}"/>
    <cellStyle name="Обычный 21 2 3 3" xfId="8781" xr:uid="{00000000-0005-0000-0000-0000E6200000}"/>
    <cellStyle name="Обычный 21 2 3 4" xfId="9767" xr:uid="{00000000-0005-0000-0000-0000E7200000}"/>
    <cellStyle name="Обычный 21 2 3 5" xfId="10753" xr:uid="{00000000-0005-0000-0000-0000E8200000}"/>
    <cellStyle name="Обычный 21 2 3 6" xfId="11739" xr:uid="{00000000-0005-0000-0000-0000E9200000}"/>
    <cellStyle name="Обычный 21 2 3 7" xfId="12725" xr:uid="{00000000-0005-0000-0000-0000EA200000}"/>
    <cellStyle name="Обычный 21 2 3 8" xfId="13711" xr:uid="{00000000-0005-0000-0000-0000EB200000}"/>
    <cellStyle name="Обычный 21 2 3 9" xfId="14711" xr:uid="{00000000-0005-0000-0000-0000EC200000}"/>
    <cellStyle name="Обычный 21 2 4" xfId="7061" xr:uid="{00000000-0005-0000-0000-0000ED200000}"/>
    <cellStyle name="Обычный 21 2 5" xfId="8067" xr:uid="{00000000-0005-0000-0000-0000EE200000}"/>
    <cellStyle name="Обычный 21 2 6" xfId="9053" xr:uid="{00000000-0005-0000-0000-0000EF200000}"/>
    <cellStyle name="Обычный 21 2 7" xfId="10039" xr:uid="{00000000-0005-0000-0000-0000F0200000}"/>
    <cellStyle name="Обычный 21 2 8" xfId="11025" xr:uid="{00000000-0005-0000-0000-0000F1200000}"/>
    <cellStyle name="Обычный 21 2 9" xfId="12011" xr:uid="{00000000-0005-0000-0000-0000F2200000}"/>
    <cellStyle name="Обычный 21 3" xfId="6100" xr:uid="{00000000-0005-0000-0000-0000F3200000}"/>
    <cellStyle name="Обычный 21 3 10" xfId="13050" xr:uid="{00000000-0005-0000-0000-0000F4200000}"/>
    <cellStyle name="Обычный 21 3 11" xfId="14050" xr:uid="{00000000-0005-0000-0000-0000F5200000}"/>
    <cellStyle name="Обычный 21 3 12" xfId="15036" xr:uid="{00000000-0005-0000-0000-0000F6200000}"/>
    <cellStyle name="Обычный 21 3 2" xfId="6561" xr:uid="{00000000-0005-0000-0000-0000F7200000}"/>
    <cellStyle name="Обычный 21 3 2 10" xfId="15480" xr:uid="{00000000-0005-0000-0000-0000F8200000}"/>
    <cellStyle name="Обычный 21 3 2 2" xfId="7558" xr:uid="{00000000-0005-0000-0000-0000F9200000}"/>
    <cellStyle name="Обычный 21 3 2 3" xfId="8564" xr:uid="{00000000-0005-0000-0000-0000FA200000}"/>
    <cellStyle name="Обычный 21 3 2 4" xfId="9550" xr:uid="{00000000-0005-0000-0000-0000FB200000}"/>
    <cellStyle name="Обычный 21 3 2 5" xfId="10536" xr:uid="{00000000-0005-0000-0000-0000FC200000}"/>
    <cellStyle name="Обычный 21 3 2 6" xfId="11522" xr:uid="{00000000-0005-0000-0000-0000FD200000}"/>
    <cellStyle name="Обычный 21 3 2 7" xfId="12508" xr:uid="{00000000-0005-0000-0000-0000FE200000}"/>
    <cellStyle name="Обычный 21 3 2 8" xfId="13494" xr:uid="{00000000-0005-0000-0000-0000FF200000}"/>
    <cellStyle name="Обычный 21 3 2 9" xfId="14494" xr:uid="{00000000-0005-0000-0000-000000210000}"/>
    <cellStyle name="Обычный 21 3 3" xfId="6831" xr:uid="{00000000-0005-0000-0000-000001210000}"/>
    <cellStyle name="Обычный 21 3 3 10" xfId="15750" xr:uid="{00000000-0005-0000-0000-000002210000}"/>
    <cellStyle name="Обычный 21 3 3 2" xfId="7828" xr:uid="{00000000-0005-0000-0000-000003210000}"/>
    <cellStyle name="Обычный 21 3 3 3" xfId="8834" xr:uid="{00000000-0005-0000-0000-000004210000}"/>
    <cellStyle name="Обычный 21 3 3 4" xfId="9820" xr:uid="{00000000-0005-0000-0000-000005210000}"/>
    <cellStyle name="Обычный 21 3 3 5" xfId="10806" xr:uid="{00000000-0005-0000-0000-000006210000}"/>
    <cellStyle name="Обычный 21 3 3 6" xfId="11792" xr:uid="{00000000-0005-0000-0000-000007210000}"/>
    <cellStyle name="Обычный 21 3 3 7" xfId="12778" xr:uid="{00000000-0005-0000-0000-000008210000}"/>
    <cellStyle name="Обычный 21 3 3 8" xfId="13764" xr:uid="{00000000-0005-0000-0000-000009210000}"/>
    <cellStyle name="Обычный 21 3 3 9" xfId="14764" xr:uid="{00000000-0005-0000-0000-00000A210000}"/>
    <cellStyle name="Обычный 21 3 4" xfId="7114" xr:uid="{00000000-0005-0000-0000-00000B210000}"/>
    <cellStyle name="Обычный 21 3 5" xfId="8120" xr:uid="{00000000-0005-0000-0000-00000C210000}"/>
    <cellStyle name="Обычный 21 3 6" xfId="9106" xr:uid="{00000000-0005-0000-0000-00000D210000}"/>
    <cellStyle name="Обычный 21 3 7" xfId="10092" xr:uid="{00000000-0005-0000-0000-00000E210000}"/>
    <cellStyle name="Обычный 21 3 8" xfId="11078" xr:uid="{00000000-0005-0000-0000-00000F210000}"/>
    <cellStyle name="Обычный 21 3 9" xfId="12064" xr:uid="{00000000-0005-0000-0000-000010210000}"/>
    <cellStyle name="Обычный 21 4" xfId="6449" xr:uid="{00000000-0005-0000-0000-000011210000}"/>
    <cellStyle name="Обычный 21 4 10" xfId="15368" xr:uid="{00000000-0005-0000-0000-000012210000}"/>
    <cellStyle name="Обычный 21 4 2" xfId="7446" xr:uid="{00000000-0005-0000-0000-000013210000}"/>
    <cellStyle name="Обычный 21 4 3" xfId="8452" xr:uid="{00000000-0005-0000-0000-000014210000}"/>
    <cellStyle name="Обычный 21 4 4" xfId="9438" xr:uid="{00000000-0005-0000-0000-000015210000}"/>
    <cellStyle name="Обычный 21 4 5" xfId="10424" xr:uid="{00000000-0005-0000-0000-000016210000}"/>
    <cellStyle name="Обычный 21 4 6" xfId="11410" xr:uid="{00000000-0005-0000-0000-000017210000}"/>
    <cellStyle name="Обычный 21 4 7" xfId="12396" xr:uid="{00000000-0005-0000-0000-000018210000}"/>
    <cellStyle name="Обычный 21 4 8" xfId="13382" xr:uid="{00000000-0005-0000-0000-000019210000}"/>
    <cellStyle name="Обычный 21 4 9" xfId="14382" xr:uid="{00000000-0005-0000-0000-00001A210000}"/>
    <cellStyle name="Обычный 21 5" xfId="6719" xr:uid="{00000000-0005-0000-0000-00001B210000}"/>
    <cellStyle name="Обычный 21 5 10" xfId="15638" xr:uid="{00000000-0005-0000-0000-00001C210000}"/>
    <cellStyle name="Обычный 21 5 2" xfId="7716" xr:uid="{00000000-0005-0000-0000-00001D210000}"/>
    <cellStyle name="Обычный 21 5 3" xfId="8722" xr:uid="{00000000-0005-0000-0000-00001E210000}"/>
    <cellStyle name="Обычный 21 5 4" xfId="9708" xr:uid="{00000000-0005-0000-0000-00001F210000}"/>
    <cellStyle name="Обычный 21 5 5" xfId="10694" xr:uid="{00000000-0005-0000-0000-000020210000}"/>
    <cellStyle name="Обычный 21 5 6" xfId="11680" xr:uid="{00000000-0005-0000-0000-000021210000}"/>
    <cellStyle name="Обычный 21 5 7" xfId="12666" xr:uid="{00000000-0005-0000-0000-000022210000}"/>
    <cellStyle name="Обычный 21 5 8" xfId="13652" xr:uid="{00000000-0005-0000-0000-000023210000}"/>
    <cellStyle name="Обычный 21 5 9" xfId="14652" xr:uid="{00000000-0005-0000-0000-000024210000}"/>
    <cellStyle name="Обычный 21 6" xfId="7002" xr:uid="{00000000-0005-0000-0000-000025210000}"/>
    <cellStyle name="Обычный 21 7" xfId="8008" xr:uid="{00000000-0005-0000-0000-000026210000}"/>
    <cellStyle name="Обычный 21 8" xfId="8994" xr:uid="{00000000-0005-0000-0000-000027210000}"/>
    <cellStyle name="Обычный 21 9" xfId="9980" xr:uid="{00000000-0005-0000-0000-000028210000}"/>
    <cellStyle name="Обычный 22" xfId="3427" xr:uid="{00000000-0005-0000-0000-000029210000}"/>
    <cellStyle name="Обычный 22 10" xfId="10989" xr:uid="{00000000-0005-0000-0000-00002A210000}"/>
    <cellStyle name="Обычный 22 11" xfId="11975" xr:uid="{00000000-0005-0000-0000-00002B210000}"/>
    <cellStyle name="Обычный 22 12" xfId="12961" xr:uid="{00000000-0005-0000-0000-00002C210000}"/>
    <cellStyle name="Обычный 22 13" xfId="13961" xr:uid="{00000000-0005-0000-0000-00002D210000}"/>
    <cellStyle name="Обычный 22 14" xfId="14947" xr:uid="{00000000-0005-0000-0000-00002E210000}"/>
    <cellStyle name="Обычный 22 2" xfId="6066" xr:uid="{00000000-0005-0000-0000-00002F210000}"/>
    <cellStyle name="Обычный 22 2 10" xfId="13020" xr:uid="{00000000-0005-0000-0000-000030210000}"/>
    <cellStyle name="Обычный 22 2 11" xfId="14020" xr:uid="{00000000-0005-0000-0000-000031210000}"/>
    <cellStyle name="Обычный 22 2 12" xfId="15006" xr:uid="{00000000-0005-0000-0000-000032210000}"/>
    <cellStyle name="Обычный 22 2 2" xfId="6531" xr:uid="{00000000-0005-0000-0000-000033210000}"/>
    <cellStyle name="Обычный 22 2 2 10" xfId="15450" xr:uid="{00000000-0005-0000-0000-000034210000}"/>
    <cellStyle name="Обычный 22 2 2 2" xfId="7528" xr:uid="{00000000-0005-0000-0000-000035210000}"/>
    <cellStyle name="Обычный 22 2 2 3" xfId="8534" xr:uid="{00000000-0005-0000-0000-000036210000}"/>
    <cellStyle name="Обычный 22 2 2 4" xfId="9520" xr:uid="{00000000-0005-0000-0000-000037210000}"/>
    <cellStyle name="Обычный 22 2 2 5" xfId="10506" xr:uid="{00000000-0005-0000-0000-000038210000}"/>
    <cellStyle name="Обычный 22 2 2 6" xfId="11492" xr:uid="{00000000-0005-0000-0000-000039210000}"/>
    <cellStyle name="Обычный 22 2 2 7" xfId="12478" xr:uid="{00000000-0005-0000-0000-00003A210000}"/>
    <cellStyle name="Обычный 22 2 2 8" xfId="13464" xr:uid="{00000000-0005-0000-0000-00003B210000}"/>
    <cellStyle name="Обычный 22 2 2 9" xfId="14464" xr:uid="{00000000-0005-0000-0000-00003C210000}"/>
    <cellStyle name="Обычный 22 2 3" xfId="6801" xr:uid="{00000000-0005-0000-0000-00003D210000}"/>
    <cellStyle name="Обычный 22 2 3 10" xfId="15720" xr:uid="{00000000-0005-0000-0000-00003E210000}"/>
    <cellStyle name="Обычный 22 2 3 2" xfId="7798" xr:uid="{00000000-0005-0000-0000-00003F210000}"/>
    <cellStyle name="Обычный 22 2 3 3" xfId="8804" xr:uid="{00000000-0005-0000-0000-000040210000}"/>
    <cellStyle name="Обычный 22 2 3 4" xfId="9790" xr:uid="{00000000-0005-0000-0000-000041210000}"/>
    <cellStyle name="Обычный 22 2 3 5" xfId="10776" xr:uid="{00000000-0005-0000-0000-000042210000}"/>
    <cellStyle name="Обычный 22 2 3 6" xfId="11762" xr:uid="{00000000-0005-0000-0000-000043210000}"/>
    <cellStyle name="Обычный 22 2 3 7" xfId="12748" xr:uid="{00000000-0005-0000-0000-000044210000}"/>
    <cellStyle name="Обычный 22 2 3 8" xfId="13734" xr:uid="{00000000-0005-0000-0000-000045210000}"/>
    <cellStyle name="Обычный 22 2 3 9" xfId="14734" xr:uid="{00000000-0005-0000-0000-000046210000}"/>
    <cellStyle name="Обычный 22 2 4" xfId="7084" xr:uid="{00000000-0005-0000-0000-000047210000}"/>
    <cellStyle name="Обычный 22 2 5" xfId="8090" xr:uid="{00000000-0005-0000-0000-000048210000}"/>
    <cellStyle name="Обычный 22 2 6" xfId="9076" xr:uid="{00000000-0005-0000-0000-000049210000}"/>
    <cellStyle name="Обычный 22 2 7" xfId="10062" xr:uid="{00000000-0005-0000-0000-00004A210000}"/>
    <cellStyle name="Обычный 22 2 8" xfId="11048" xr:uid="{00000000-0005-0000-0000-00004B210000}"/>
    <cellStyle name="Обычный 22 2 9" xfId="12034" xr:uid="{00000000-0005-0000-0000-00004C210000}"/>
    <cellStyle name="Обычный 22 3" xfId="6123" xr:uid="{00000000-0005-0000-0000-00004D210000}"/>
    <cellStyle name="Обычный 22 3 10" xfId="13073" xr:uid="{00000000-0005-0000-0000-00004E210000}"/>
    <cellStyle name="Обычный 22 3 11" xfId="14073" xr:uid="{00000000-0005-0000-0000-00004F210000}"/>
    <cellStyle name="Обычный 22 3 12" xfId="15059" xr:uid="{00000000-0005-0000-0000-000050210000}"/>
    <cellStyle name="Обычный 22 3 2" xfId="6584" xr:uid="{00000000-0005-0000-0000-000051210000}"/>
    <cellStyle name="Обычный 22 3 2 10" xfId="15503" xr:uid="{00000000-0005-0000-0000-000052210000}"/>
    <cellStyle name="Обычный 22 3 2 2" xfId="7581" xr:uid="{00000000-0005-0000-0000-000053210000}"/>
    <cellStyle name="Обычный 22 3 2 3" xfId="8587" xr:uid="{00000000-0005-0000-0000-000054210000}"/>
    <cellStyle name="Обычный 22 3 2 4" xfId="9573" xr:uid="{00000000-0005-0000-0000-000055210000}"/>
    <cellStyle name="Обычный 22 3 2 5" xfId="10559" xr:uid="{00000000-0005-0000-0000-000056210000}"/>
    <cellStyle name="Обычный 22 3 2 6" xfId="11545" xr:uid="{00000000-0005-0000-0000-000057210000}"/>
    <cellStyle name="Обычный 22 3 2 7" xfId="12531" xr:uid="{00000000-0005-0000-0000-000058210000}"/>
    <cellStyle name="Обычный 22 3 2 8" xfId="13517" xr:uid="{00000000-0005-0000-0000-000059210000}"/>
    <cellStyle name="Обычный 22 3 2 9" xfId="14517" xr:uid="{00000000-0005-0000-0000-00005A210000}"/>
    <cellStyle name="Обычный 22 3 3" xfId="6854" xr:uid="{00000000-0005-0000-0000-00005B210000}"/>
    <cellStyle name="Обычный 22 3 3 10" xfId="15773" xr:uid="{00000000-0005-0000-0000-00005C210000}"/>
    <cellStyle name="Обычный 22 3 3 2" xfId="7851" xr:uid="{00000000-0005-0000-0000-00005D210000}"/>
    <cellStyle name="Обычный 22 3 3 3" xfId="8857" xr:uid="{00000000-0005-0000-0000-00005E210000}"/>
    <cellStyle name="Обычный 22 3 3 4" xfId="9843" xr:uid="{00000000-0005-0000-0000-00005F210000}"/>
    <cellStyle name="Обычный 22 3 3 5" xfId="10829" xr:uid="{00000000-0005-0000-0000-000060210000}"/>
    <cellStyle name="Обычный 22 3 3 6" xfId="11815" xr:uid="{00000000-0005-0000-0000-000061210000}"/>
    <cellStyle name="Обычный 22 3 3 7" xfId="12801" xr:uid="{00000000-0005-0000-0000-000062210000}"/>
    <cellStyle name="Обычный 22 3 3 8" xfId="13787" xr:uid="{00000000-0005-0000-0000-000063210000}"/>
    <cellStyle name="Обычный 22 3 3 9" xfId="14787" xr:uid="{00000000-0005-0000-0000-000064210000}"/>
    <cellStyle name="Обычный 22 3 4" xfId="7137" xr:uid="{00000000-0005-0000-0000-000065210000}"/>
    <cellStyle name="Обычный 22 3 5" xfId="8143" xr:uid="{00000000-0005-0000-0000-000066210000}"/>
    <cellStyle name="Обычный 22 3 6" xfId="9129" xr:uid="{00000000-0005-0000-0000-000067210000}"/>
    <cellStyle name="Обычный 22 3 7" xfId="10115" xr:uid="{00000000-0005-0000-0000-000068210000}"/>
    <cellStyle name="Обычный 22 3 8" xfId="11101" xr:uid="{00000000-0005-0000-0000-000069210000}"/>
    <cellStyle name="Обычный 22 3 9" xfId="12087" xr:uid="{00000000-0005-0000-0000-00006A210000}"/>
    <cellStyle name="Обычный 22 4" xfId="6472" xr:uid="{00000000-0005-0000-0000-00006B210000}"/>
    <cellStyle name="Обычный 22 4 10" xfId="15391" xr:uid="{00000000-0005-0000-0000-00006C210000}"/>
    <cellStyle name="Обычный 22 4 2" xfId="7469" xr:uid="{00000000-0005-0000-0000-00006D210000}"/>
    <cellStyle name="Обычный 22 4 3" xfId="8475" xr:uid="{00000000-0005-0000-0000-00006E210000}"/>
    <cellStyle name="Обычный 22 4 4" xfId="9461" xr:uid="{00000000-0005-0000-0000-00006F210000}"/>
    <cellStyle name="Обычный 22 4 5" xfId="10447" xr:uid="{00000000-0005-0000-0000-000070210000}"/>
    <cellStyle name="Обычный 22 4 6" xfId="11433" xr:uid="{00000000-0005-0000-0000-000071210000}"/>
    <cellStyle name="Обычный 22 4 7" xfId="12419" xr:uid="{00000000-0005-0000-0000-000072210000}"/>
    <cellStyle name="Обычный 22 4 8" xfId="13405" xr:uid="{00000000-0005-0000-0000-000073210000}"/>
    <cellStyle name="Обычный 22 4 9" xfId="14405" xr:uid="{00000000-0005-0000-0000-000074210000}"/>
    <cellStyle name="Обычный 22 5" xfId="6742" xr:uid="{00000000-0005-0000-0000-000075210000}"/>
    <cellStyle name="Обычный 22 5 10" xfId="15661" xr:uid="{00000000-0005-0000-0000-000076210000}"/>
    <cellStyle name="Обычный 22 5 2" xfId="7739" xr:uid="{00000000-0005-0000-0000-000077210000}"/>
    <cellStyle name="Обычный 22 5 3" xfId="8745" xr:uid="{00000000-0005-0000-0000-000078210000}"/>
    <cellStyle name="Обычный 22 5 4" xfId="9731" xr:uid="{00000000-0005-0000-0000-000079210000}"/>
    <cellStyle name="Обычный 22 5 5" xfId="10717" xr:uid="{00000000-0005-0000-0000-00007A210000}"/>
    <cellStyle name="Обычный 22 5 6" xfId="11703" xr:uid="{00000000-0005-0000-0000-00007B210000}"/>
    <cellStyle name="Обычный 22 5 7" xfId="12689" xr:uid="{00000000-0005-0000-0000-00007C210000}"/>
    <cellStyle name="Обычный 22 5 8" xfId="13675" xr:uid="{00000000-0005-0000-0000-00007D210000}"/>
    <cellStyle name="Обычный 22 5 9" xfId="14675" xr:uid="{00000000-0005-0000-0000-00007E210000}"/>
    <cellStyle name="Обычный 22 6" xfId="7025" xr:uid="{00000000-0005-0000-0000-00007F210000}"/>
    <cellStyle name="Обычный 22 7" xfId="8031" xr:uid="{00000000-0005-0000-0000-000080210000}"/>
    <cellStyle name="Обычный 22 8" xfId="9017" xr:uid="{00000000-0005-0000-0000-000081210000}"/>
    <cellStyle name="Обычный 22 9" xfId="10003" xr:uid="{00000000-0005-0000-0000-000082210000}"/>
    <cellStyle name="Обычный 23" xfId="3444" xr:uid="{00000000-0005-0000-0000-000083210000}"/>
    <cellStyle name="Обычный 24" xfId="6127" xr:uid="{00000000-0005-0000-0000-000084210000}"/>
    <cellStyle name="Обычный 24 10" xfId="12090" xr:uid="{00000000-0005-0000-0000-000085210000}"/>
    <cellStyle name="Обычный 24 11" xfId="13076" xr:uid="{00000000-0005-0000-0000-000086210000}"/>
    <cellStyle name="Обычный 24 12" xfId="14076" xr:uid="{00000000-0005-0000-0000-000087210000}"/>
    <cellStyle name="Обычный 24 13" xfId="15062" xr:uid="{00000000-0005-0000-0000-000088210000}"/>
    <cellStyle name="Обычный 24 2" xfId="6130" xr:uid="{00000000-0005-0000-0000-000089210000}"/>
    <cellStyle name="Обычный 24 2 10" xfId="12093" xr:uid="{00000000-0005-0000-0000-00008A210000}"/>
    <cellStyle name="Обычный 24 2 11" xfId="13079" xr:uid="{00000000-0005-0000-0000-00008B210000}"/>
    <cellStyle name="Обычный 24 2 12" xfId="14079" xr:uid="{00000000-0005-0000-0000-00008C210000}"/>
    <cellStyle name="Обычный 24 2 13" xfId="15065" xr:uid="{00000000-0005-0000-0000-00008D210000}"/>
    <cellStyle name="Обычный 24 2 2" xfId="6135" xr:uid="{00000000-0005-0000-0000-00008E210000}"/>
    <cellStyle name="Обычный 24 2 2 10" xfId="12098" xr:uid="{00000000-0005-0000-0000-00008F210000}"/>
    <cellStyle name="Обычный 24 2 2 11" xfId="13084" xr:uid="{00000000-0005-0000-0000-000090210000}"/>
    <cellStyle name="Обычный 24 2 2 12" xfId="14084" xr:uid="{00000000-0005-0000-0000-000091210000}"/>
    <cellStyle name="Обычный 24 2 2 13" xfId="15070" xr:uid="{00000000-0005-0000-0000-000092210000}"/>
    <cellStyle name="Обычный 24 2 2 2" xfId="6150" xr:uid="{00000000-0005-0000-0000-000093210000}"/>
    <cellStyle name="Обычный 24 2 2 2 10" xfId="6878" xr:uid="{00000000-0005-0000-0000-000094210000}"/>
    <cellStyle name="Обычный 24 2 2 2 10 10" xfId="15797" xr:uid="{00000000-0005-0000-0000-000095210000}"/>
    <cellStyle name="Обычный 24 2 2 2 10 2" xfId="7875" xr:uid="{00000000-0005-0000-0000-000096210000}"/>
    <cellStyle name="Обычный 24 2 2 2 10 3" xfId="8881" xr:uid="{00000000-0005-0000-0000-000097210000}"/>
    <cellStyle name="Обычный 24 2 2 2 10 4" xfId="9867" xr:uid="{00000000-0005-0000-0000-000098210000}"/>
    <cellStyle name="Обычный 24 2 2 2 10 5" xfId="10853" xr:uid="{00000000-0005-0000-0000-000099210000}"/>
    <cellStyle name="Обычный 24 2 2 2 10 6" xfId="11839" xr:uid="{00000000-0005-0000-0000-00009A210000}"/>
    <cellStyle name="Обычный 24 2 2 2 10 7" xfId="12825" xr:uid="{00000000-0005-0000-0000-00009B210000}"/>
    <cellStyle name="Обычный 24 2 2 2 10 8" xfId="13811" xr:uid="{00000000-0005-0000-0000-00009C210000}"/>
    <cellStyle name="Обычный 24 2 2 2 10 9" xfId="14811" xr:uid="{00000000-0005-0000-0000-00009D210000}"/>
    <cellStyle name="Обычный 24 2 2 2 11" xfId="7161" xr:uid="{00000000-0005-0000-0000-00009E210000}"/>
    <cellStyle name="Обычный 24 2 2 2 11 3" xfId="6259" xr:uid="{00000000-0005-0000-0000-00009F210000}"/>
    <cellStyle name="Обычный 24 2 2 2 11 3 10" xfId="12206" xr:uid="{00000000-0005-0000-0000-0000A0210000}"/>
    <cellStyle name="Обычный 24 2 2 2 11 3 11" xfId="13192" xr:uid="{00000000-0005-0000-0000-0000A1210000}"/>
    <cellStyle name="Обычный 24 2 2 2 11 3 12" xfId="14192" xr:uid="{00000000-0005-0000-0000-0000A2210000}"/>
    <cellStyle name="Обычный 24 2 2 2 11 3 13" xfId="15178" xr:uid="{00000000-0005-0000-0000-0000A3210000}"/>
    <cellStyle name="Обычный 24 2 2 2 11 3 2" xfId="6277" xr:uid="{00000000-0005-0000-0000-0000A4210000}"/>
    <cellStyle name="Обычный 24 2 2 2 11 3 2 10" xfId="15196" xr:uid="{00000000-0005-0000-0000-0000A5210000}"/>
    <cellStyle name="Обычный 24 2 2 2 11 3 2 2" xfId="7274" xr:uid="{00000000-0005-0000-0000-0000A6210000}"/>
    <cellStyle name="Обычный 24 2 2 2 11 3 2 3" xfId="8280" xr:uid="{00000000-0005-0000-0000-0000A7210000}"/>
    <cellStyle name="Обычный 24 2 2 2 11 3 2 4" xfId="9266" xr:uid="{00000000-0005-0000-0000-0000A8210000}"/>
    <cellStyle name="Обычный 24 2 2 2 11 3 2 5" xfId="10252" xr:uid="{00000000-0005-0000-0000-0000A9210000}"/>
    <cellStyle name="Обычный 24 2 2 2 11 3 2 6" xfId="11238" xr:uid="{00000000-0005-0000-0000-0000AA210000}"/>
    <cellStyle name="Обычный 24 2 2 2 11 3 2 7" xfId="12224" xr:uid="{00000000-0005-0000-0000-0000AB210000}"/>
    <cellStyle name="Обычный 24 2 2 2 11 3 2 8" xfId="13210" xr:uid="{00000000-0005-0000-0000-0000AC210000}"/>
    <cellStyle name="Обычный 24 2 2 2 11 3 2 9" xfId="14210" xr:uid="{00000000-0005-0000-0000-0000AD210000}"/>
    <cellStyle name="Обычный 24 2 2 2 11 3 3" xfId="6290" xr:uid="{00000000-0005-0000-0000-0000AE210000}"/>
    <cellStyle name="Обычный 24 2 2 2 11 3 3 10" xfId="14223" xr:uid="{00000000-0005-0000-0000-0000AF210000}"/>
    <cellStyle name="Обычный 24 2 2 2 11 3 3 11" xfId="15209" xr:uid="{00000000-0005-0000-0000-0000B0210000}"/>
    <cellStyle name="Обычный 24 2 2 2 11 3 3 2" xfId="6322" xr:uid="{00000000-0005-0000-0000-0000B1210000}"/>
    <cellStyle name="Обычный 24 2 2 2 11 3 3 2 10" xfId="14255" xr:uid="{00000000-0005-0000-0000-0000B2210000}"/>
    <cellStyle name="Обычный 24 2 2 2 11 3 3 2 11" xfId="15241" xr:uid="{00000000-0005-0000-0000-0000B3210000}"/>
    <cellStyle name="Обычный 24 2 2 2 11 3 3 2 2" xfId="6336" xr:uid="{00000000-0005-0000-0000-0000B4210000}"/>
    <cellStyle name="Обычный 24 2 2 2 11 3 3 2 2 10" xfId="14269" xr:uid="{00000000-0005-0000-0000-0000B5210000}"/>
    <cellStyle name="Обычный 24 2 2 2 11 3 3 2 2 11" xfId="15255" xr:uid="{00000000-0005-0000-0000-0000B6210000}"/>
    <cellStyle name="Обычный 24 2 2 2 11 3 3 2 2 2" xfId="6354" xr:uid="{00000000-0005-0000-0000-0000B7210000}"/>
    <cellStyle name="Обычный 24 2 2 2 11 3 3 2 2 2 10" xfId="14287" xr:uid="{00000000-0005-0000-0000-0000B8210000}"/>
    <cellStyle name="Обычный 24 2 2 2 11 3 3 2 2 2 11" xfId="15273" xr:uid="{00000000-0005-0000-0000-0000B9210000}"/>
    <cellStyle name="Обычный 24 2 2 2 11 3 3 2 2 2 2" xfId="6368" xr:uid="{00000000-0005-0000-0000-0000BA210000}"/>
    <cellStyle name="Обычный 24 2 2 2 11 3 3 2 2 2 2 10" xfId="14301" xr:uid="{00000000-0005-0000-0000-0000BB210000}"/>
    <cellStyle name="Обычный 24 2 2 2 11 3 3 2 2 2 2 11" xfId="15287" xr:uid="{00000000-0005-0000-0000-0000BC210000}"/>
    <cellStyle name="Обычный 24 2 2 2 11 3 3 2 2 2 2 2" xfId="6383" xr:uid="{00000000-0005-0000-0000-0000BD210000}"/>
    <cellStyle name="Обычный 24 2 2 2 11 3 3 2 2 2 2 2 10" xfId="14316" xr:uid="{00000000-0005-0000-0000-0000BE210000}"/>
    <cellStyle name="Обычный 24 2 2 2 11 3 3 2 2 2 2 2 11" xfId="15302" xr:uid="{00000000-0005-0000-0000-0000BF210000}"/>
    <cellStyle name="Обычный 24 2 2 2 11 3 3 2 2 2 2 2 2" xfId="6401" xr:uid="{00000000-0005-0000-0000-0000C0210000}"/>
    <cellStyle name="Обычный 24 2 2 2 11 3 3 2 2 2 2 2 2 10" xfId="14334" xr:uid="{00000000-0005-0000-0000-0000C1210000}"/>
    <cellStyle name="Обычный 24 2 2 2 11 3 3 2 2 2 2 2 2 11" xfId="15320" xr:uid="{00000000-0005-0000-0000-0000C2210000}"/>
    <cellStyle name="Обычный 24 2 2 2 11 3 3 2 2 2 2 2 2 2" xfId="6411" xr:uid="{00000000-0005-0000-0000-0000C3210000}"/>
    <cellStyle name="Обычный 24 2 2 2 11 3 3 2 2 2 2 2 2 2 10" xfId="15330" xr:uid="{00000000-0005-0000-0000-0000C4210000}"/>
    <cellStyle name="Обычный 24 2 2 2 11 3 3 2 2 2 2 2 2 2 2" xfId="7408" xr:uid="{00000000-0005-0000-0000-0000C5210000}"/>
    <cellStyle name="Обычный 24 2 2 2 11 3 3 2 2 2 2 2 2 2 3" xfId="8414" xr:uid="{00000000-0005-0000-0000-0000C6210000}"/>
    <cellStyle name="Обычный 24 2 2 2 11 3 3 2 2 2 2 2 2 2 4" xfId="9400" xr:uid="{00000000-0005-0000-0000-0000C7210000}"/>
    <cellStyle name="Обычный 24 2 2 2 11 3 3 2 2 2 2 2 2 2 5" xfId="10386" xr:uid="{00000000-0005-0000-0000-0000C8210000}"/>
    <cellStyle name="Обычный 24 2 2 2 11 3 3 2 2 2 2 2 2 2 6" xfId="11372" xr:uid="{00000000-0005-0000-0000-0000C9210000}"/>
    <cellStyle name="Обычный 24 2 2 2 11 3 3 2 2 2 2 2 2 2 7" xfId="12358" xr:uid="{00000000-0005-0000-0000-0000CA210000}"/>
    <cellStyle name="Обычный 24 2 2 2 11 3 3 2 2 2 2 2 2 2 8" xfId="13344" xr:uid="{00000000-0005-0000-0000-0000CB210000}"/>
    <cellStyle name="Обычный 24 2 2 2 11 3 3 2 2 2 2 2 2 2 9" xfId="14344" xr:uid="{00000000-0005-0000-0000-0000CC210000}"/>
    <cellStyle name="Обычный 24 2 2 2 11 3 3 2 2 2 2 2 2 3" xfId="7398" xr:uid="{00000000-0005-0000-0000-0000CD210000}"/>
    <cellStyle name="Обычный 24 2 2 2 11 3 3 2 2 2 2 2 2 4" xfId="8404" xr:uid="{00000000-0005-0000-0000-0000CE210000}"/>
    <cellStyle name="Обычный 24 2 2 2 11 3 3 2 2 2 2 2 2 4 2 2 2" xfId="6966" xr:uid="{00000000-0005-0000-0000-0000CF210000}"/>
    <cellStyle name="Обычный 24 2 2 2 11 3 3 2 2 2 2 2 2 4 2 2 2 2" xfId="7972" xr:uid="{00000000-0005-0000-0000-0000D0210000}"/>
    <cellStyle name="Обычный 24 2 2 2 11 3 3 2 2 2 2 2 2 4 2 2 2 2 2" xfId="13900" xr:uid="{00000000-0005-0000-0000-0000D1210000}"/>
    <cellStyle name="Обычный 24 2 2 2 11 3 3 2 2 2 2 2 2 4 2 2 2 2 2 2" xfId="15886" xr:uid="{00000000-0005-0000-0000-0000D2210000}"/>
    <cellStyle name="Обычный 24 2 2 2 11 3 3 2 2 2 2 2 2 4 2 2 2 2 2 3" xfId="15900" xr:uid="{00000000-0005-0000-0000-0000D3210000}"/>
    <cellStyle name="Обычный 24 2 2 2 11 3 3 2 2 2 2 2 2 4 2 2 2 3" xfId="13909" xr:uid="{00000000-0005-0000-0000-0000D4210000}"/>
    <cellStyle name="Обычный 24 2 2 2 11 3 3 2 2 2 2 2 2 4 2 2 2 3 2" xfId="15895" xr:uid="{00000000-0005-0000-0000-0000D5210000}"/>
    <cellStyle name="Обычный 24 2 2 2 11 3 3 2 2 2 2 2 2 4 2 2 2 3 3" xfId="15910" xr:uid="{00000000-0005-0000-0000-0000D6210000}"/>
    <cellStyle name="Обычный 24 2 2 2 11 3 3 2 2 2 2 2 2 5" xfId="9390" xr:uid="{00000000-0005-0000-0000-0000D7210000}"/>
    <cellStyle name="Обычный 24 2 2 2 11 3 3 2 2 2 2 2 2 6" xfId="10376" xr:uid="{00000000-0005-0000-0000-0000D8210000}"/>
    <cellStyle name="Обычный 24 2 2 2 11 3 3 2 2 2 2 2 2 7" xfId="11362" xr:uid="{00000000-0005-0000-0000-0000D9210000}"/>
    <cellStyle name="Обычный 24 2 2 2 11 3 3 2 2 2 2 2 2 8" xfId="12348" xr:uid="{00000000-0005-0000-0000-0000DA210000}"/>
    <cellStyle name="Обычный 24 2 2 2 11 3 3 2 2 2 2 2 2 9" xfId="13334" xr:uid="{00000000-0005-0000-0000-0000DB210000}"/>
    <cellStyle name="Обычный 24 2 2 2 11 3 3 2 2 2 2 2 3" xfId="7380" xr:uid="{00000000-0005-0000-0000-0000DC210000}"/>
    <cellStyle name="Обычный 24 2 2 2 11 3 3 2 2 2 2 2 4" xfId="8386" xr:uid="{00000000-0005-0000-0000-0000DD210000}"/>
    <cellStyle name="Обычный 24 2 2 2 11 3 3 2 2 2 2 2 5" xfId="9372" xr:uid="{00000000-0005-0000-0000-0000DE210000}"/>
    <cellStyle name="Обычный 24 2 2 2 11 3 3 2 2 2 2 2 6" xfId="10358" xr:uid="{00000000-0005-0000-0000-0000DF210000}"/>
    <cellStyle name="Обычный 24 2 2 2 11 3 3 2 2 2 2 2 7" xfId="11344" xr:uid="{00000000-0005-0000-0000-0000E0210000}"/>
    <cellStyle name="Обычный 24 2 2 2 11 3 3 2 2 2 2 2 8" xfId="12330" xr:uid="{00000000-0005-0000-0000-0000E1210000}"/>
    <cellStyle name="Обычный 24 2 2 2 11 3 3 2 2 2 2 2 9" xfId="13316" xr:uid="{00000000-0005-0000-0000-0000E2210000}"/>
    <cellStyle name="Обычный 24 2 2 2 11 3 3 2 2 2 2 3" xfId="7365" xr:uid="{00000000-0005-0000-0000-0000E3210000}"/>
    <cellStyle name="Обычный 24 2 2 2 11 3 3 2 2 2 2 4" xfId="8371" xr:uid="{00000000-0005-0000-0000-0000E4210000}"/>
    <cellStyle name="Обычный 24 2 2 2 11 3 3 2 2 2 2 5" xfId="9357" xr:uid="{00000000-0005-0000-0000-0000E5210000}"/>
    <cellStyle name="Обычный 24 2 2 2 11 3 3 2 2 2 2 6" xfId="10343" xr:uid="{00000000-0005-0000-0000-0000E6210000}"/>
    <cellStyle name="Обычный 24 2 2 2 11 3 3 2 2 2 2 7" xfId="11329" xr:uid="{00000000-0005-0000-0000-0000E7210000}"/>
    <cellStyle name="Обычный 24 2 2 2 11 3 3 2 2 2 2 8" xfId="12315" xr:uid="{00000000-0005-0000-0000-0000E8210000}"/>
    <cellStyle name="Обычный 24 2 2 2 11 3 3 2 2 2 2 9" xfId="13301" xr:uid="{00000000-0005-0000-0000-0000E9210000}"/>
    <cellStyle name="Обычный 24 2 2 2 11 3 3 2 2 2 3" xfId="7351" xr:uid="{00000000-0005-0000-0000-0000EA210000}"/>
    <cellStyle name="Обычный 24 2 2 2 11 3 3 2 2 2 4" xfId="8357" xr:uid="{00000000-0005-0000-0000-0000EB210000}"/>
    <cellStyle name="Обычный 24 2 2 2 11 3 3 2 2 2 5" xfId="9343" xr:uid="{00000000-0005-0000-0000-0000EC210000}"/>
    <cellStyle name="Обычный 24 2 2 2 11 3 3 2 2 2 6" xfId="10329" xr:uid="{00000000-0005-0000-0000-0000ED210000}"/>
    <cellStyle name="Обычный 24 2 2 2 11 3 3 2 2 2 7" xfId="11315" xr:uid="{00000000-0005-0000-0000-0000EE210000}"/>
    <cellStyle name="Обычный 24 2 2 2 11 3 3 2 2 2 8" xfId="12301" xr:uid="{00000000-0005-0000-0000-0000EF210000}"/>
    <cellStyle name="Обычный 24 2 2 2 11 3 3 2 2 2 9" xfId="13287" xr:uid="{00000000-0005-0000-0000-0000F0210000}"/>
    <cellStyle name="Обычный 24 2 2 2 11 3 3 2 2 3" xfId="7333" xr:uid="{00000000-0005-0000-0000-0000F1210000}"/>
    <cellStyle name="Обычный 24 2 2 2 11 3 3 2 2 4" xfId="8339" xr:uid="{00000000-0005-0000-0000-0000F2210000}"/>
    <cellStyle name="Обычный 24 2 2 2 11 3 3 2 2 5" xfId="9325" xr:uid="{00000000-0005-0000-0000-0000F3210000}"/>
    <cellStyle name="Обычный 24 2 2 2 11 3 3 2 2 6" xfId="10311" xr:uid="{00000000-0005-0000-0000-0000F4210000}"/>
    <cellStyle name="Обычный 24 2 2 2 11 3 3 2 2 7" xfId="11297" xr:uid="{00000000-0005-0000-0000-0000F5210000}"/>
    <cellStyle name="Обычный 24 2 2 2 11 3 3 2 2 8" xfId="12283" xr:uid="{00000000-0005-0000-0000-0000F6210000}"/>
    <cellStyle name="Обычный 24 2 2 2 11 3 3 2 2 9" xfId="13269" xr:uid="{00000000-0005-0000-0000-0000F7210000}"/>
    <cellStyle name="Обычный 24 2 2 2 11 3 3 2 3" xfId="7319" xr:uid="{00000000-0005-0000-0000-0000F8210000}"/>
    <cellStyle name="Обычный 24 2 2 2 11 3 3 2 4" xfId="8325" xr:uid="{00000000-0005-0000-0000-0000F9210000}"/>
    <cellStyle name="Обычный 24 2 2 2 11 3 3 2 5" xfId="9311" xr:uid="{00000000-0005-0000-0000-0000FA210000}"/>
    <cellStyle name="Обычный 24 2 2 2 11 3 3 2 6" xfId="10297" xr:uid="{00000000-0005-0000-0000-0000FB210000}"/>
    <cellStyle name="Обычный 24 2 2 2 11 3 3 2 7" xfId="11283" xr:uid="{00000000-0005-0000-0000-0000FC210000}"/>
    <cellStyle name="Обычный 24 2 2 2 11 3 3 2 8" xfId="12269" xr:uid="{00000000-0005-0000-0000-0000FD210000}"/>
    <cellStyle name="Обычный 24 2 2 2 11 3 3 2 9" xfId="13255" xr:uid="{00000000-0005-0000-0000-0000FE210000}"/>
    <cellStyle name="Обычный 24 2 2 2 11 3 3 3" xfId="7287" xr:uid="{00000000-0005-0000-0000-0000FF210000}"/>
    <cellStyle name="Обычный 24 2 2 2 11 3 3 4" xfId="8293" xr:uid="{00000000-0005-0000-0000-000000220000}"/>
    <cellStyle name="Обычный 24 2 2 2 11 3 3 5" xfId="9279" xr:uid="{00000000-0005-0000-0000-000001220000}"/>
    <cellStyle name="Обычный 24 2 2 2 11 3 3 6" xfId="10265" xr:uid="{00000000-0005-0000-0000-000002220000}"/>
    <cellStyle name="Обычный 24 2 2 2 11 3 3 7" xfId="11251" xr:uid="{00000000-0005-0000-0000-000003220000}"/>
    <cellStyle name="Обычный 24 2 2 2 11 3 3 8" xfId="12237" xr:uid="{00000000-0005-0000-0000-000004220000}"/>
    <cellStyle name="Обычный 24 2 2 2 11 3 3 9" xfId="13223" xr:uid="{00000000-0005-0000-0000-000005220000}"/>
    <cellStyle name="Обычный 24 2 2 2 11 3 4" xfId="6303" xr:uid="{00000000-0005-0000-0000-000006220000}"/>
    <cellStyle name="Обычный 24 2 2 2 11 3 4 10" xfId="14236" xr:uid="{00000000-0005-0000-0000-000007220000}"/>
    <cellStyle name="Обычный 24 2 2 2 11 3 4 11" xfId="15222" xr:uid="{00000000-0005-0000-0000-000008220000}"/>
    <cellStyle name="Обычный 24 2 2 2 11 3 4 2" xfId="6321" xr:uid="{00000000-0005-0000-0000-000009220000}"/>
    <cellStyle name="Обычный 24 2 2 2 11 3 4 2 10" xfId="14254" xr:uid="{00000000-0005-0000-0000-00000A220000}"/>
    <cellStyle name="Обычный 24 2 2 2 11 3 4 2 11" xfId="15240" xr:uid="{00000000-0005-0000-0000-00000B220000}"/>
    <cellStyle name="Обычный 24 2 2 2 11 3 4 2 2" xfId="6335" xr:uid="{00000000-0005-0000-0000-00000C220000}"/>
    <cellStyle name="Обычный 24 2 2 2 11 3 4 2 2 10" xfId="14268" xr:uid="{00000000-0005-0000-0000-00000D220000}"/>
    <cellStyle name="Обычный 24 2 2 2 11 3 4 2 2 11" xfId="15254" xr:uid="{00000000-0005-0000-0000-00000E220000}"/>
    <cellStyle name="Обычный 24 2 2 2 11 3 4 2 2 2" xfId="6353" xr:uid="{00000000-0005-0000-0000-00000F220000}"/>
    <cellStyle name="Обычный 24 2 2 2 11 3 4 2 2 2 10" xfId="14286" xr:uid="{00000000-0005-0000-0000-000010220000}"/>
    <cellStyle name="Обычный 24 2 2 2 11 3 4 2 2 2 11" xfId="15272" xr:uid="{00000000-0005-0000-0000-000011220000}"/>
    <cellStyle name="Обычный 24 2 2 2 11 3 4 2 2 2 2" xfId="6367" xr:uid="{00000000-0005-0000-0000-000012220000}"/>
    <cellStyle name="Обычный 24 2 2 2 11 3 4 2 2 2 2 10" xfId="14300" xr:uid="{00000000-0005-0000-0000-000013220000}"/>
    <cellStyle name="Обычный 24 2 2 2 11 3 4 2 2 2 2 11" xfId="15286" xr:uid="{00000000-0005-0000-0000-000014220000}"/>
    <cellStyle name="Обычный 24 2 2 2 11 3 4 2 2 2 2 2" xfId="6382" xr:uid="{00000000-0005-0000-0000-000015220000}"/>
    <cellStyle name="Обычный 24 2 2 2 11 3 4 2 2 2 2 2 10" xfId="15301" xr:uid="{00000000-0005-0000-0000-000016220000}"/>
    <cellStyle name="Обычный 24 2 2 2 11 3 4 2 2 2 2 2 2" xfId="7379" xr:uid="{00000000-0005-0000-0000-000017220000}"/>
    <cellStyle name="Обычный 24 2 2 2 11 3 4 2 2 2 2 2 3" xfId="8385" xr:uid="{00000000-0005-0000-0000-000018220000}"/>
    <cellStyle name="Обычный 24 2 2 2 11 3 4 2 2 2 2 2 4" xfId="9371" xr:uid="{00000000-0005-0000-0000-000019220000}"/>
    <cellStyle name="Обычный 24 2 2 2 11 3 4 2 2 2 2 2 5" xfId="10357" xr:uid="{00000000-0005-0000-0000-00001A220000}"/>
    <cellStyle name="Обычный 24 2 2 2 11 3 4 2 2 2 2 2 6" xfId="11343" xr:uid="{00000000-0005-0000-0000-00001B220000}"/>
    <cellStyle name="Обычный 24 2 2 2 11 3 4 2 2 2 2 2 7" xfId="12329" xr:uid="{00000000-0005-0000-0000-00001C220000}"/>
    <cellStyle name="Обычный 24 2 2 2 11 3 4 2 2 2 2 2 8" xfId="13315" xr:uid="{00000000-0005-0000-0000-00001D220000}"/>
    <cellStyle name="Обычный 24 2 2 2 11 3 4 2 2 2 2 2 9" xfId="14315" xr:uid="{00000000-0005-0000-0000-00001E220000}"/>
    <cellStyle name="Обычный 24 2 2 2 11 3 4 2 2 2 2 3" xfId="7364" xr:uid="{00000000-0005-0000-0000-00001F220000}"/>
    <cellStyle name="Обычный 24 2 2 2 11 3 4 2 2 2 2 4" xfId="8370" xr:uid="{00000000-0005-0000-0000-000020220000}"/>
    <cellStyle name="Обычный 24 2 2 2 11 3 4 2 2 2 2 5" xfId="9356" xr:uid="{00000000-0005-0000-0000-000021220000}"/>
    <cellStyle name="Обычный 24 2 2 2 11 3 4 2 2 2 2 6" xfId="10342" xr:uid="{00000000-0005-0000-0000-000022220000}"/>
    <cellStyle name="Обычный 24 2 2 2 11 3 4 2 2 2 2 7" xfId="11328" xr:uid="{00000000-0005-0000-0000-000023220000}"/>
    <cellStyle name="Обычный 24 2 2 2 11 3 4 2 2 2 2 8" xfId="12314" xr:uid="{00000000-0005-0000-0000-000024220000}"/>
    <cellStyle name="Обычный 24 2 2 2 11 3 4 2 2 2 2 9" xfId="13300" xr:uid="{00000000-0005-0000-0000-000025220000}"/>
    <cellStyle name="Обычный 24 2 2 2 11 3 4 2 2 2 3" xfId="7350" xr:uid="{00000000-0005-0000-0000-000026220000}"/>
    <cellStyle name="Обычный 24 2 2 2 11 3 4 2 2 2 4" xfId="8356" xr:uid="{00000000-0005-0000-0000-000027220000}"/>
    <cellStyle name="Обычный 24 2 2 2 11 3 4 2 2 2 5" xfId="9342" xr:uid="{00000000-0005-0000-0000-000028220000}"/>
    <cellStyle name="Обычный 24 2 2 2 11 3 4 2 2 2 6" xfId="10328" xr:uid="{00000000-0005-0000-0000-000029220000}"/>
    <cellStyle name="Обычный 24 2 2 2 11 3 4 2 2 2 7" xfId="11314" xr:uid="{00000000-0005-0000-0000-00002A220000}"/>
    <cellStyle name="Обычный 24 2 2 2 11 3 4 2 2 2 8" xfId="12300" xr:uid="{00000000-0005-0000-0000-00002B220000}"/>
    <cellStyle name="Обычный 24 2 2 2 11 3 4 2 2 2 9" xfId="13286" xr:uid="{00000000-0005-0000-0000-00002C220000}"/>
    <cellStyle name="Обычный 24 2 2 2 11 3 4 2 2 3" xfId="7332" xr:uid="{00000000-0005-0000-0000-00002D220000}"/>
    <cellStyle name="Обычный 24 2 2 2 11 3 4 2 2 4" xfId="8338" xr:uid="{00000000-0005-0000-0000-00002E220000}"/>
    <cellStyle name="Обычный 24 2 2 2 11 3 4 2 2 5" xfId="9324" xr:uid="{00000000-0005-0000-0000-00002F220000}"/>
    <cellStyle name="Обычный 24 2 2 2 11 3 4 2 2 6" xfId="10310" xr:uid="{00000000-0005-0000-0000-000030220000}"/>
    <cellStyle name="Обычный 24 2 2 2 11 3 4 2 2 7" xfId="11296" xr:uid="{00000000-0005-0000-0000-000031220000}"/>
    <cellStyle name="Обычный 24 2 2 2 11 3 4 2 2 8" xfId="12282" xr:uid="{00000000-0005-0000-0000-000032220000}"/>
    <cellStyle name="Обычный 24 2 2 2 11 3 4 2 2 9" xfId="13268" xr:uid="{00000000-0005-0000-0000-000033220000}"/>
    <cellStyle name="Обычный 24 2 2 2 11 3 4 2 3" xfId="7318" xr:uid="{00000000-0005-0000-0000-000034220000}"/>
    <cellStyle name="Обычный 24 2 2 2 11 3 4 2 4" xfId="8324" xr:uid="{00000000-0005-0000-0000-000035220000}"/>
    <cellStyle name="Обычный 24 2 2 2 11 3 4 2 5" xfId="9310" xr:uid="{00000000-0005-0000-0000-000036220000}"/>
    <cellStyle name="Обычный 24 2 2 2 11 3 4 2 6" xfId="10296" xr:uid="{00000000-0005-0000-0000-000037220000}"/>
    <cellStyle name="Обычный 24 2 2 2 11 3 4 2 7" xfId="11282" xr:uid="{00000000-0005-0000-0000-000038220000}"/>
    <cellStyle name="Обычный 24 2 2 2 11 3 4 2 8" xfId="12268" xr:uid="{00000000-0005-0000-0000-000039220000}"/>
    <cellStyle name="Обычный 24 2 2 2 11 3 4 2 9" xfId="13254" xr:uid="{00000000-0005-0000-0000-00003A220000}"/>
    <cellStyle name="Обычный 24 2 2 2 11 3 4 3" xfId="7300" xr:uid="{00000000-0005-0000-0000-00003B220000}"/>
    <cellStyle name="Обычный 24 2 2 2 11 3 4 4" xfId="8306" xr:uid="{00000000-0005-0000-0000-00003C220000}"/>
    <cellStyle name="Обычный 24 2 2 2 11 3 4 5" xfId="9292" xr:uid="{00000000-0005-0000-0000-00003D220000}"/>
    <cellStyle name="Обычный 24 2 2 2 11 3 4 6" xfId="10278" xr:uid="{00000000-0005-0000-0000-00003E220000}"/>
    <cellStyle name="Обычный 24 2 2 2 11 3 4 7" xfId="11264" xr:uid="{00000000-0005-0000-0000-00003F220000}"/>
    <cellStyle name="Обычный 24 2 2 2 11 3 4 8" xfId="12250" xr:uid="{00000000-0005-0000-0000-000040220000}"/>
    <cellStyle name="Обычный 24 2 2 2 11 3 4 9" xfId="13236" xr:uid="{00000000-0005-0000-0000-000041220000}"/>
    <cellStyle name="Обычный 24 2 2 2 11 3 5" xfId="7256" xr:uid="{00000000-0005-0000-0000-000042220000}"/>
    <cellStyle name="Обычный 24 2 2 2 11 3 6" xfId="8262" xr:uid="{00000000-0005-0000-0000-000043220000}"/>
    <cellStyle name="Обычный 24 2 2 2 11 3 7" xfId="9248" xr:uid="{00000000-0005-0000-0000-000044220000}"/>
    <cellStyle name="Обычный 24 2 2 2 11 3 8" xfId="10234" xr:uid="{00000000-0005-0000-0000-000045220000}"/>
    <cellStyle name="Обычный 24 2 2 2 11 3 9" xfId="11220" xr:uid="{00000000-0005-0000-0000-000046220000}"/>
    <cellStyle name="Обычный 24 2 2 2 12" xfId="8167" xr:uid="{00000000-0005-0000-0000-000047220000}"/>
    <cellStyle name="Обычный 24 2 2 2 13" xfId="9153" xr:uid="{00000000-0005-0000-0000-000048220000}"/>
    <cellStyle name="Обычный 24 2 2 2 14" xfId="10139" xr:uid="{00000000-0005-0000-0000-000049220000}"/>
    <cellStyle name="Обычный 24 2 2 2 15" xfId="11125" xr:uid="{00000000-0005-0000-0000-00004A220000}"/>
    <cellStyle name="Обычный 24 2 2 2 16" xfId="12111" xr:uid="{00000000-0005-0000-0000-00004B220000}"/>
    <cellStyle name="Обычный 24 2 2 2 17" xfId="13097" xr:uid="{00000000-0005-0000-0000-00004C220000}"/>
    <cellStyle name="Обычный 24 2 2 2 18" xfId="14097" xr:uid="{00000000-0005-0000-0000-00004D220000}"/>
    <cellStyle name="Обычный 24 2 2 2 19" xfId="15083" xr:uid="{00000000-0005-0000-0000-00004E220000}"/>
    <cellStyle name="Обычный 24 2 2 2 2" xfId="6156" xr:uid="{00000000-0005-0000-0000-00004F220000}"/>
    <cellStyle name="Обычный 24 2 2 2 2 10" xfId="11131" xr:uid="{00000000-0005-0000-0000-000050220000}"/>
    <cellStyle name="Обычный 24 2 2 2 2 11" xfId="12117" xr:uid="{00000000-0005-0000-0000-000051220000}"/>
    <cellStyle name="Обычный 24 2 2 2 2 12" xfId="13103" xr:uid="{00000000-0005-0000-0000-000052220000}"/>
    <cellStyle name="Обычный 24 2 2 2 2 13" xfId="14103" xr:uid="{00000000-0005-0000-0000-000053220000}"/>
    <cellStyle name="Обычный 24 2 2 2 2 14" xfId="15089" xr:uid="{00000000-0005-0000-0000-000054220000}"/>
    <cellStyle name="Обычный 24 2 2 2 2 2" xfId="6236" xr:uid="{00000000-0005-0000-0000-000055220000}"/>
    <cellStyle name="Обычный 24 2 2 2 2 2 10" xfId="11197" xr:uid="{00000000-0005-0000-0000-000056220000}"/>
    <cellStyle name="Обычный 24 2 2 2 2 2 11" xfId="12183" xr:uid="{00000000-0005-0000-0000-000057220000}"/>
    <cellStyle name="Обычный 24 2 2 2 2 2 12" xfId="13169" xr:uid="{00000000-0005-0000-0000-000058220000}"/>
    <cellStyle name="Обычный 24 2 2 2 2 2 13" xfId="14169" xr:uid="{00000000-0005-0000-0000-000059220000}"/>
    <cellStyle name="Обычный 24 2 2 2 2 2 14" xfId="15155" xr:uid="{00000000-0005-0000-0000-00005A220000}"/>
    <cellStyle name="Обычный 24 2 2 2 2 2 2" xfId="6249" xr:uid="{00000000-0005-0000-0000-00005B220000}"/>
    <cellStyle name="Обычный 24 2 2 2 2 2 2 10" xfId="12196" xr:uid="{00000000-0005-0000-0000-00005C220000}"/>
    <cellStyle name="Обычный 24 2 2 2 2 2 2 11" xfId="13182" xr:uid="{00000000-0005-0000-0000-00005D220000}"/>
    <cellStyle name="Обычный 24 2 2 2 2 2 2 12" xfId="14182" xr:uid="{00000000-0005-0000-0000-00005E220000}"/>
    <cellStyle name="Обычный 24 2 2 2 2 2 2 13" xfId="15168" xr:uid="{00000000-0005-0000-0000-00005F220000}"/>
    <cellStyle name="Обычный 24 2 2 2 2 2 2 2" xfId="6255" xr:uid="{00000000-0005-0000-0000-000060220000}"/>
    <cellStyle name="Обычный 24 2 2 2 2 2 2 2 10" xfId="14188" xr:uid="{00000000-0005-0000-0000-000061220000}"/>
    <cellStyle name="Обычный 24 2 2 2 2 2 2 2 11" xfId="15174" xr:uid="{00000000-0005-0000-0000-000062220000}"/>
    <cellStyle name="Обычный 24 2 2 2 2 2 2 2 2" xfId="6272" xr:uid="{00000000-0005-0000-0000-000063220000}"/>
    <cellStyle name="Обычный 24 2 2 2 2 2 2 2 2 10" xfId="15191" xr:uid="{00000000-0005-0000-0000-000064220000}"/>
    <cellStyle name="Обычный 24 2 2 2 2 2 2 2 2 2" xfId="7269" xr:uid="{00000000-0005-0000-0000-000065220000}"/>
    <cellStyle name="Обычный 24 2 2 2 2 2 2 2 2 3" xfId="8275" xr:uid="{00000000-0005-0000-0000-000066220000}"/>
    <cellStyle name="Обычный 24 2 2 2 2 2 2 2 2 4" xfId="9261" xr:uid="{00000000-0005-0000-0000-000067220000}"/>
    <cellStyle name="Обычный 24 2 2 2 2 2 2 2 2 5" xfId="10247" xr:uid="{00000000-0005-0000-0000-000068220000}"/>
    <cellStyle name="Обычный 24 2 2 2 2 2 2 2 2 6" xfId="11233" xr:uid="{00000000-0005-0000-0000-000069220000}"/>
    <cellStyle name="Обычный 24 2 2 2 2 2 2 2 2 7" xfId="12219" xr:uid="{00000000-0005-0000-0000-00006A220000}"/>
    <cellStyle name="Обычный 24 2 2 2 2 2 2 2 2 8" xfId="13205" xr:uid="{00000000-0005-0000-0000-00006B220000}"/>
    <cellStyle name="Обычный 24 2 2 2 2 2 2 2 2 9" xfId="14205" xr:uid="{00000000-0005-0000-0000-00006C220000}"/>
    <cellStyle name="Обычный 24 2 2 2 2 2 2 2 3" xfId="7252" xr:uid="{00000000-0005-0000-0000-00006D220000}"/>
    <cellStyle name="Обычный 24 2 2 2 2 2 2 2 4" xfId="8258" xr:uid="{00000000-0005-0000-0000-00006E220000}"/>
    <cellStyle name="Обычный 24 2 2 2 2 2 2 2 5" xfId="9244" xr:uid="{00000000-0005-0000-0000-00006F220000}"/>
    <cellStyle name="Обычный 24 2 2 2 2 2 2 2 6" xfId="10230" xr:uid="{00000000-0005-0000-0000-000070220000}"/>
    <cellStyle name="Обычный 24 2 2 2 2 2 2 2 7" xfId="11216" xr:uid="{00000000-0005-0000-0000-000071220000}"/>
    <cellStyle name="Обычный 24 2 2 2 2 2 2 2 8" xfId="12202" xr:uid="{00000000-0005-0000-0000-000072220000}"/>
    <cellStyle name="Обычный 24 2 2 2 2 2 2 2 9" xfId="13188" xr:uid="{00000000-0005-0000-0000-000073220000}"/>
    <cellStyle name="Обычный 24 2 2 2 2 2 2 3" xfId="6685" xr:uid="{00000000-0005-0000-0000-000074220000}"/>
    <cellStyle name="Обычный 24 2 2 2 2 2 2 3 10" xfId="15604" xr:uid="{00000000-0005-0000-0000-000075220000}"/>
    <cellStyle name="Обычный 24 2 2 2 2 2 2 3 2" xfId="7682" xr:uid="{00000000-0005-0000-0000-000076220000}"/>
    <cellStyle name="Обычный 24 2 2 2 2 2 2 3 3" xfId="8688" xr:uid="{00000000-0005-0000-0000-000077220000}"/>
    <cellStyle name="Обычный 24 2 2 2 2 2 2 3 4" xfId="9674" xr:uid="{00000000-0005-0000-0000-000078220000}"/>
    <cellStyle name="Обычный 24 2 2 2 2 2 2 3 5" xfId="10660" xr:uid="{00000000-0005-0000-0000-000079220000}"/>
    <cellStyle name="Обычный 24 2 2 2 2 2 2 3 6" xfId="11646" xr:uid="{00000000-0005-0000-0000-00007A220000}"/>
    <cellStyle name="Обычный 24 2 2 2 2 2 2 3 7" xfId="12632" xr:uid="{00000000-0005-0000-0000-00007B220000}"/>
    <cellStyle name="Обычный 24 2 2 2 2 2 2 3 8" xfId="13618" xr:uid="{00000000-0005-0000-0000-00007C220000}"/>
    <cellStyle name="Обычный 24 2 2 2 2 2 2 3 9" xfId="14618" xr:uid="{00000000-0005-0000-0000-00007D220000}"/>
    <cellStyle name="Обычный 24 2 2 2 2 2 2 4" xfId="6955" xr:uid="{00000000-0005-0000-0000-00007E220000}"/>
    <cellStyle name="Обычный 24 2 2 2 2 2 2 4 10" xfId="15874" xr:uid="{00000000-0005-0000-0000-00007F220000}"/>
    <cellStyle name="Обычный 24 2 2 2 2 2 2 4 2" xfId="7952" xr:uid="{00000000-0005-0000-0000-000080220000}"/>
    <cellStyle name="Обычный 24 2 2 2 2 2 2 4 3" xfId="8958" xr:uid="{00000000-0005-0000-0000-000081220000}"/>
    <cellStyle name="Обычный 24 2 2 2 2 2 2 4 4" xfId="9944" xr:uid="{00000000-0005-0000-0000-000082220000}"/>
    <cellStyle name="Обычный 24 2 2 2 2 2 2 4 5" xfId="10930" xr:uid="{00000000-0005-0000-0000-000083220000}"/>
    <cellStyle name="Обычный 24 2 2 2 2 2 2 4 6" xfId="11916" xr:uid="{00000000-0005-0000-0000-000084220000}"/>
    <cellStyle name="Обычный 24 2 2 2 2 2 2 4 7" xfId="12902" xr:uid="{00000000-0005-0000-0000-000085220000}"/>
    <cellStyle name="Обычный 24 2 2 2 2 2 2 4 8" xfId="13888" xr:uid="{00000000-0005-0000-0000-000086220000}"/>
    <cellStyle name="Обычный 24 2 2 2 2 2 2 4 9" xfId="14888" xr:uid="{00000000-0005-0000-0000-000087220000}"/>
    <cellStyle name="Обычный 24 2 2 2 2 2 2 5" xfId="7246" xr:uid="{00000000-0005-0000-0000-000088220000}"/>
    <cellStyle name="Обычный 24 2 2 2 2 2 2 6" xfId="8252" xr:uid="{00000000-0005-0000-0000-000089220000}"/>
    <cellStyle name="Обычный 24 2 2 2 2 2 2 7" xfId="9238" xr:uid="{00000000-0005-0000-0000-00008A220000}"/>
    <cellStyle name="Обычный 24 2 2 2 2 2 2 8" xfId="10224" xr:uid="{00000000-0005-0000-0000-00008B220000}"/>
    <cellStyle name="Обычный 24 2 2 2 2 2 2 9" xfId="11210" xr:uid="{00000000-0005-0000-0000-00008C220000}"/>
    <cellStyle name="Обычный 24 2 2 2 2 2 3" xfId="6250" xr:uid="{00000000-0005-0000-0000-00008D220000}"/>
    <cellStyle name="Обычный 24 2 2 2 2 2 3 10" xfId="13183" xr:uid="{00000000-0005-0000-0000-00008E220000}"/>
    <cellStyle name="Обычный 24 2 2 2 2 2 3 11" xfId="14183" xr:uid="{00000000-0005-0000-0000-00008F220000}"/>
    <cellStyle name="Обычный 24 2 2 2 2 2 3 12" xfId="15169" xr:uid="{00000000-0005-0000-0000-000090220000}"/>
    <cellStyle name="Обычный 24 2 2 2 2 2 3 2" xfId="6254" xr:uid="{00000000-0005-0000-0000-000091220000}"/>
    <cellStyle name="Обычный 24 2 2 2 2 2 3 2 10" xfId="14187" xr:uid="{00000000-0005-0000-0000-000092220000}"/>
    <cellStyle name="Обычный 24 2 2 2 2 2 3 2 11" xfId="15173" xr:uid="{00000000-0005-0000-0000-000093220000}"/>
    <cellStyle name="Обычный 24 2 2 2 2 2 3 2 2" xfId="6271" xr:uid="{00000000-0005-0000-0000-000094220000}"/>
    <cellStyle name="Обычный 24 2 2 2 2 2 3 2 2 10" xfId="15190" xr:uid="{00000000-0005-0000-0000-000095220000}"/>
    <cellStyle name="Обычный 24 2 2 2 2 2 3 2 2 2" xfId="7268" xr:uid="{00000000-0005-0000-0000-000096220000}"/>
    <cellStyle name="Обычный 24 2 2 2 2 2 3 2 2 3" xfId="8274" xr:uid="{00000000-0005-0000-0000-000097220000}"/>
    <cellStyle name="Обычный 24 2 2 2 2 2 3 2 2 4" xfId="9260" xr:uid="{00000000-0005-0000-0000-000098220000}"/>
    <cellStyle name="Обычный 24 2 2 2 2 2 3 2 2 5" xfId="10246" xr:uid="{00000000-0005-0000-0000-000099220000}"/>
    <cellStyle name="Обычный 24 2 2 2 2 2 3 2 2 6" xfId="11232" xr:uid="{00000000-0005-0000-0000-00009A220000}"/>
    <cellStyle name="Обычный 24 2 2 2 2 2 3 2 2 7" xfId="12218" xr:uid="{00000000-0005-0000-0000-00009B220000}"/>
    <cellStyle name="Обычный 24 2 2 2 2 2 3 2 2 8" xfId="13204" xr:uid="{00000000-0005-0000-0000-00009C220000}"/>
    <cellStyle name="Обычный 24 2 2 2 2 2 3 2 2 9" xfId="14204" xr:uid="{00000000-0005-0000-0000-00009D220000}"/>
    <cellStyle name="Обычный 24 2 2 2 2 2 3 2 3" xfId="7251" xr:uid="{00000000-0005-0000-0000-00009E220000}"/>
    <cellStyle name="Обычный 24 2 2 2 2 2 3 2 4" xfId="8257" xr:uid="{00000000-0005-0000-0000-00009F220000}"/>
    <cellStyle name="Обычный 24 2 2 2 2 2 3 2 5" xfId="9243" xr:uid="{00000000-0005-0000-0000-0000A0220000}"/>
    <cellStyle name="Обычный 24 2 2 2 2 2 3 2 6" xfId="10229" xr:uid="{00000000-0005-0000-0000-0000A1220000}"/>
    <cellStyle name="Обычный 24 2 2 2 2 2 3 2 7" xfId="11215" xr:uid="{00000000-0005-0000-0000-0000A2220000}"/>
    <cellStyle name="Обычный 24 2 2 2 2 2 3 2 8" xfId="12201" xr:uid="{00000000-0005-0000-0000-0000A3220000}"/>
    <cellStyle name="Обычный 24 2 2 2 2 2 3 2 9" xfId="13187" xr:uid="{00000000-0005-0000-0000-0000A4220000}"/>
    <cellStyle name="Обычный 24 2 2 2 2 2 3 3" xfId="6273" xr:uid="{00000000-0005-0000-0000-0000A5220000}"/>
    <cellStyle name="Обычный 24 2 2 2 2 2 3 3 10" xfId="15192" xr:uid="{00000000-0005-0000-0000-0000A6220000}"/>
    <cellStyle name="Обычный 24 2 2 2 2 2 3 3 2" xfId="7270" xr:uid="{00000000-0005-0000-0000-0000A7220000}"/>
    <cellStyle name="Обычный 24 2 2 2 2 2 3 3 3" xfId="8276" xr:uid="{00000000-0005-0000-0000-0000A8220000}"/>
    <cellStyle name="Обычный 24 2 2 2 2 2 3 3 4" xfId="9262" xr:uid="{00000000-0005-0000-0000-0000A9220000}"/>
    <cellStyle name="Обычный 24 2 2 2 2 2 3 3 5" xfId="10248" xr:uid="{00000000-0005-0000-0000-0000AA220000}"/>
    <cellStyle name="Обычный 24 2 2 2 2 2 3 3 6" xfId="11234" xr:uid="{00000000-0005-0000-0000-0000AB220000}"/>
    <cellStyle name="Обычный 24 2 2 2 2 2 3 3 7" xfId="12220" xr:uid="{00000000-0005-0000-0000-0000AC220000}"/>
    <cellStyle name="Обычный 24 2 2 2 2 2 3 3 8" xfId="13206" xr:uid="{00000000-0005-0000-0000-0000AD220000}"/>
    <cellStyle name="Обычный 24 2 2 2 2 2 3 3 9" xfId="14206" xr:uid="{00000000-0005-0000-0000-0000AE220000}"/>
    <cellStyle name="Обычный 24 2 2 2 2 2 3 4" xfId="7247" xr:uid="{00000000-0005-0000-0000-0000AF220000}"/>
    <cellStyle name="Обычный 24 2 2 2 2 2 3 5" xfId="8253" xr:uid="{00000000-0005-0000-0000-0000B0220000}"/>
    <cellStyle name="Обычный 24 2 2 2 2 2 3 6" xfId="9239" xr:uid="{00000000-0005-0000-0000-0000B1220000}"/>
    <cellStyle name="Обычный 24 2 2 2 2 2 3 7" xfId="10225" xr:uid="{00000000-0005-0000-0000-0000B2220000}"/>
    <cellStyle name="Обычный 24 2 2 2 2 2 3 8" xfId="11211" xr:uid="{00000000-0005-0000-0000-0000B3220000}"/>
    <cellStyle name="Обычный 24 2 2 2 2 2 3 9" xfId="12197" xr:uid="{00000000-0005-0000-0000-0000B4220000}"/>
    <cellStyle name="Обычный 24 2 2 2 2 2 4" xfId="6680" xr:uid="{00000000-0005-0000-0000-0000B5220000}"/>
    <cellStyle name="Обычный 24 2 2 2 2 2 4 10" xfId="15599" xr:uid="{00000000-0005-0000-0000-0000B6220000}"/>
    <cellStyle name="Обычный 24 2 2 2 2 2 4 2" xfId="7677" xr:uid="{00000000-0005-0000-0000-0000B7220000}"/>
    <cellStyle name="Обычный 24 2 2 2 2 2 4 3" xfId="8683" xr:uid="{00000000-0005-0000-0000-0000B8220000}"/>
    <cellStyle name="Обычный 24 2 2 2 2 2 4 4" xfId="9669" xr:uid="{00000000-0005-0000-0000-0000B9220000}"/>
    <cellStyle name="Обычный 24 2 2 2 2 2 4 5" xfId="10655" xr:uid="{00000000-0005-0000-0000-0000BA220000}"/>
    <cellStyle name="Обычный 24 2 2 2 2 2 4 6" xfId="11641" xr:uid="{00000000-0005-0000-0000-0000BB220000}"/>
    <cellStyle name="Обычный 24 2 2 2 2 2 4 7" xfId="12627" xr:uid="{00000000-0005-0000-0000-0000BC220000}"/>
    <cellStyle name="Обычный 24 2 2 2 2 2 4 8" xfId="13613" xr:uid="{00000000-0005-0000-0000-0000BD220000}"/>
    <cellStyle name="Обычный 24 2 2 2 2 2 4 9" xfId="14613" xr:uid="{00000000-0005-0000-0000-0000BE220000}"/>
    <cellStyle name="Обычный 24 2 2 2 2 2 5" xfId="6950" xr:uid="{00000000-0005-0000-0000-0000BF220000}"/>
    <cellStyle name="Обычный 24 2 2 2 2 2 5 10" xfId="15869" xr:uid="{00000000-0005-0000-0000-0000C0220000}"/>
    <cellStyle name="Обычный 24 2 2 2 2 2 5 2" xfId="7947" xr:uid="{00000000-0005-0000-0000-0000C1220000}"/>
    <cellStyle name="Обычный 24 2 2 2 2 2 5 3" xfId="8953" xr:uid="{00000000-0005-0000-0000-0000C2220000}"/>
    <cellStyle name="Обычный 24 2 2 2 2 2 5 4" xfId="9939" xr:uid="{00000000-0005-0000-0000-0000C3220000}"/>
    <cellStyle name="Обычный 24 2 2 2 2 2 5 5" xfId="10925" xr:uid="{00000000-0005-0000-0000-0000C4220000}"/>
    <cellStyle name="Обычный 24 2 2 2 2 2 5 6" xfId="11911" xr:uid="{00000000-0005-0000-0000-0000C5220000}"/>
    <cellStyle name="Обычный 24 2 2 2 2 2 5 7" xfId="12897" xr:uid="{00000000-0005-0000-0000-0000C6220000}"/>
    <cellStyle name="Обычный 24 2 2 2 2 2 5 8" xfId="13883" xr:uid="{00000000-0005-0000-0000-0000C7220000}"/>
    <cellStyle name="Обычный 24 2 2 2 2 2 5 9" xfId="14883" xr:uid="{00000000-0005-0000-0000-0000C8220000}"/>
    <cellStyle name="Обычный 24 2 2 2 2 2 6" xfId="7233" xr:uid="{00000000-0005-0000-0000-0000C9220000}"/>
    <cellStyle name="Обычный 24 2 2 2 2 2 7" xfId="8239" xr:uid="{00000000-0005-0000-0000-0000CA220000}"/>
    <cellStyle name="Обычный 24 2 2 2 2 2 8" xfId="9225" xr:uid="{00000000-0005-0000-0000-0000CB220000}"/>
    <cellStyle name="Обычный 24 2 2 2 2 2 9" xfId="10211" xr:uid="{00000000-0005-0000-0000-0000CC220000}"/>
    <cellStyle name="Обычный 24 2 2 2 2 3" xfId="6241" xr:uid="{00000000-0005-0000-0000-0000CD220000}"/>
    <cellStyle name="Обычный 24 2 2 2 2 3 10" xfId="15160" xr:uid="{00000000-0005-0000-0000-0000CE220000}"/>
    <cellStyle name="Обычный 24 2 2 2 2 3 2" xfId="7238" xr:uid="{00000000-0005-0000-0000-0000CF220000}"/>
    <cellStyle name="Обычный 24 2 2 2 2 3 3" xfId="8244" xr:uid="{00000000-0005-0000-0000-0000D0220000}"/>
    <cellStyle name="Обычный 24 2 2 2 2 3 4" xfId="9230" xr:uid="{00000000-0005-0000-0000-0000D1220000}"/>
    <cellStyle name="Обычный 24 2 2 2 2 3 5" xfId="10216" xr:uid="{00000000-0005-0000-0000-0000D2220000}"/>
    <cellStyle name="Обычный 24 2 2 2 2 3 6" xfId="11202" xr:uid="{00000000-0005-0000-0000-0000D3220000}"/>
    <cellStyle name="Обычный 24 2 2 2 2 3 7" xfId="12188" xr:uid="{00000000-0005-0000-0000-0000D4220000}"/>
    <cellStyle name="Обычный 24 2 2 2 2 3 8" xfId="13174" xr:uid="{00000000-0005-0000-0000-0000D5220000}"/>
    <cellStyle name="Обычный 24 2 2 2 2 3 9" xfId="14174" xr:uid="{00000000-0005-0000-0000-0000D6220000}"/>
    <cellStyle name="Обычный 24 2 2 2 2 4" xfId="6614" xr:uid="{00000000-0005-0000-0000-0000D7220000}"/>
    <cellStyle name="Обычный 24 2 2 2 2 4 10" xfId="15533" xr:uid="{00000000-0005-0000-0000-0000D8220000}"/>
    <cellStyle name="Обычный 24 2 2 2 2 4 2" xfId="7611" xr:uid="{00000000-0005-0000-0000-0000D9220000}"/>
    <cellStyle name="Обычный 24 2 2 2 2 4 3" xfId="8617" xr:uid="{00000000-0005-0000-0000-0000DA220000}"/>
    <cellStyle name="Обычный 24 2 2 2 2 4 4" xfId="9603" xr:uid="{00000000-0005-0000-0000-0000DB220000}"/>
    <cellStyle name="Обычный 24 2 2 2 2 4 5" xfId="10589" xr:uid="{00000000-0005-0000-0000-0000DC220000}"/>
    <cellStyle name="Обычный 24 2 2 2 2 4 6" xfId="11575" xr:uid="{00000000-0005-0000-0000-0000DD220000}"/>
    <cellStyle name="Обычный 24 2 2 2 2 4 7" xfId="12561" xr:uid="{00000000-0005-0000-0000-0000DE220000}"/>
    <cellStyle name="Обычный 24 2 2 2 2 4 8" xfId="13547" xr:uid="{00000000-0005-0000-0000-0000DF220000}"/>
    <cellStyle name="Обычный 24 2 2 2 2 4 9" xfId="14547" xr:uid="{00000000-0005-0000-0000-0000E0220000}"/>
    <cellStyle name="Обычный 24 2 2 2 2 5" xfId="6884" xr:uid="{00000000-0005-0000-0000-0000E1220000}"/>
    <cellStyle name="Обычный 24 2 2 2 2 5 10" xfId="15803" xr:uid="{00000000-0005-0000-0000-0000E2220000}"/>
    <cellStyle name="Обычный 24 2 2 2 2 5 2" xfId="7881" xr:uid="{00000000-0005-0000-0000-0000E3220000}"/>
    <cellStyle name="Обычный 24 2 2 2 2 5 3" xfId="8887" xr:uid="{00000000-0005-0000-0000-0000E4220000}"/>
    <cellStyle name="Обычный 24 2 2 2 2 5 4" xfId="9873" xr:uid="{00000000-0005-0000-0000-0000E5220000}"/>
    <cellStyle name="Обычный 24 2 2 2 2 5 5" xfId="10859" xr:uid="{00000000-0005-0000-0000-0000E6220000}"/>
    <cellStyle name="Обычный 24 2 2 2 2 5 6" xfId="11845" xr:uid="{00000000-0005-0000-0000-0000E7220000}"/>
    <cellStyle name="Обычный 24 2 2 2 2 5 7" xfId="12831" xr:uid="{00000000-0005-0000-0000-0000E8220000}"/>
    <cellStyle name="Обычный 24 2 2 2 2 5 8" xfId="13817" xr:uid="{00000000-0005-0000-0000-0000E9220000}"/>
    <cellStyle name="Обычный 24 2 2 2 2 5 9" xfId="14817" xr:uid="{00000000-0005-0000-0000-0000EA220000}"/>
    <cellStyle name="Обычный 24 2 2 2 2 6" xfId="7167" xr:uid="{00000000-0005-0000-0000-0000EB220000}"/>
    <cellStyle name="Обычный 24 2 2 2 2 7" xfId="8173" xr:uid="{00000000-0005-0000-0000-0000EC220000}"/>
    <cellStyle name="Обычный 24 2 2 2 2 7 2" xfId="6265" xr:uid="{00000000-0005-0000-0000-0000ED220000}"/>
    <cellStyle name="Обычный 24 2 2 2 2 7 2 10" xfId="12212" xr:uid="{00000000-0005-0000-0000-0000EE220000}"/>
    <cellStyle name="Обычный 24 2 2 2 2 7 2 11" xfId="13198" xr:uid="{00000000-0005-0000-0000-0000EF220000}"/>
    <cellStyle name="Обычный 24 2 2 2 2 7 2 12" xfId="14198" xr:uid="{00000000-0005-0000-0000-0000F0220000}"/>
    <cellStyle name="Обычный 24 2 2 2 2 7 2 13" xfId="15184" xr:uid="{00000000-0005-0000-0000-0000F1220000}"/>
    <cellStyle name="Обычный 24 2 2 2 2 7 2 2" xfId="6283" xr:uid="{00000000-0005-0000-0000-0000F2220000}"/>
    <cellStyle name="Обычный 24 2 2 2 2 7 2 2 10" xfId="15202" xr:uid="{00000000-0005-0000-0000-0000F3220000}"/>
    <cellStyle name="Обычный 24 2 2 2 2 7 2 2 2" xfId="7280" xr:uid="{00000000-0005-0000-0000-0000F4220000}"/>
    <cellStyle name="Обычный 24 2 2 2 2 7 2 2 3" xfId="8286" xr:uid="{00000000-0005-0000-0000-0000F5220000}"/>
    <cellStyle name="Обычный 24 2 2 2 2 7 2 2 4" xfId="9272" xr:uid="{00000000-0005-0000-0000-0000F6220000}"/>
    <cellStyle name="Обычный 24 2 2 2 2 7 2 2 5" xfId="10258" xr:uid="{00000000-0005-0000-0000-0000F7220000}"/>
    <cellStyle name="Обычный 24 2 2 2 2 7 2 2 6" xfId="11244" xr:uid="{00000000-0005-0000-0000-0000F8220000}"/>
    <cellStyle name="Обычный 24 2 2 2 2 7 2 2 7" xfId="12230" xr:uid="{00000000-0005-0000-0000-0000F9220000}"/>
    <cellStyle name="Обычный 24 2 2 2 2 7 2 2 8" xfId="13216" xr:uid="{00000000-0005-0000-0000-0000FA220000}"/>
    <cellStyle name="Обычный 24 2 2 2 2 7 2 2 9" xfId="14216" xr:uid="{00000000-0005-0000-0000-0000FB220000}"/>
    <cellStyle name="Обычный 24 2 2 2 2 7 2 3" xfId="6296" xr:uid="{00000000-0005-0000-0000-0000FC220000}"/>
    <cellStyle name="Обычный 24 2 2 2 2 7 2 3 10" xfId="14229" xr:uid="{00000000-0005-0000-0000-0000FD220000}"/>
    <cellStyle name="Обычный 24 2 2 2 2 7 2 3 11" xfId="15215" xr:uid="{00000000-0005-0000-0000-0000FE220000}"/>
    <cellStyle name="Обычный 24 2 2 2 2 7 2 3 2" xfId="6329" xr:uid="{00000000-0005-0000-0000-0000FF220000}"/>
    <cellStyle name="Обычный 24 2 2 2 2 7 2 3 2 10" xfId="14262" xr:uid="{00000000-0005-0000-0000-000000230000}"/>
    <cellStyle name="Обычный 24 2 2 2 2 7 2 3 2 11" xfId="15248" xr:uid="{00000000-0005-0000-0000-000001230000}"/>
    <cellStyle name="Обычный 24 2 2 2 2 7 2 3 2 2" xfId="6343" xr:uid="{00000000-0005-0000-0000-000002230000}"/>
    <cellStyle name="Обычный 24 2 2 2 2 7 2 3 2 2 10" xfId="14276" xr:uid="{00000000-0005-0000-0000-000003230000}"/>
    <cellStyle name="Обычный 24 2 2 2 2 7 2 3 2 2 11" xfId="15262" xr:uid="{00000000-0005-0000-0000-000004230000}"/>
    <cellStyle name="Обычный 24 2 2 2 2 7 2 3 2 2 2" xfId="6361" xr:uid="{00000000-0005-0000-0000-000005230000}"/>
    <cellStyle name="Обычный 24 2 2 2 2 7 2 3 2 2 2 10" xfId="14294" xr:uid="{00000000-0005-0000-0000-000006230000}"/>
    <cellStyle name="Обычный 24 2 2 2 2 7 2 3 2 2 2 11" xfId="15280" xr:uid="{00000000-0005-0000-0000-000007230000}"/>
    <cellStyle name="Обычный 24 2 2 2 2 7 2 3 2 2 2 2" xfId="6376" xr:uid="{00000000-0005-0000-0000-000008230000}"/>
    <cellStyle name="Обычный 24 2 2 2 2 7 2 3 2 2 2 2 10" xfId="14309" xr:uid="{00000000-0005-0000-0000-000009230000}"/>
    <cellStyle name="Обычный 24 2 2 2 2 7 2 3 2 2 2 2 11" xfId="15295" xr:uid="{00000000-0005-0000-0000-00000A230000}"/>
    <cellStyle name="Обычный 24 2 2 2 2 7 2 3 2 2 2 2 2" xfId="6391" xr:uid="{00000000-0005-0000-0000-00000B230000}"/>
    <cellStyle name="Обычный 24 2 2 2 2 7 2 3 2 2 2 2 2 10" xfId="14324" xr:uid="{00000000-0005-0000-0000-00000C230000}"/>
    <cellStyle name="Обычный 24 2 2 2 2 7 2 3 2 2 2 2 2 11" xfId="15310" xr:uid="{00000000-0005-0000-0000-00000D230000}"/>
    <cellStyle name="Обычный 24 2 2 2 2 7 2 3 2 2 2 2 2 2" xfId="6406" xr:uid="{00000000-0005-0000-0000-00000E230000}"/>
    <cellStyle name="Обычный 24 2 2 2 2 7 2 3 2 2 2 2 2 2 10" xfId="14339" xr:uid="{00000000-0005-0000-0000-00000F230000}"/>
    <cellStyle name="Обычный 24 2 2 2 2 7 2 3 2 2 2 2 2 2 11" xfId="15325" xr:uid="{00000000-0005-0000-0000-000010230000}"/>
    <cellStyle name="Обычный 24 2 2 2 2 7 2 3 2 2 2 2 2 2 2" xfId="6416" xr:uid="{00000000-0005-0000-0000-000011230000}"/>
    <cellStyle name="Обычный 24 2 2 2 2 7 2 3 2 2 2 2 2 2 2 10" xfId="15335" xr:uid="{00000000-0005-0000-0000-000012230000}"/>
    <cellStyle name="Обычный 24 2 2 2 2 7 2 3 2 2 2 2 2 2 2 2" xfId="7413" xr:uid="{00000000-0005-0000-0000-000013230000}"/>
    <cellStyle name="Обычный 24 2 2 2 2 7 2 3 2 2 2 2 2 2 2 3" xfId="8419" xr:uid="{00000000-0005-0000-0000-000014230000}"/>
    <cellStyle name="Обычный 24 2 2 2 2 7 2 3 2 2 2 2 2 2 2 4" xfId="9405" xr:uid="{00000000-0005-0000-0000-000015230000}"/>
    <cellStyle name="Обычный 24 2 2 2 2 7 2 3 2 2 2 2 2 2 2 5" xfId="10391" xr:uid="{00000000-0005-0000-0000-000016230000}"/>
    <cellStyle name="Обычный 24 2 2 2 2 7 2 3 2 2 2 2 2 2 2 6" xfId="11377" xr:uid="{00000000-0005-0000-0000-000017230000}"/>
    <cellStyle name="Обычный 24 2 2 2 2 7 2 3 2 2 2 2 2 2 2 7" xfId="12363" xr:uid="{00000000-0005-0000-0000-000018230000}"/>
    <cellStyle name="Обычный 24 2 2 2 2 7 2 3 2 2 2 2 2 2 2 8" xfId="13349" xr:uid="{00000000-0005-0000-0000-000019230000}"/>
    <cellStyle name="Обычный 24 2 2 2 2 7 2 3 2 2 2 2 2 2 2 9" xfId="14349" xr:uid="{00000000-0005-0000-0000-00001A230000}"/>
    <cellStyle name="Обычный 24 2 2 2 2 7 2 3 2 2 2 2 2 2 3" xfId="7403" xr:uid="{00000000-0005-0000-0000-00001B230000}"/>
    <cellStyle name="Обычный 24 2 2 2 2 7 2 3 2 2 2 2 2 2 4" xfId="8409" xr:uid="{00000000-0005-0000-0000-00001C230000}"/>
    <cellStyle name="Обычный 24 2 2 2 2 7 2 3 2 2 2 2 2 2 4 2 2 2" xfId="6972" xr:uid="{00000000-0005-0000-0000-00001D230000}"/>
    <cellStyle name="Обычный 24 2 2 2 2 7 2 3 2 2 2 2 2 2 4 2 2 2 2" xfId="6973" xr:uid="{00000000-0005-0000-0000-00001E230000}"/>
    <cellStyle name="Обычный 24 2 2 2 2 7 2 3 2 2 2 2 2 2 4 2 2 2 2 2" xfId="7979" xr:uid="{00000000-0005-0000-0000-00001F230000}"/>
    <cellStyle name="Обычный 24 2 2 2 2 7 2 3 2 2 2 2 2 2 4 2 2 2 2 2 2" xfId="13907" xr:uid="{00000000-0005-0000-0000-000020230000}"/>
    <cellStyle name="Обычный 24 2 2 2 2 7 2 3 2 2 2 2 2 2 4 2 2 2 2 2 2 2" xfId="15893" xr:uid="{00000000-0005-0000-0000-000021230000}"/>
    <cellStyle name="Обычный 24 2 2 2 2 7 2 3 2 2 2 2 2 2 4 2 2 2 2 2 2 3" xfId="15908" xr:uid="{00000000-0005-0000-0000-000022230000}"/>
    <cellStyle name="Обычный 24 2 2 2 2 7 2 3 2 2 2 2 2 2 4 2 2 2 3" xfId="7978" xr:uid="{00000000-0005-0000-0000-000023230000}"/>
    <cellStyle name="Обычный 24 2 2 2 2 7 2 3 2 2 2 2 2 2 4 2 2 2 3 2" xfId="13905" xr:uid="{00000000-0005-0000-0000-000024230000}"/>
    <cellStyle name="Обычный 24 2 2 2 2 7 2 3 2 2 2 2 2 2 4 2 2 2 3 2 2" xfId="15891" xr:uid="{00000000-0005-0000-0000-000025230000}"/>
    <cellStyle name="Обычный 24 2 2 2 2 7 2 3 2 2 2 2 2 2 4 2 2 2 3 2 3" xfId="15906" xr:uid="{00000000-0005-0000-0000-000026230000}"/>
    <cellStyle name="Обычный 24 2 2 2 2 7 2 3 2 2 2 2 2 2 5" xfId="9395" xr:uid="{00000000-0005-0000-0000-000027230000}"/>
    <cellStyle name="Обычный 24 2 2 2 2 7 2 3 2 2 2 2 2 2 6" xfId="10381" xr:uid="{00000000-0005-0000-0000-000028230000}"/>
    <cellStyle name="Обычный 24 2 2 2 2 7 2 3 2 2 2 2 2 2 7" xfId="11367" xr:uid="{00000000-0005-0000-0000-000029230000}"/>
    <cellStyle name="Обычный 24 2 2 2 2 7 2 3 2 2 2 2 2 2 8" xfId="12353" xr:uid="{00000000-0005-0000-0000-00002A230000}"/>
    <cellStyle name="Обычный 24 2 2 2 2 7 2 3 2 2 2 2 2 2 9" xfId="13339" xr:uid="{00000000-0005-0000-0000-00002B230000}"/>
    <cellStyle name="Обычный 24 2 2 2 2 7 2 3 2 2 2 2 2 3" xfId="7388" xr:uid="{00000000-0005-0000-0000-00002C230000}"/>
    <cellStyle name="Обычный 24 2 2 2 2 7 2 3 2 2 2 2 2 4" xfId="8394" xr:uid="{00000000-0005-0000-0000-00002D230000}"/>
    <cellStyle name="Обычный 24 2 2 2 2 7 2 3 2 2 2 2 2 5" xfId="9380" xr:uid="{00000000-0005-0000-0000-00002E230000}"/>
    <cellStyle name="Обычный 24 2 2 2 2 7 2 3 2 2 2 2 2 6" xfId="10366" xr:uid="{00000000-0005-0000-0000-00002F230000}"/>
    <cellStyle name="Обычный 24 2 2 2 2 7 2 3 2 2 2 2 2 7" xfId="11352" xr:uid="{00000000-0005-0000-0000-000030230000}"/>
    <cellStyle name="Обычный 24 2 2 2 2 7 2 3 2 2 2 2 2 8" xfId="12338" xr:uid="{00000000-0005-0000-0000-000031230000}"/>
    <cellStyle name="Обычный 24 2 2 2 2 7 2 3 2 2 2 2 2 9" xfId="13324" xr:uid="{00000000-0005-0000-0000-000032230000}"/>
    <cellStyle name="Обычный 24 2 2 2 2 7 2 3 2 2 2 2 3" xfId="7373" xr:uid="{00000000-0005-0000-0000-000033230000}"/>
    <cellStyle name="Обычный 24 2 2 2 2 7 2 3 2 2 2 2 4" xfId="8379" xr:uid="{00000000-0005-0000-0000-000034230000}"/>
    <cellStyle name="Обычный 24 2 2 2 2 7 2 3 2 2 2 2 5" xfId="9365" xr:uid="{00000000-0005-0000-0000-000035230000}"/>
    <cellStyle name="Обычный 24 2 2 2 2 7 2 3 2 2 2 2 6" xfId="10351" xr:uid="{00000000-0005-0000-0000-000036230000}"/>
    <cellStyle name="Обычный 24 2 2 2 2 7 2 3 2 2 2 2 7" xfId="11337" xr:uid="{00000000-0005-0000-0000-000037230000}"/>
    <cellStyle name="Обычный 24 2 2 2 2 7 2 3 2 2 2 2 8" xfId="12323" xr:uid="{00000000-0005-0000-0000-000038230000}"/>
    <cellStyle name="Обычный 24 2 2 2 2 7 2 3 2 2 2 2 9" xfId="13309" xr:uid="{00000000-0005-0000-0000-000039230000}"/>
    <cellStyle name="Обычный 24 2 2 2 2 7 2 3 2 2 2 3" xfId="7358" xr:uid="{00000000-0005-0000-0000-00003A230000}"/>
    <cellStyle name="Обычный 24 2 2 2 2 7 2 3 2 2 2 4" xfId="8364" xr:uid="{00000000-0005-0000-0000-00003B230000}"/>
    <cellStyle name="Обычный 24 2 2 2 2 7 2 3 2 2 2 5" xfId="9350" xr:uid="{00000000-0005-0000-0000-00003C230000}"/>
    <cellStyle name="Обычный 24 2 2 2 2 7 2 3 2 2 2 6" xfId="10336" xr:uid="{00000000-0005-0000-0000-00003D230000}"/>
    <cellStyle name="Обычный 24 2 2 2 2 7 2 3 2 2 2 7" xfId="11322" xr:uid="{00000000-0005-0000-0000-00003E230000}"/>
    <cellStyle name="Обычный 24 2 2 2 2 7 2 3 2 2 2 8" xfId="12308" xr:uid="{00000000-0005-0000-0000-00003F230000}"/>
    <cellStyle name="Обычный 24 2 2 2 2 7 2 3 2 2 2 9" xfId="13294" xr:uid="{00000000-0005-0000-0000-000040230000}"/>
    <cellStyle name="Обычный 24 2 2 2 2 7 2 3 2 2 3" xfId="7340" xr:uid="{00000000-0005-0000-0000-000041230000}"/>
    <cellStyle name="Обычный 24 2 2 2 2 7 2 3 2 2 4" xfId="8346" xr:uid="{00000000-0005-0000-0000-000042230000}"/>
    <cellStyle name="Обычный 24 2 2 2 2 7 2 3 2 2 5" xfId="9332" xr:uid="{00000000-0005-0000-0000-000043230000}"/>
    <cellStyle name="Обычный 24 2 2 2 2 7 2 3 2 2 6" xfId="10318" xr:uid="{00000000-0005-0000-0000-000044230000}"/>
    <cellStyle name="Обычный 24 2 2 2 2 7 2 3 2 2 7" xfId="11304" xr:uid="{00000000-0005-0000-0000-000045230000}"/>
    <cellStyle name="Обычный 24 2 2 2 2 7 2 3 2 2 8" xfId="12290" xr:uid="{00000000-0005-0000-0000-000046230000}"/>
    <cellStyle name="Обычный 24 2 2 2 2 7 2 3 2 2 9" xfId="13276" xr:uid="{00000000-0005-0000-0000-000047230000}"/>
    <cellStyle name="Обычный 24 2 2 2 2 7 2 3 2 3" xfId="7326" xr:uid="{00000000-0005-0000-0000-000048230000}"/>
    <cellStyle name="Обычный 24 2 2 2 2 7 2 3 2 4" xfId="8332" xr:uid="{00000000-0005-0000-0000-000049230000}"/>
    <cellStyle name="Обычный 24 2 2 2 2 7 2 3 2 5" xfId="9318" xr:uid="{00000000-0005-0000-0000-00004A230000}"/>
    <cellStyle name="Обычный 24 2 2 2 2 7 2 3 2 6" xfId="10304" xr:uid="{00000000-0005-0000-0000-00004B230000}"/>
    <cellStyle name="Обычный 24 2 2 2 2 7 2 3 2 7" xfId="11290" xr:uid="{00000000-0005-0000-0000-00004C230000}"/>
    <cellStyle name="Обычный 24 2 2 2 2 7 2 3 2 8" xfId="12276" xr:uid="{00000000-0005-0000-0000-00004D230000}"/>
    <cellStyle name="Обычный 24 2 2 2 2 7 2 3 2 9" xfId="13262" xr:uid="{00000000-0005-0000-0000-00004E230000}"/>
    <cellStyle name="Обычный 24 2 2 2 2 7 2 3 3" xfId="7293" xr:uid="{00000000-0005-0000-0000-00004F230000}"/>
    <cellStyle name="Обычный 24 2 2 2 2 7 2 3 4" xfId="8299" xr:uid="{00000000-0005-0000-0000-000050230000}"/>
    <cellStyle name="Обычный 24 2 2 2 2 7 2 3 5" xfId="9285" xr:uid="{00000000-0005-0000-0000-000051230000}"/>
    <cellStyle name="Обычный 24 2 2 2 2 7 2 3 6" xfId="10271" xr:uid="{00000000-0005-0000-0000-000052230000}"/>
    <cellStyle name="Обычный 24 2 2 2 2 7 2 3 7" xfId="11257" xr:uid="{00000000-0005-0000-0000-000053230000}"/>
    <cellStyle name="Обычный 24 2 2 2 2 7 2 3 8" xfId="12243" xr:uid="{00000000-0005-0000-0000-000054230000}"/>
    <cellStyle name="Обычный 24 2 2 2 2 7 2 3 9" xfId="13229" xr:uid="{00000000-0005-0000-0000-000055230000}"/>
    <cellStyle name="Обычный 24 2 2 2 2 7 2 4" xfId="6309" xr:uid="{00000000-0005-0000-0000-000056230000}"/>
    <cellStyle name="Обычный 24 2 2 2 2 7 2 4 10" xfId="14242" xr:uid="{00000000-0005-0000-0000-000057230000}"/>
    <cellStyle name="Обычный 24 2 2 2 2 7 2 4 11" xfId="15228" xr:uid="{00000000-0005-0000-0000-000058230000}"/>
    <cellStyle name="Обычный 24 2 2 2 2 7 2 4 2" xfId="6328" xr:uid="{00000000-0005-0000-0000-000059230000}"/>
    <cellStyle name="Обычный 24 2 2 2 2 7 2 4 2 10" xfId="14261" xr:uid="{00000000-0005-0000-0000-00005A230000}"/>
    <cellStyle name="Обычный 24 2 2 2 2 7 2 4 2 11" xfId="15247" xr:uid="{00000000-0005-0000-0000-00005B230000}"/>
    <cellStyle name="Обычный 24 2 2 2 2 7 2 4 2 2" xfId="6342" xr:uid="{00000000-0005-0000-0000-00005C230000}"/>
    <cellStyle name="Обычный 24 2 2 2 2 7 2 4 2 2 10" xfId="14275" xr:uid="{00000000-0005-0000-0000-00005D230000}"/>
    <cellStyle name="Обычный 24 2 2 2 2 7 2 4 2 2 11" xfId="15261" xr:uid="{00000000-0005-0000-0000-00005E230000}"/>
    <cellStyle name="Обычный 24 2 2 2 2 7 2 4 2 2 2" xfId="6360" xr:uid="{00000000-0005-0000-0000-00005F230000}"/>
    <cellStyle name="Обычный 24 2 2 2 2 7 2 4 2 2 2 10" xfId="14293" xr:uid="{00000000-0005-0000-0000-000060230000}"/>
    <cellStyle name="Обычный 24 2 2 2 2 7 2 4 2 2 2 11" xfId="15279" xr:uid="{00000000-0005-0000-0000-000061230000}"/>
    <cellStyle name="Обычный 24 2 2 2 2 7 2 4 2 2 2 2" xfId="6375" xr:uid="{00000000-0005-0000-0000-000062230000}"/>
    <cellStyle name="Обычный 24 2 2 2 2 7 2 4 2 2 2 2 10" xfId="14308" xr:uid="{00000000-0005-0000-0000-000063230000}"/>
    <cellStyle name="Обычный 24 2 2 2 2 7 2 4 2 2 2 2 11" xfId="15294" xr:uid="{00000000-0005-0000-0000-000064230000}"/>
    <cellStyle name="Обычный 24 2 2 2 2 7 2 4 2 2 2 2 2" xfId="6390" xr:uid="{00000000-0005-0000-0000-000065230000}"/>
    <cellStyle name="Обычный 24 2 2 2 2 7 2 4 2 2 2 2 2 10" xfId="15309" xr:uid="{00000000-0005-0000-0000-000066230000}"/>
    <cellStyle name="Обычный 24 2 2 2 2 7 2 4 2 2 2 2 2 2" xfId="7387" xr:uid="{00000000-0005-0000-0000-000067230000}"/>
    <cellStyle name="Обычный 24 2 2 2 2 7 2 4 2 2 2 2 2 3" xfId="8393" xr:uid="{00000000-0005-0000-0000-000068230000}"/>
    <cellStyle name="Обычный 24 2 2 2 2 7 2 4 2 2 2 2 2 4" xfId="9379" xr:uid="{00000000-0005-0000-0000-000069230000}"/>
    <cellStyle name="Обычный 24 2 2 2 2 7 2 4 2 2 2 2 2 5" xfId="10365" xr:uid="{00000000-0005-0000-0000-00006A230000}"/>
    <cellStyle name="Обычный 24 2 2 2 2 7 2 4 2 2 2 2 2 6" xfId="11351" xr:uid="{00000000-0005-0000-0000-00006B230000}"/>
    <cellStyle name="Обычный 24 2 2 2 2 7 2 4 2 2 2 2 2 7" xfId="12337" xr:uid="{00000000-0005-0000-0000-00006C230000}"/>
    <cellStyle name="Обычный 24 2 2 2 2 7 2 4 2 2 2 2 2 8" xfId="13323" xr:uid="{00000000-0005-0000-0000-00006D230000}"/>
    <cellStyle name="Обычный 24 2 2 2 2 7 2 4 2 2 2 2 2 9" xfId="14323" xr:uid="{00000000-0005-0000-0000-00006E230000}"/>
    <cellStyle name="Обычный 24 2 2 2 2 7 2 4 2 2 2 2 3" xfId="7372" xr:uid="{00000000-0005-0000-0000-00006F230000}"/>
    <cellStyle name="Обычный 24 2 2 2 2 7 2 4 2 2 2 2 4" xfId="8378" xr:uid="{00000000-0005-0000-0000-000070230000}"/>
    <cellStyle name="Обычный 24 2 2 2 2 7 2 4 2 2 2 2 5" xfId="9364" xr:uid="{00000000-0005-0000-0000-000071230000}"/>
    <cellStyle name="Обычный 24 2 2 2 2 7 2 4 2 2 2 2 6" xfId="10350" xr:uid="{00000000-0005-0000-0000-000072230000}"/>
    <cellStyle name="Обычный 24 2 2 2 2 7 2 4 2 2 2 2 7" xfId="11336" xr:uid="{00000000-0005-0000-0000-000073230000}"/>
    <cellStyle name="Обычный 24 2 2 2 2 7 2 4 2 2 2 2 8" xfId="12322" xr:uid="{00000000-0005-0000-0000-000074230000}"/>
    <cellStyle name="Обычный 24 2 2 2 2 7 2 4 2 2 2 2 9" xfId="13308" xr:uid="{00000000-0005-0000-0000-000075230000}"/>
    <cellStyle name="Обычный 24 2 2 2 2 7 2 4 2 2 2 3" xfId="7357" xr:uid="{00000000-0005-0000-0000-000076230000}"/>
    <cellStyle name="Обычный 24 2 2 2 2 7 2 4 2 2 2 4" xfId="8363" xr:uid="{00000000-0005-0000-0000-000077230000}"/>
    <cellStyle name="Обычный 24 2 2 2 2 7 2 4 2 2 2 5" xfId="9349" xr:uid="{00000000-0005-0000-0000-000078230000}"/>
    <cellStyle name="Обычный 24 2 2 2 2 7 2 4 2 2 2 6" xfId="10335" xr:uid="{00000000-0005-0000-0000-000079230000}"/>
    <cellStyle name="Обычный 24 2 2 2 2 7 2 4 2 2 2 7" xfId="11321" xr:uid="{00000000-0005-0000-0000-00007A230000}"/>
    <cellStyle name="Обычный 24 2 2 2 2 7 2 4 2 2 2 8" xfId="12307" xr:uid="{00000000-0005-0000-0000-00007B230000}"/>
    <cellStyle name="Обычный 24 2 2 2 2 7 2 4 2 2 2 9" xfId="13293" xr:uid="{00000000-0005-0000-0000-00007C230000}"/>
    <cellStyle name="Обычный 24 2 2 2 2 7 2 4 2 2 3" xfId="7339" xr:uid="{00000000-0005-0000-0000-00007D230000}"/>
    <cellStyle name="Обычный 24 2 2 2 2 7 2 4 2 2 4" xfId="8345" xr:uid="{00000000-0005-0000-0000-00007E230000}"/>
    <cellStyle name="Обычный 24 2 2 2 2 7 2 4 2 2 5" xfId="9331" xr:uid="{00000000-0005-0000-0000-00007F230000}"/>
    <cellStyle name="Обычный 24 2 2 2 2 7 2 4 2 2 6" xfId="10317" xr:uid="{00000000-0005-0000-0000-000080230000}"/>
    <cellStyle name="Обычный 24 2 2 2 2 7 2 4 2 2 7" xfId="11303" xr:uid="{00000000-0005-0000-0000-000081230000}"/>
    <cellStyle name="Обычный 24 2 2 2 2 7 2 4 2 2 8" xfId="12289" xr:uid="{00000000-0005-0000-0000-000082230000}"/>
    <cellStyle name="Обычный 24 2 2 2 2 7 2 4 2 2 9" xfId="13275" xr:uid="{00000000-0005-0000-0000-000083230000}"/>
    <cellStyle name="Обычный 24 2 2 2 2 7 2 4 2 3" xfId="7325" xr:uid="{00000000-0005-0000-0000-000084230000}"/>
    <cellStyle name="Обычный 24 2 2 2 2 7 2 4 2 4" xfId="8331" xr:uid="{00000000-0005-0000-0000-000085230000}"/>
    <cellStyle name="Обычный 24 2 2 2 2 7 2 4 2 5" xfId="9317" xr:uid="{00000000-0005-0000-0000-000086230000}"/>
    <cellStyle name="Обычный 24 2 2 2 2 7 2 4 2 6" xfId="10303" xr:uid="{00000000-0005-0000-0000-000087230000}"/>
    <cellStyle name="Обычный 24 2 2 2 2 7 2 4 2 7" xfId="11289" xr:uid="{00000000-0005-0000-0000-000088230000}"/>
    <cellStyle name="Обычный 24 2 2 2 2 7 2 4 2 8" xfId="12275" xr:uid="{00000000-0005-0000-0000-000089230000}"/>
    <cellStyle name="Обычный 24 2 2 2 2 7 2 4 2 9" xfId="13261" xr:uid="{00000000-0005-0000-0000-00008A230000}"/>
    <cellStyle name="Обычный 24 2 2 2 2 7 2 4 3" xfId="7306" xr:uid="{00000000-0005-0000-0000-00008B230000}"/>
    <cellStyle name="Обычный 24 2 2 2 2 7 2 4 4" xfId="8312" xr:uid="{00000000-0005-0000-0000-00008C230000}"/>
    <cellStyle name="Обычный 24 2 2 2 2 7 2 4 5" xfId="9298" xr:uid="{00000000-0005-0000-0000-00008D230000}"/>
    <cellStyle name="Обычный 24 2 2 2 2 7 2 4 6" xfId="10284" xr:uid="{00000000-0005-0000-0000-00008E230000}"/>
    <cellStyle name="Обычный 24 2 2 2 2 7 2 4 7" xfId="11270" xr:uid="{00000000-0005-0000-0000-00008F230000}"/>
    <cellStyle name="Обычный 24 2 2 2 2 7 2 4 8" xfId="12256" xr:uid="{00000000-0005-0000-0000-000090230000}"/>
    <cellStyle name="Обычный 24 2 2 2 2 7 2 4 9" xfId="13242" xr:uid="{00000000-0005-0000-0000-000091230000}"/>
    <cellStyle name="Обычный 24 2 2 2 2 7 2 5" xfId="7262" xr:uid="{00000000-0005-0000-0000-000092230000}"/>
    <cellStyle name="Обычный 24 2 2 2 2 7 2 6" xfId="8268" xr:uid="{00000000-0005-0000-0000-000093230000}"/>
    <cellStyle name="Обычный 24 2 2 2 2 7 2 7" xfId="9254" xr:uid="{00000000-0005-0000-0000-000094230000}"/>
    <cellStyle name="Обычный 24 2 2 2 2 7 2 8" xfId="10240" xr:uid="{00000000-0005-0000-0000-000095230000}"/>
    <cellStyle name="Обычный 24 2 2 2 2 7 2 9" xfId="11226" xr:uid="{00000000-0005-0000-0000-000096230000}"/>
    <cellStyle name="Обычный 24 2 2 2 2 8" xfId="9159" xr:uid="{00000000-0005-0000-0000-000097230000}"/>
    <cellStyle name="Обычный 24 2 2 2 2 8 2" xfId="6263" xr:uid="{00000000-0005-0000-0000-000098230000}"/>
    <cellStyle name="Обычный 24 2 2 2 2 8 2 10" xfId="12210" xr:uid="{00000000-0005-0000-0000-000099230000}"/>
    <cellStyle name="Обычный 24 2 2 2 2 8 2 11" xfId="13196" xr:uid="{00000000-0005-0000-0000-00009A230000}"/>
    <cellStyle name="Обычный 24 2 2 2 2 8 2 12" xfId="14196" xr:uid="{00000000-0005-0000-0000-00009B230000}"/>
    <cellStyle name="Обычный 24 2 2 2 2 8 2 13" xfId="15182" xr:uid="{00000000-0005-0000-0000-00009C230000}"/>
    <cellStyle name="Обычный 24 2 2 2 2 8 2 2" xfId="6281" xr:uid="{00000000-0005-0000-0000-00009D230000}"/>
    <cellStyle name="Обычный 24 2 2 2 2 8 2 2 10" xfId="15200" xr:uid="{00000000-0005-0000-0000-00009E230000}"/>
    <cellStyle name="Обычный 24 2 2 2 2 8 2 2 2" xfId="7278" xr:uid="{00000000-0005-0000-0000-00009F230000}"/>
    <cellStyle name="Обычный 24 2 2 2 2 8 2 2 3" xfId="8284" xr:uid="{00000000-0005-0000-0000-0000A0230000}"/>
    <cellStyle name="Обычный 24 2 2 2 2 8 2 2 4" xfId="9270" xr:uid="{00000000-0005-0000-0000-0000A1230000}"/>
    <cellStyle name="Обычный 24 2 2 2 2 8 2 2 5" xfId="10256" xr:uid="{00000000-0005-0000-0000-0000A2230000}"/>
    <cellStyle name="Обычный 24 2 2 2 2 8 2 2 6" xfId="11242" xr:uid="{00000000-0005-0000-0000-0000A3230000}"/>
    <cellStyle name="Обычный 24 2 2 2 2 8 2 2 7" xfId="12228" xr:uid="{00000000-0005-0000-0000-0000A4230000}"/>
    <cellStyle name="Обычный 24 2 2 2 2 8 2 2 8" xfId="13214" xr:uid="{00000000-0005-0000-0000-0000A5230000}"/>
    <cellStyle name="Обычный 24 2 2 2 2 8 2 2 9" xfId="14214" xr:uid="{00000000-0005-0000-0000-0000A6230000}"/>
    <cellStyle name="Обычный 24 2 2 2 2 8 2 3" xfId="6294" xr:uid="{00000000-0005-0000-0000-0000A7230000}"/>
    <cellStyle name="Обычный 24 2 2 2 2 8 2 3 10" xfId="15213" xr:uid="{00000000-0005-0000-0000-0000A8230000}"/>
    <cellStyle name="Обычный 24 2 2 2 2 8 2 3 2" xfId="7291" xr:uid="{00000000-0005-0000-0000-0000A9230000}"/>
    <cellStyle name="Обычный 24 2 2 2 2 8 2 3 3" xfId="8297" xr:uid="{00000000-0005-0000-0000-0000AA230000}"/>
    <cellStyle name="Обычный 24 2 2 2 2 8 2 3 4" xfId="9283" xr:uid="{00000000-0005-0000-0000-0000AB230000}"/>
    <cellStyle name="Обычный 24 2 2 2 2 8 2 3 5" xfId="10269" xr:uid="{00000000-0005-0000-0000-0000AC230000}"/>
    <cellStyle name="Обычный 24 2 2 2 2 8 2 3 6" xfId="11255" xr:uid="{00000000-0005-0000-0000-0000AD230000}"/>
    <cellStyle name="Обычный 24 2 2 2 2 8 2 3 7" xfId="12241" xr:uid="{00000000-0005-0000-0000-0000AE230000}"/>
    <cellStyle name="Обычный 24 2 2 2 2 8 2 3 8" xfId="13227" xr:uid="{00000000-0005-0000-0000-0000AF230000}"/>
    <cellStyle name="Обычный 24 2 2 2 2 8 2 3 9" xfId="14227" xr:uid="{00000000-0005-0000-0000-0000B0230000}"/>
    <cellStyle name="Обычный 24 2 2 2 2 8 2 4" xfId="6307" xr:uid="{00000000-0005-0000-0000-0000B1230000}"/>
    <cellStyle name="Обычный 24 2 2 2 2 8 2 4 10" xfId="14240" xr:uid="{00000000-0005-0000-0000-0000B2230000}"/>
    <cellStyle name="Обычный 24 2 2 2 2 8 2 4 11" xfId="15226" xr:uid="{00000000-0005-0000-0000-0000B3230000}"/>
    <cellStyle name="Обычный 24 2 2 2 2 8 2 4 2" xfId="6326" xr:uid="{00000000-0005-0000-0000-0000B4230000}"/>
    <cellStyle name="Обычный 24 2 2 2 2 8 2 4 2 10" xfId="14259" xr:uid="{00000000-0005-0000-0000-0000B5230000}"/>
    <cellStyle name="Обычный 24 2 2 2 2 8 2 4 2 11" xfId="15245" xr:uid="{00000000-0005-0000-0000-0000B6230000}"/>
    <cellStyle name="Обычный 24 2 2 2 2 8 2 4 2 2" xfId="6340" xr:uid="{00000000-0005-0000-0000-0000B7230000}"/>
    <cellStyle name="Обычный 24 2 2 2 2 8 2 4 2 2 10" xfId="14273" xr:uid="{00000000-0005-0000-0000-0000B8230000}"/>
    <cellStyle name="Обычный 24 2 2 2 2 8 2 4 2 2 11" xfId="15259" xr:uid="{00000000-0005-0000-0000-0000B9230000}"/>
    <cellStyle name="Обычный 24 2 2 2 2 8 2 4 2 2 2" xfId="6358" xr:uid="{00000000-0005-0000-0000-0000BA230000}"/>
    <cellStyle name="Обычный 24 2 2 2 2 8 2 4 2 2 2 10" xfId="14291" xr:uid="{00000000-0005-0000-0000-0000BB230000}"/>
    <cellStyle name="Обычный 24 2 2 2 2 8 2 4 2 2 2 11" xfId="15277" xr:uid="{00000000-0005-0000-0000-0000BC230000}"/>
    <cellStyle name="Обычный 24 2 2 2 2 8 2 4 2 2 2 2" xfId="6373" xr:uid="{00000000-0005-0000-0000-0000BD230000}"/>
    <cellStyle name="Обычный 24 2 2 2 2 8 2 4 2 2 2 2 10" xfId="14306" xr:uid="{00000000-0005-0000-0000-0000BE230000}"/>
    <cellStyle name="Обычный 24 2 2 2 2 8 2 4 2 2 2 2 11" xfId="15292" xr:uid="{00000000-0005-0000-0000-0000BF230000}"/>
    <cellStyle name="Обычный 24 2 2 2 2 8 2 4 2 2 2 2 2" xfId="6388" xr:uid="{00000000-0005-0000-0000-0000C0230000}"/>
    <cellStyle name="Обычный 24 2 2 2 2 8 2 4 2 2 2 2 2 10" xfId="15307" xr:uid="{00000000-0005-0000-0000-0000C1230000}"/>
    <cellStyle name="Обычный 24 2 2 2 2 8 2 4 2 2 2 2 2 2" xfId="7385" xr:uid="{00000000-0005-0000-0000-0000C2230000}"/>
    <cellStyle name="Обычный 24 2 2 2 2 8 2 4 2 2 2 2 2 3" xfId="8391" xr:uid="{00000000-0005-0000-0000-0000C3230000}"/>
    <cellStyle name="Обычный 24 2 2 2 2 8 2 4 2 2 2 2 2 4" xfId="9377" xr:uid="{00000000-0005-0000-0000-0000C4230000}"/>
    <cellStyle name="Обычный 24 2 2 2 2 8 2 4 2 2 2 2 2 5" xfId="10363" xr:uid="{00000000-0005-0000-0000-0000C5230000}"/>
    <cellStyle name="Обычный 24 2 2 2 2 8 2 4 2 2 2 2 2 6" xfId="11349" xr:uid="{00000000-0005-0000-0000-0000C6230000}"/>
    <cellStyle name="Обычный 24 2 2 2 2 8 2 4 2 2 2 2 2 7" xfId="12335" xr:uid="{00000000-0005-0000-0000-0000C7230000}"/>
    <cellStyle name="Обычный 24 2 2 2 2 8 2 4 2 2 2 2 2 8" xfId="13321" xr:uid="{00000000-0005-0000-0000-0000C8230000}"/>
    <cellStyle name="Обычный 24 2 2 2 2 8 2 4 2 2 2 2 2 9" xfId="14321" xr:uid="{00000000-0005-0000-0000-0000C9230000}"/>
    <cellStyle name="Обычный 24 2 2 2 2 8 2 4 2 2 2 2 3" xfId="7370" xr:uid="{00000000-0005-0000-0000-0000CA230000}"/>
    <cellStyle name="Обычный 24 2 2 2 2 8 2 4 2 2 2 2 4" xfId="8376" xr:uid="{00000000-0005-0000-0000-0000CB230000}"/>
    <cellStyle name="Обычный 24 2 2 2 2 8 2 4 2 2 2 2 5" xfId="9362" xr:uid="{00000000-0005-0000-0000-0000CC230000}"/>
    <cellStyle name="Обычный 24 2 2 2 2 8 2 4 2 2 2 2 6" xfId="10348" xr:uid="{00000000-0005-0000-0000-0000CD230000}"/>
    <cellStyle name="Обычный 24 2 2 2 2 8 2 4 2 2 2 2 7" xfId="11334" xr:uid="{00000000-0005-0000-0000-0000CE230000}"/>
    <cellStyle name="Обычный 24 2 2 2 2 8 2 4 2 2 2 2 8" xfId="12320" xr:uid="{00000000-0005-0000-0000-0000CF230000}"/>
    <cellStyle name="Обычный 24 2 2 2 2 8 2 4 2 2 2 2 9" xfId="13306" xr:uid="{00000000-0005-0000-0000-0000D0230000}"/>
    <cellStyle name="Обычный 24 2 2 2 2 8 2 4 2 2 2 3" xfId="7355" xr:uid="{00000000-0005-0000-0000-0000D1230000}"/>
    <cellStyle name="Обычный 24 2 2 2 2 8 2 4 2 2 2 4" xfId="8361" xr:uid="{00000000-0005-0000-0000-0000D2230000}"/>
    <cellStyle name="Обычный 24 2 2 2 2 8 2 4 2 2 2 5" xfId="9347" xr:uid="{00000000-0005-0000-0000-0000D3230000}"/>
    <cellStyle name="Обычный 24 2 2 2 2 8 2 4 2 2 2 6" xfId="10333" xr:uid="{00000000-0005-0000-0000-0000D4230000}"/>
    <cellStyle name="Обычный 24 2 2 2 2 8 2 4 2 2 2 7" xfId="11319" xr:uid="{00000000-0005-0000-0000-0000D5230000}"/>
    <cellStyle name="Обычный 24 2 2 2 2 8 2 4 2 2 2 8" xfId="12305" xr:uid="{00000000-0005-0000-0000-0000D6230000}"/>
    <cellStyle name="Обычный 24 2 2 2 2 8 2 4 2 2 2 9" xfId="13291" xr:uid="{00000000-0005-0000-0000-0000D7230000}"/>
    <cellStyle name="Обычный 24 2 2 2 2 8 2 4 2 2 3" xfId="7337" xr:uid="{00000000-0005-0000-0000-0000D8230000}"/>
    <cellStyle name="Обычный 24 2 2 2 2 8 2 4 2 2 4" xfId="8343" xr:uid="{00000000-0005-0000-0000-0000D9230000}"/>
    <cellStyle name="Обычный 24 2 2 2 2 8 2 4 2 2 5" xfId="9329" xr:uid="{00000000-0005-0000-0000-0000DA230000}"/>
    <cellStyle name="Обычный 24 2 2 2 2 8 2 4 2 2 6" xfId="10315" xr:uid="{00000000-0005-0000-0000-0000DB230000}"/>
    <cellStyle name="Обычный 24 2 2 2 2 8 2 4 2 2 7" xfId="11301" xr:uid="{00000000-0005-0000-0000-0000DC230000}"/>
    <cellStyle name="Обычный 24 2 2 2 2 8 2 4 2 2 8" xfId="12287" xr:uid="{00000000-0005-0000-0000-0000DD230000}"/>
    <cellStyle name="Обычный 24 2 2 2 2 8 2 4 2 2 9" xfId="13273" xr:uid="{00000000-0005-0000-0000-0000DE230000}"/>
    <cellStyle name="Обычный 24 2 2 2 2 8 2 4 2 3" xfId="7323" xr:uid="{00000000-0005-0000-0000-0000DF230000}"/>
    <cellStyle name="Обычный 24 2 2 2 2 8 2 4 2 4" xfId="8329" xr:uid="{00000000-0005-0000-0000-0000E0230000}"/>
    <cellStyle name="Обычный 24 2 2 2 2 8 2 4 2 5" xfId="9315" xr:uid="{00000000-0005-0000-0000-0000E1230000}"/>
    <cellStyle name="Обычный 24 2 2 2 2 8 2 4 2 6" xfId="10301" xr:uid="{00000000-0005-0000-0000-0000E2230000}"/>
    <cellStyle name="Обычный 24 2 2 2 2 8 2 4 2 7" xfId="11287" xr:uid="{00000000-0005-0000-0000-0000E3230000}"/>
    <cellStyle name="Обычный 24 2 2 2 2 8 2 4 2 8" xfId="12273" xr:uid="{00000000-0005-0000-0000-0000E4230000}"/>
    <cellStyle name="Обычный 24 2 2 2 2 8 2 4 2 9" xfId="13259" xr:uid="{00000000-0005-0000-0000-0000E5230000}"/>
    <cellStyle name="Обычный 24 2 2 2 2 8 2 4 3" xfId="7304" xr:uid="{00000000-0005-0000-0000-0000E6230000}"/>
    <cellStyle name="Обычный 24 2 2 2 2 8 2 4 4" xfId="8310" xr:uid="{00000000-0005-0000-0000-0000E7230000}"/>
    <cellStyle name="Обычный 24 2 2 2 2 8 2 4 5" xfId="9296" xr:uid="{00000000-0005-0000-0000-0000E8230000}"/>
    <cellStyle name="Обычный 24 2 2 2 2 8 2 4 6" xfId="10282" xr:uid="{00000000-0005-0000-0000-0000E9230000}"/>
    <cellStyle name="Обычный 24 2 2 2 2 8 2 4 7" xfId="11268" xr:uid="{00000000-0005-0000-0000-0000EA230000}"/>
    <cellStyle name="Обычный 24 2 2 2 2 8 2 4 8" xfId="12254" xr:uid="{00000000-0005-0000-0000-0000EB230000}"/>
    <cellStyle name="Обычный 24 2 2 2 2 8 2 4 9" xfId="13240" xr:uid="{00000000-0005-0000-0000-0000EC230000}"/>
    <cellStyle name="Обычный 24 2 2 2 2 8 2 5" xfId="7260" xr:uid="{00000000-0005-0000-0000-0000ED230000}"/>
    <cellStyle name="Обычный 24 2 2 2 2 8 2 6" xfId="8266" xr:uid="{00000000-0005-0000-0000-0000EE230000}"/>
    <cellStyle name="Обычный 24 2 2 2 2 8 2 7" xfId="9252" xr:uid="{00000000-0005-0000-0000-0000EF230000}"/>
    <cellStyle name="Обычный 24 2 2 2 2 8 2 8" xfId="10238" xr:uid="{00000000-0005-0000-0000-0000F0230000}"/>
    <cellStyle name="Обычный 24 2 2 2 2 8 2 9" xfId="11224" xr:uid="{00000000-0005-0000-0000-0000F1230000}"/>
    <cellStyle name="Обычный 24 2 2 2 2 9" xfId="10145" xr:uid="{00000000-0005-0000-0000-0000F2230000}"/>
    <cellStyle name="Обычный 24 2 2 2 3" xfId="6167" xr:uid="{00000000-0005-0000-0000-0000F3230000}"/>
    <cellStyle name="Обычный 24 2 2 2 3 10" xfId="13111" xr:uid="{00000000-0005-0000-0000-0000F4230000}"/>
    <cellStyle name="Обычный 24 2 2 2 3 11" xfId="14111" xr:uid="{00000000-0005-0000-0000-0000F5230000}"/>
    <cellStyle name="Обычный 24 2 2 2 3 12" xfId="15097" xr:uid="{00000000-0005-0000-0000-0000F6230000}"/>
    <cellStyle name="Обычный 24 2 2 2 3 2" xfId="6622" xr:uid="{00000000-0005-0000-0000-0000F7230000}"/>
    <cellStyle name="Обычный 24 2 2 2 3 2 10" xfId="15541" xr:uid="{00000000-0005-0000-0000-0000F8230000}"/>
    <cellStyle name="Обычный 24 2 2 2 3 2 2" xfId="7619" xr:uid="{00000000-0005-0000-0000-0000F9230000}"/>
    <cellStyle name="Обычный 24 2 2 2 3 2 3" xfId="8625" xr:uid="{00000000-0005-0000-0000-0000FA230000}"/>
    <cellStyle name="Обычный 24 2 2 2 3 2 4" xfId="9611" xr:uid="{00000000-0005-0000-0000-0000FB230000}"/>
    <cellStyle name="Обычный 24 2 2 2 3 2 5" xfId="10597" xr:uid="{00000000-0005-0000-0000-0000FC230000}"/>
    <cellStyle name="Обычный 24 2 2 2 3 2 6" xfId="11583" xr:uid="{00000000-0005-0000-0000-0000FD230000}"/>
    <cellStyle name="Обычный 24 2 2 2 3 2 7" xfId="12569" xr:uid="{00000000-0005-0000-0000-0000FE230000}"/>
    <cellStyle name="Обычный 24 2 2 2 3 2 8" xfId="13555" xr:uid="{00000000-0005-0000-0000-0000FF230000}"/>
    <cellStyle name="Обычный 24 2 2 2 3 2 9" xfId="14555" xr:uid="{00000000-0005-0000-0000-000000240000}"/>
    <cellStyle name="Обычный 24 2 2 2 3 3" xfId="6892" xr:uid="{00000000-0005-0000-0000-000001240000}"/>
    <cellStyle name="Обычный 24 2 2 2 3 3 10" xfId="15811" xr:uid="{00000000-0005-0000-0000-000002240000}"/>
    <cellStyle name="Обычный 24 2 2 2 3 3 2" xfId="7889" xr:uid="{00000000-0005-0000-0000-000003240000}"/>
    <cellStyle name="Обычный 24 2 2 2 3 3 3" xfId="8895" xr:uid="{00000000-0005-0000-0000-000004240000}"/>
    <cellStyle name="Обычный 24 2 2 2 3 3 4" xfId="9881" xr:uid="{00000000-0005-0000-0000-000005240000}"/>
    <cellStyle name="Обычный 24 2 2 2 3 3 5" xfId="10867" xr:uid="{00000000-0005-0000-0000-000006240000}"/>
    <cellStyle name="Обычный 24 2 2 2 3 3 6" xfId="11853" xr:uid="{00000000-0005-0000-0000-000007240000}"/>
    <cellStyle name="Обычный 24 2 2 2 3 3 7" xfId="12839" xr:uid="{00000000-0005-0000-0000-000008240000}"/>
    <cellStyle name="Обычный 24 2 2 2 3 3 8" xfId="13825" xr:uid="{00000000-0005-0000-0000-000009240000}"/>
    <cellStyle name="Обычный 24 2 2 2 3 3 9" xfId="14825" xr:uid="{00000000-0005-0000-0000-00000A240000}"/>
    <cellStyle name="Обычный 24 2 2 2 3 4" xfId="7175" xr:uid="{00000000-0005-0000-0000-00000B240000}"/>
    <cellStyle name="Обычный 24 2 2 2 3 5" xfId="8181" xr:uid="{00000000-0005-0000-0000-00000C240000}"/>
    <cellStyle name="Обычный 24 2 2 2 3 6" xfId="9167" xr:uid="{00000000-0005-0000-0000-00000D240000}"/>
    <cellStyle name="Обычный 24 2 2 2 3 7" xfId="10153" xr:uid="{00000000-0005-0000-0000-00000E240000}"/>
    <cellStyle name="Обычный 24 2 2 2 3 8" xfId="11139" xr:uid="{00000000-0005-0000-0000-00000F240000}"/>
    <cellStyle name="Обычный 24 2 2 2 3 9" xfId="12125" xr:uid="{00000000-0005-0000-0000-000010240000}"/>
    <cellStyle name="Обычный 24 2 2 2 4" xfId="6235" xr:uid="{00000000-0005-0000-0000-000011240000}"/>
    <cellStyle name="Обычный 24 2 2 2 4 10" xfId="12182" xr:uid="{00000000-0005-0000-0000-000012240000}"/>
    <cellStyle name="Обычный 24 2 2 2 4 11" xfId="13168" xr:uid="{00000000-0005-0000-0000-000013240000}"/>
    <cellStyle name="Обычный 24 2 2 2 4 12" xfId="14168" xr:uid="{00000000-0005-0000-0000-000014240000}"/>
    <cellStyle name="Обычный 24 2 2 2 4 13" xfId="15154" xr:uid="{00000000-0005-0000-0000-000015240000}"/>
    <cellStyle name="Обычный 24 2 2 2 4 2" xfId="6242" xr:uid="{00000000-0005-0000-0000-000016240000}"/>
    <cellStyle name="Обычный 24 2 2 2 4 2 10" xfId="15161" xr:uid="{00000000-0005-0000-0000-000017240000}"/>
    <cellStyle name="Обычный 24 2 2 2 4 2 2" xfId="7239" xr:uid="{00000000-0005-0000-0000-000018240000}"/>
    <cellStyle name="Обычный 24 2 2 2 4 2 3" xfId="8245" xr:uid="{00000000-0005-0000-0000-000019240000}"/>
    <cellStyle name="Обычный 24 2 2 2 4 2 4" xfId="9231" xr:uid="{00000000-0005-0000-0000-00001A240000}"/>
    <cellStyle name="Обычный 24 2 2 2 4 2 5" xfId="10217" xr:uid="{00000000-0005-0000-0000-00001B240000}"/>
    <cellStyle name="Обычный 24 2 2 2 4 2 6" xfId="11203" xr:uid="{00000000-0005-0000-0000-00001C240000}"/>
    <cellStyle name="Обычный 24 2 2 2 4 2 7" xfId="12189" xr:uid="{00000000-0005-0000-0000-00001D240000}"/>
    <cellStyle name="Обычный 24 2 2 2 4 2 8" xfId="13175" xr:uid="{00000000-0005-0000-0000-00001E240000}"/>
    <cellStyle name="Обычный 24 2 2 2 4 2 9" xfId="14175" xr:uid="{00000000-0005-0000-0000-00001F240000}"/>
    <cellStyle name="Обычный 24 2 2 2 4 3" xfId="6679" xr:uid="{00000000-0005-0000-0000-000020240000}"/>
    <cellStyle name="Обычный 24 2 2 2 4 3 10" xfId="15598" xr:uid="{00000000-0005-0000-0000-000021240000}"/>
    <cellStyle name="Обычный 24 2 2 2 4 3 2" xfId="7676" xr:uid="{00000000-0005-0000-0000-000022240000}"/>
    <cellStyle name="Обычный 24 2 2 2 4 3 3" xfId="8682" xr:uid="{00000000-0005-0000-0000-000023240000}"/>
    <cellStyle name="Обычный 24 2 2 2 4 3 4" xfId="9668" xr:uid="{00000000-0005-0000-0000-000024240000}"/>
    <cellStyle name="Обычный 24 2 2 2 4 3 5" xfId="10654" xr:uid="{00000000-0005-0000-0000-000025240000}"/>
    <cellStyle name="Обычный 24 2 2 2 4 3 6" xfId="11640" xr:uid="{00000000-0005-0000-0000-000026240000}"/>
    <cellStyle name="Обычный 24 2 2 2 4 3 7" xfId="12626" xr:uid="{00000000-0005-0000-0000-000027240000}"/>
    <cellStyle name="Обычный 24 2 2 2 4 3 8" xfId="13612" xr:uid="{00000000-0005-0000-0000-000028240000}"/>
    <cellStyle name="Обычный 24 2 2 2 4 3 9" xfId="14612" xr:uid="{00000000-0005-0000-0000-000029240000}"/>
    <cellStyle name="Обычный 24 2 2 2 4 4" xfId="6949" xr:uid="{00000000-0005-0000-0000-00002A240000}"/>
    <cellStyle name="Обычный 24 2 2 2 4 4 10" xfId="15868" xr:uid="{00000000-0005-0000-0000-00002B240000}"/>
    <cellStyle name="Обычный 24 2 2 2 4 4 2" xfId="7946" xr:uid="{00000000-0005-0000-0000-00002C240000}"/>
    <cellStyle name="Обычный 24 2 2 2 4 4 2 2" xfId="6268" xr:uid="{00000000-0005-0000-0000-00002D240000}"/>
    <cellStyle name="Обычный 24 2 2 2 4 4 2 2 10" xfId="12215" xr:uid="{00000000-0005-0000-0000-00002E240000}"/>
    <cellStyle name="Обычный 24 2 2 2 4 4 2 2 11" xfId="13201" xr:uid="{00000000-0005-0000-0000-00002F240000}"/>
    <cellStyle name="Обычный 24 2 2 2 4 4 2 2 12" xfId="14201" xr:uid="{00000000-0005-0000-0000-000030240000}"/>
    <cellStyle name="Обычный 24 2 2 2 4 4 2 2 13" xfId="15187" xr:uid="{00000000-0005-0000-0000-000031240000}"/>
    <cellStyle name="Обычный 24 2 2 2 4 4 2 2 2" xfId="6286" xr:uid="{00000000-0005-0000-0000-000032240000}"/>
    <cellStyle name="Обычный 24 2 2 2 4 4 2 2 2 10" xfId="15205" xr:uid="{00000000-0005-0000-0000-000033240000}"/>
    <cellStyle name="Обычный 24 2 2 2 4 4 2 2 2 2" xfId="7283" xr:uid="{00000000-0005-0000-0000-000034240000}"/>
    <cellStyle name="Обычный 24 2 2 2 4 4 2 2 2 3" xfId="8289" xr:uid="{00000000-0005-0000-0000-000035240000}"/>
    <cellStyle name="Обычный 24 2 2 2 4 4 2 2 2 4" xfId="9275" xr:uid="{00000000-0005-0000-0000-000036240000}"/>
    <cellStyle name="Обычный 24 2 2 2 4 4 2 2 2 5" xfId="10261" xr:uid="{00000000-0005-0000-0000-000037240000}"/>
    <cellStyle name="Обычный 24 2 2 2 4 4 2 2 2 6" xfId="11247" xr:uid="{00000000-0005-0000-0000-000038240000}"/>
    <cellStyle name="Обычный 24 2 2 2 4 4 2 2 2 7" xfId="12233" xr:uid="{00000000-0005-0000-0000-000039240000}"/>
    <cellStyle name="Обычный 24 2 2 2 4 4 2 2 2 8" xfId="13219" xr:uid="{00000000-0005-0000-0000-00003A240000}"/>
    <cellStyle name="Обычный 24 2 2 2 4 4 2 2 2 9" xfId="14219" xr:uid="{00000000-0005-0000-0000-00003B240000}"/>
    <cellStyle name="Обычный 24 2 2 2 4 4 2 2 3" xfId="6299" xr:uid="{00000000-0005-0000-0000-00003C240000}"/>
    <cellStyle name="Обычный 24 2 2 2 4 4 2 2 3 10" xfId="15218" xr:uid="{00000000-0005-0000-0000-00003D240000}"/>
    <cellStyle name="Обычный 24 2 2 2 4 4 2 2 3 2" xfId="7296" xr:uid="{00000000-0005-0000-0000-00003E240000}"/>
    <cellStyle name="Обычный 24 2 2 2 4 4 2 2 3 3" xfId="8302" xr:uid="{00000000-0005-0000-0000-00003F240000}"/>
    <cellStyle name="Обычный 24 2 2 2 4 4 2 2 3 4" xfId="9288" xr:uid="{00000000-0005-0000-0000-000040240000}"/>
    <cellStyle name="Обычный 24 2 2 2 4 4 2 2 3 5" xfId="10274" xr:uid="{00000000-0005-0000-0000-000041240000}"/>
    <cellStyle name="Обычный 24 2 2 2 4 4 2 2 3 6" xfId="11260" xr:uid="{00000000-0005-0000-0000-000042240000}"/>
    <cellStyle name="Обычный 24 2 2 2 4 4 2 2 3 7" xfId="12246" xr:uid="{00000000-0005-0000-0000-000043240000}"/>
    <cellStyle name="Обычный 24 2 2 2 4 4 2 2 3 8" xfId="13232" xr:uid="{00000000-0005-0000-0000-000044240000}"/>
    <cellStyle name="Обычный 24 2 2 2 4 4 2 2 3 9" xfId="14232" xr:uid="{00000000-0005-0000-0000-000045240000}"/>
    <cellStyle name="Обычный 24 2 2 2 4 4 2 2 4" xfId="6312" xr:uid="{00000000-0005-0000-0000-000046240000}"/>
    <cellStyle name="Обычный 24 2 2 2 4 4 2 2 4 10" xfId="15231" xr:uid="{00000000-0005-0000-0000-000047240000}"/>
    <cellStyle name="Обычный 24 2 2 2 4 4 2 2 4 2" xfId="7309" xr:uid="{00000000-0005-0000-0000-000048240000}"/>
    <cellStyle name="Обычный 24 2 2 2 4 4 2 2 4 3" xfId="8315" xr:uid="{00000000-0005-0000-0000-000049240000}"/>
    <cellStyle name="Обычный 24 2 2 2 4 4 2 2 4 4" xfId="9301" xr:uid="{00000000-0005-0000-0000-00004A240000}"/>
    <cellStyle name="Обычный 24 2 2 2 4 4 2 2 4 5" xfId="10287" xr:uid="{00000000-0005-0000-0000-00004B240000}"/>
    <cellStyle name="Обычный 24 2 2 2 4 4 2 2 4 6" xfId="11273" xr:uid="{00000000-0005-0000-0000-00004C240000}"/>
    <cellStyle name="Обычный 24 2 2 2 4 4 2 2 4 7" xfId="12259" xr:uid="{00000000-0005-0000-0000-00004D240000}"/>
    <cellStyle name="Обычный 24 2 2 2 4 4 2 2 4 8" xfId="13245" xr:uid="{00000000-0005-0000-0000-00004E240000}"/>
    <cellStyle name="Обычный 24 2 2 2 4 4 2 2 4 9" xfId="14245" xr:uid="{00000000-0005-0000-0000-00004F240000}"/>
    <cellStyle name="Обычный 24 2 2 2 4 4 2 2 5" xfId="7265" xr:uid="{00000000-0005-0000-0000-000050240000}"/>
    <cellStyle name="Обычный 24 2 2 2 4 4 2 2 6" xfId="8271" xr:uid="{00000000-0005-0000-0000-000051240000}"/>
    <cellStyle name="Обычный 24 2 2 2 4 4 2 2 7" xfId="9257" xr:uid="{00000000-0005-0000-0000-000052240000}"/>
    <cellStyle name="Обычный 24 2 2 2 4 4 2 2 8" xfId="10243" xr:uid="{00000000-0005-0000-0000-000053240000}"/>
    <cellStyle name="Обычный 24 2 2 2 4 4 2 2 9" xfId="11229" xr:uid="{00000000-0005-0000-0000-000054240000}"/>
    <cellStyle name="Обычный 24 2 2 2 4 4 3" xfId="8952" xr:uid="{00000000-0005-0000-0000-000055240000}"/>
    <cellStyle name="Обычный 24 2 2 2 4 4 4" xfId="9938" xr:uid="{00000000-0005-0000-0000-000056240000}"/>
    <cellStyle name="Обычный 24 2 2 2 4 4 5" xfId="10924" xr:uid="{00000000-0005-0000-0000-000057240000}"/>
    <cellStyle name="Обычный 24 2 2 2 4 4 6" xfId="11910" xr:uid="{00000000-0005-0000-0000-000058240000}"/>
    <cellStyle name="Обычный 24 2 2 2 4 4 7" xfId="12896" xr:uid="{00000000-0005-0000-0000-000059240000}"/>
    <cellStyle name="Обычный 24 2 2 2 4 4 8" xfId="13882" xr:uid="{00000000-0005-0000-0000-00005A240000}"/>
    <cellStyle name="Обычный 24 2 2 2 4 4 9" xfId="14882" xr:uid="{00000000-0005-0000-0000-00005B240000}"/>
    <cellStyle name="Обычный 24 2 2 2 4 5" xfId="7232" xr:uid="{00000000-0005-0000-0000-00005C240000}"/>
    <cellStyle name="Обычный 24 2 2 2 4 6" xfId="8238" xr:uid="{00000000-0005-0000-0000-00005D240000}"/>
    <cellStyle name="Обычный 24 2 2 2 4 7" xfId="9224" xr:uid="{00000000-0005-0000-0000-00005E240000}"/>
    <cellStyle name="Обычный 24 2 2 2 4 7 2" xfId="6256" xr:uid="{00000000-0005-0000-0000-00005F240000}"/>
    <cellStyle name="Обычный 24 2 2 2 4 7 2 10" xfId="12203" xr:uid="{00000000-0005-0000-0000-000060240000}"/>
    <cellStyle name="Обычный 24 2 2 2 4 7 2 11" xfId="13189" xr:uid="{00000000-0005-0000-0000-000061240000}"/>
    <cellStyle name="Обычный 24 2 2 2 4 7 2 12" xfId="14189" xr:uid="{00000000-0005-0000-0000-000062240000}"/>
    <cellStyle name="Обычный 24 2 2 2 4 7 2 13" xfId="15175" xr:uid="{00000000-0005-0000-0000-000063240000}"/>
    <cellStyle name="Обычный 24 2 2 2 4 7 2 2" xfId="6274" xr:uid="{00000000-0005-0000-0000-000064240000}"/>
    <cellStyle name="Обычный 24 2 2 2 4 7 2 2 10" xfId="15193" xr:uid="{00000000-0005-0000-0000-000065240000}"/>
    <cellStyle name="Обычный 24 2 2 2 4 7 2 2 2" xfId="7271" xr:uid="{00000000-0005-0000-0000-000066240000}"/>
    <cellStyle name="Обычный 24 2 2 2 4 7 2 2 3" xfId="8277" xr:uid="{00000000-0005-0000-0000-000067240000}"/>
    <cellStyle name="Обычный 24 2 2 2 4 7 2 2 4" xfId="9263" xr:uid="{00000000-0005-0000-0000-000068240000}"/>
    <cellStyle name="Обычный 24 2 2 2 4 7 2 2 5" xfId="10249" xr:uid="{00000000-0005-0000-0000-000069240000}"/>
    <cellStyle name="Обычный 24 2 2 2 4 7 2 2 6" xfId="11235" xr:uid="{00000000-0005-0000-0000-00006A240000}"/>
    <cellStyle name="Обычный 24 2 2 2 4 7 2 2 7" xfId="12221" xr:uid="{00000000-0005-0000-0000-00006B240000}"/>
    <cellStyle name="Обычный 24 2 2 2 4 7 2 2 8" xfId="13207" xr:uid="{00000000-0005-0000-0000-00006C240000}"/>
    <cellStyle name="Обычный 24 2 2 2 4 7 2 2 9" xfId="14207" xr:uid="{00000000-0005-0000-0000-00006D240000}"/>
    <cellStyle name="Обычный 24 2 2 2 4 7 2 3" xfId="6287" xr:uid="{00000000-0005-0000-0000-00006E240000}"/>
    <cellStyle name="Обычный 24 2 2 2 4 7 2 3 10" xfId="14220" xr:uid="{00000000-0005-0000-0000-00006F240000}"/>
    <cellStyle name="Обычный 24 2 2 2 4 7 2 3 11" xfId="15206" xr:uid="{00000000-0005-0000-0000-000070240000}"/>
    <cellStyle name="Обычный 24 2 2 2 4 7 2 3 2" xfId="6319" xr:uid="{00000000-0005-0000-0000-000071240000}"/>
    <cellStyle name="Обычный 24 2 2 2 4 7 2 3 2 10" xfId="14252" xr:uid="{00000000-0005-0000-0000-000072240000}"/>
    <cellStyle name="Обычный 24 2 2 2 4 7 2 3 2 11" xfId="15238" xr:uid="{00000000-0005-0000-0000-000073240000}"/>
    <cellStyle name="Обычный 24 2 2 2 4 7 2 3 2 2" xfId="6333" xr:uid="{00000000-0005-0000-0000-000074240000}"/>
    <cellStyle name="Обычный 24 2 2 2 4 7 2 3 2 2 10" xfId="14266" xr:uid="{00000000-0005-0000-0000-000075240000}"/>
    <cellStyle name="Обычный 24 2 2 2 4 7 2 3 2 2 11" xfId="15252" xr:uid="{00000000-0005-0000-0000-000076240000}"/>
    <cellStyle name="Обычный 24 2 2 2 4 7 2 3 2 2 2" xfId="6351" xr:uid="{00000000-0005-0000-0000-000077240000}"/>
    <cellStyle name="Обычный 24 2 2 2 4 7 2 3 2 2 2 10" xfId="14284" xr:uid="{00000000-0005-0000-0000-000078240000}"/>
    <cellStyle name="Обычный 24 2 2 2 4 7 2 3 2 2 2 11" xfId="15270" xr:uid="{00000000-0005-0000-0000-000079240000}"/>
    <cellStyle name="Обычный 24 2 2 2 4 7 2 3 2 2 2 2" xfId="6365" xr:uid="{00000000-0005-0000-0000-00007A240000}"/>
    <cellStyle name="Обычный 24 2 2 2 4 7 2 3 2 2 2 2 10" xfId="14298" xr:uid="{00000000-0005-0000-0000-00007B240000}"/>
    <cellStyle name="Обычный 24 2 2 2 4 7 2 3 2 2 2 2 11" xfId="15284" xr:uid="{00000000-0005-0000-0000-00007C240000}"/>
    <cellStyle name="Обычный 24 2 2 2 4 7 2 3 2 2 2 2 2" xfId="6380" xr:uid="{00000000-0005-0000-0000-00007D240000}"/>
    <cellStyle name="Обычный 24 2 2 2 4 7 2 3 2 2 2 2 2 10" xfId="14313" xr:uid="{00000000-0005-0000-0000-00007E240000}"/>
    <cellStyle name="Обычный 24 2 2 2 4 7 2 3 2 2 2 2 2 11" xfId="15299" xr:uid="{00000000-0005-0000-0000-00007F240000}"/>
    <cellStyle name="Обычный 24 2 2 2 4 7 2 3 2 2 2 2 2 2" xfId="6398" xr:uid="{00000000-0005-0000-0000-000080240000}"/>
    <cellStyle name="Обычный 24 2 2 2 4 7 2 3 2 2 2 2 2 2 10" xfId="14331" xr:uid="{00000000-0005-0000-0000-000081240000}"/>
    <cellStyle name="Обычный 24 2 2 2 4 7 2 3 2 2 2 2 2 2 11" xfId="15317" xr:uid="{00000000-0005-0000-0000-000082240000}"/>
    <cellStyle name="Обычный 24 2 2 2 4 7 2 3 2 2 2 2 2 2 2" xfId="6408" xr:uid="{00000000-0005-0000-0000-000083240000}"/>
    <cellStyle name="Обычный 24 2 2 2 4 7 2 3 2 2 2 2 2 2 2 10" xfId="15327" xr:uid="{00000000-0005-0000-0000-000084240000}"/>
    <cellStyle name="Обычный 24 2 2 2 4 7 2 3 2 2 2 2 2 2 2 2" xfId="7405" xr:uid="{00000000-0005-0000-0000-000085240000}"/>
    <cellStyle name="Обычный 24 2 2 2 4 7 2 3 2 2 2 2 2 2 2 3" xfId="8411" xr:uid="{00000000-0005-0000-0000-000086240000}"/>
    <cellStyle name="Обычный 24 2 2 2 4 7 2 3 2 2 2 2 2 2 2 4" xfId="9397" xr:uid="{00000000-0005-0000-0000-000087240000}"/>
    <cellStyle name="Обычный 24 2 2 2 4 7 2 3 2 2 2 2 2 2 2 5" xfId="10383" xr:uid="{00000000-0005-0000-0000-000088240000}"/>
    <cellStyle name="Обычный 24 2 2 2 4 7 2 3 2 2 2 2 2 2 2 6" xfId="11369" xr:uid="{00000000-0005-0000-0000-000089240000}"/>
    <cellStyle name="Обычный 24 2 2 2 4 7 2 3 2 2 2 2 2 2 2 7" xfId="12355" xr:uid="{00000000-0005-0000-0000-00008A240000}"/>
    <cellStyle name="Обычный 24 2 2 2 4 7 2 3 2 2 2 2 2 2 2 8" xfId="13341" xr:uid="{00000000-0005-0000-0000-00008B240000}"/>
    <cellStyle name="Обычный 24 2 2 2 4 7 2 3 2 2 2 2 2 2 2 9" xfId="14341" xr:uid="{00000000-0005-0000-0000-00008C240000}"/>
    <cellStyle name="Обычный 24 2 2 2 4 7 2 3 2 2 2 2 2 2 3" xfId="7395" xr:uid="{00000000-0005-0000-0000-00008D240000}"/>
    <cellStyle name="Обычный 24 2 2 2 4 7 2 3 2 2 2 2 2 2 4" xfId="8401" xr:uid="{00000000-0005-0000-0000-00008E240000}"/>
    <cellStyle name="Обычный 24 2 2 2 4 7 2 3 2 2 2 2 2 2 4 2 2 2" xfId="6963" xr:uid="{00000000-0005-0000-0000-00008F240000}"/>
    <cellStyle name="Обычный 24 2 2 2 4 7 2 3 2 2 2 2 2 2 4 2 2 2 2" xfId="6968" xr:uid="{00000000-0005-0000-0000-000090240000}"/>
    <cellStyle name="Обычный 24 2 2 2 4 7 2 3 2 2 2 2 2 2 4 2 2 2 2 2" xfId="7974" xr:uid="{00000000-0005-0000-0000-000091240000}"/>
    <cellStyle name="Обычный 24 2 2 2 4 7 2 3 2 2 2 2 2 2 4 2 2 2 2 2 2" xfId="13902" xr:uid="{00000000-0005-0000-0000-000092240000}"/>
    <cellStyle name="Обычный 24 2 2 2 4 7 2 3 2 2 2 2 2 2 4 2 2 2 2 2 2 2" xfId="15889" xr:uid="{00000000-0005-0000-0000-000093240000}"/>
    <cellStyle name="Обычный 24 2 2 2 4 7 2 3 2 2 2 2 2 2 4 2 2 2 2 2 2 3" xfId="15904" xr:uid="{00000000-0005-0000-0000-000094240000}"/>
    <cellStyle name="Обычный 24 2 2 2 4 7 2 3 2 2 2 2 2 2 4 2 2 2 3" xfId="7969" xr:uid="{00000000-0005-0000-0000-000095240000}"/>
    <cellStyle name="Обычный 24 2 2 2 4 7 2 3 2 2 2 2 2 2 4 2 2 2 3 2" xfId="13897" xr:uid="{00000000-0005-0000-0000-000096240000}"/>
    <cellStyle name="Обычный 24 2 2 2 4 7 2 3 2 2 2 2 2 2 4 2 2 2 3 2 2" xfId="15883" xr:uid="{00000000-0005-0000-0000-000097240000}"/>
    <cellStyle name="Обычный 24 2 2 2 4 7 2 3 2 2 2 2 2 2 4 2 2 2 3 2 3" xfId="15897" xr:uid="{00000000-0005-0000-0000-000098240000}"/>
    <cellStyle name="Обычный 24 2 2 2 4 7 2 3 2 2 2 2 2 2 5" xfId="9387" xr:uid="{00000000-0005-0000-0000-000099240000}"/>
    <cellStyle name="Обычный 24 2 2 2 4 7 2 3 2 2 2 2 2 2 6" xfId="10373" xr:uid="{00000000-0005-0000-0000-00009A240000}"/>
    <cellStyle name="Обычный 24 2 2 2 4 7 2 3 2 2 2 2 2 2 7" xfId="11359" xr:uid="{00000000-0005-0000-0000-00009B240000}"/>
    <cellStyle name="Обычный 24 2 2 2 4 7 2 3 2 2 2 2 2 2 8" xfId="12345" xr:uid="{00000000-0005-0000-0000-00009C240000}"/>
    <cellStyle name="Обычный 24 2 2 2 4 7 2 3 2 2 2 2 2 2 9" xfId="13331" xr:uid="{00000000-0005-0000-0000-00009D240000}"/>
    <cellStyle name="Обычный 24 2 2 2 4 7 2 3 2 2 2 2 2 3" xfId="7377" xr:uid="{00000000-0005-0000-0000-00009E240000}"/>
    <cellStyle name="Обычный 24 2 2 2 4 7 2 3 2 2 2 2 2 4" xfId="8383" xr:uid="{00000000-0005-0000-0000-00009F240000}"/>
    <cellStyle name="Обычный 24 2 2 2 4 7 2 3 2 2 2 2 2 5" xfId="9369" xr:uid="{00000000-0005-0000-0000-0000A0240000}"/>
    <cellStyle name="Обычный 24 2 2 2 4 7 2 3 2 2 2 2 2 6" xfId="10355" xr:uid="{00000000-0005-0000-0000-0000A1240000}"/>
    <cellStyle name="Обычный 24 2 2 2 4 7 2 3 2 2 2 2 2 7" xfId="11341" xr:uid="{00000000-0005-0000-0000-0000A2240000}"/>
    <cellStyle name="Обычный 24 2 2 2 4 7 2 3 2 2 2 2 2 8" xfId="12327" xr:uid="{00000000-0005-0000-0000-0000A3240000}"/>
    <cellStyle name="Обычный 24 2 2 2 4 7 2 3 2 2 2 2 2 9" xfId="13313" xr:uid="{00000000-0005-0000-0000-0000A4240000}"/>
    <cellStyle name="Обычный 24 2 2 2 4 7 2 3 2 2 2 2 3" xfId="7362" xr:uid="{00000000-0005-0000-0000-0000A5240000}"/>
    <cellStyle name="Обычный 24 2 2 2 4 7 2 3 2 2 2 2 4" xfId="8368" xr:uid="{00000000-0005-0000-0000-0000A6240000}"/>
    <cellStyle name="Обычный 24 2 2 2 4 7 2 3 2 2 2 2 5" xfId="9354" xr:uid="{00000000-0005-0000-0000-0000A7240000}"/>
    <cellStyle name="Обычный 24 2 2 2 4 7 2 3 2 2 2 2 6" xfId="10340" xr:uid="{00000000-0005-0000-0000-0000A8240000}"/>
    <cellStyle name="Обычный 24 2 2 2 4 7 2 3 2 2 2 2 7" xfId="11326" xr:uid="{00000000-0005-0000-0000-0000A9240000}"/>
    <cellStyle name="Обычный 24 2 2 2 4 7 2 3 2 2 2 2 8" xfId="12312" xr:uid="{00000000-0005-0000-0000-0000AA240000}"/>
    <cellStyle name="Обычный 24 2 2 2 4 7 2 3 2 2 2 2 9" xfId="13298" xr:uid="{00000000-0005-0000-0000-0000AB240000}"/>
    <cellStyle name="Обычный 24 2 2 2 4 7 2 3 2 2 2 3" xfId="7348" xr:uid="{00000000-0005-0000-0000-0000AC240000}"/>
    <cellStyle name="Обычный 24 2 2 2 4 7 2 3 2 2 2 4" xfId="8354" xr:uid="{00000000-0005-0000-0000-0000AD240000}"/>
    <cellStyle name="Обычный 24 2 2 2 4 7 2 3 2 2 2 5" xfId="9340" xr:uid="{00000000-0005-0000-0000-0000AE240000}"/>
    <cellStyle name="Обычный 24 2 2 2 4 7 2 3 2 2 2 6" xfId="10326" xr:uid="{00000000-0005-0000-0000-0000AF240000}"/>
    <cellStyle name="Обычный 24 2 2 2 4 7 2 3 2 2 2 7" xfId="11312" xr:uid="{00000000-0005-0000-0000-0000B0240000}"/>
    <cellStyle name="Обычный 24 2 2 2 4 7 2 3 2 2 2 8" xfId="12298" xr:uid="{00000000-0005-0000-0000-0000B1240000}"/>
    <cellStyle name="Обычный 24 2 2 2 4 7 2 3 2 2 2 9" xfId="13284" xr:uid="{00000000-0005-0000-0000-0000B2240000}"/>
    <cellStyle name="Обычный 24 2 2 2 4 7 2 3 2 2 3" xfId="7330" xr:uid="{00000000-0005-0000-0000-0000B3240000}"/>
    <cellStyle name="Обычный 24 2 2 2 4 7 2 3 2 2 4" xfId="8336" xr:uid="{00000000-0005-0000-0000-0000B4240000}"/>
    <cellStyle name="Обычный 24 2 2 2 4 7 2 3 2 2 5" xfId="9322" xr:uid="{00000000-0005-0000-0000-0000B5240000}"/>
    <cellStyle name="Обычный 24 2 2 2 4 7 2 3 2 2 6" xfId="10308" xr:uid="{00000000-0005-0000-0000-0000B6240000}"/>
    <cellStyle name="Обычный 24 2 2 2 4 7 2 3 2 2 7" xfId="11294" xr:uid="{00000000-0005-0000-0000-0000B7240000}"/>
    <cellStyle name="Обычный 24 2 2 2 4 7 2 3 2 2 8" xfId="12280" xr:uid="{00000000-0005-0000-0000-0000B8240000}"/>
    <cellStyle name="Обычный 24 2 2 2 4 7 2 3 2 2 9" xfId="13266" xr:uid="{00000000-0005-0000-0000-0000B9240000}"/>
    <cellStyle name="Обычный 24 2 2 2 4 7 2 3 2 3" xfId="7316" xr:uid="{00000000-0005-0000-0000-0000BA240000}"/>
    <cellStyle name="Обычный 24 2 2 2 4 7 2 3 2 4" xfId="8322" xr:uid="{00000000-0005-0000-0000-0000BB240000}"/>
    <cellStyle name="Обычный 24 2 2 2 4 7 2 3 2 5" xfId="9308" xr:uid="{00000000-0005-0000-0000-0000BC240000}"/>
    <cellStyle name="Обычный 24 2 2 2 4 7 2 3 2 6" xfId="10294" xr:uid="{00000000-0005-0000-0000-0000BD240000}"/>
    <cellStyle name="Обычный 24 2 2 2 4 7 2 3 2 7" xfId="11280" xr:uid="{00000000-0005-0000-0000-0000BE240000}"/>
    <cellStyle name="Обычный 24 2 2 2 4 7 2 3 2 8" xfId="12266" xr:uid="{00000000-0005-0000-0000-0000BF240000}"/>
    <cellStyle name="Обычный 24 2 2 2 4 7 2 3 2 9" xfId="13252" xr:uid="{00000000-0005-0000-0000-0000C0240000}"/>
    <cellStyle name="Обычный 24 2 2 2 4 7 2 3 3" xfId="7284" xr:uid="{00000000-0005-0000-0000-0000C1240000}"/>
    <cellStyle name="Обычный 24 2 2 2 4 7 2 3 4" xfId="8290" xr:uid="{00000000-0005-0000-0000-0000C2240000}"/>
    <cellStyle name="Обычный 24 2 2 2 4 7 2 3 5" xfId="9276" xr:uid="{00000000-0005-0000-0000-0000C3240000}"/>
    <cellStyle name="Обычный 24 2 2 2 4 7 2 3 6" xfId="10262" xr:uid="{00000000-0005-0000-0000-0000C4240000}"/>
    <cellStyle name="Обычный 24 2 2 2 4 7 2 3 7" xfId="11248" xr:uid="{00000000-0005-0000-0000-0000C5240000}"/>
    <cellStyle name="Обычный 24 2 2 2 4 7 2 3 8" xfId="12234" xr:uid="{00000000-0005-0000-0000-0000C6240000}"/>
    <cellStyle name="Обычный 24 2 2 2 4 7 2 3 9" xfId="13220" xr:uid="{00000000-0005-0000-0000-0000C7240000}"/>
    <cellStyle name="Обычный 24 2 2 2 4 7 2 4" xfId="6300" xr:uid="{00000000-0005-0000-0000-0000C8240000}"/>
    <cellStyle name="Обычный 24 2 2 2 4 7 2 4 10" xfId="14233" xr:uid="{00000000-0005-0000-0000-0000C9240000}"/>
    <cellStyle name="Обычный 24 2 2 2 4 7 2 4 11" xfId="15219" xr:uid="{00000000-0005-0000-0000-0000CA240000}"/>
    <cellStyle name="Обычный 24 2 2 2 4 7 2 4 2" xfId="6317" xr:uid="{00000000-0005-0000-0000-0000CB240000}"/>
    <cellStyle name="Обычный 24 2 2 2 4 7 2 4 2 10" xfId="14250" xr:uid="{00000000-0005-0000-0000-0000CC240000}"/>
    <cellStyle name="Обычный 24 2 2 2 4 7 2 4 2 11" xfId="15236" xr:uid="{00000000-0005-0000-0000-0000CD240000}"/>
    <cellStyle name="Обычный 24 2 2 2 4 7 2 4 2 2" xfId="6331" xr:uid="{00000000-0005-0000-0000-0000CE240000}"/>
    <cellStyle name="Обычный 24 2 2 2 4 7 2 4 2 2 10" xfId="14264" xr:uid="{00000000-0005-0000-0000-0000CF240000}"/>
    <cellStyle name="Обычный 24 2 2 2 4 7 2 4 2 2 11" xfId="15250" xr:uid="{00000000-0005-0000-0000-0000D0240000}"/>
    <cellStyle name="Обычный 24 2 2 2 4 7 2 4 2 2 2" xfId="6349" xr:uid="{00000000-0005-0000-0000-0000D1240000}"/>
    <cellStyle name="Обычный 24 2 2 2 4 7 2 4 2 2 2 10" xfId="14282" xr:uid="{00000000-0005-0000-0000-0000D2240000}"/>
    <cellStyle name="Обычный 24 2 2 2 4 7 2 4 2 2 2 11" xfId="15268" xr:uid="{00000000-0005-0000-0000-0000D3240000}"/>
    <cellStyle name="Обычный 24 2 2 2 4 7 2 4 2 2 2 2" xfId="6363" xr:uid="{00000000-0005-0000-0000-0000D4240000}"/>
    <cellStyle name="Обычный 24 2 2 2 4 7 2 4 2 2 2 2 10" xfId="14296" xr:uid="{00000000-0005-0000-0000-0000D5240000}"/>
    <cellStyle name="Обычный 24 2 2 2 4 7 2 4 2 2 2 2 11" xfId="15282" xr:uid="{00000000-0005-0000-0000-0000D6240000}"/>
    <cellStyle name="Обычный 24 2 2 2 4 7 2 4 2 2 2 2 2" xfId="6378" xr:uid="{00000000-0005-0000-0000-0000D7240000}"/>
    <cellStyle name="Обычный 24 2 2 2 4 7 2 4 2 2 2 2 2 10" xfId="15297" xr:uid="{00000000-0005-0000-0000-0000D8240000}"/>
    <cellStyle name="Обычный 24 2 2 2 4 7 2 4 2 2 2 2 2 2" xfId="7375" xr:uid="{00000000-0005-0000-0000-0000D9240000}"/>
    <cellStyle name="Обычный 24 2 2 2 4 7 2 4 2 2 2 2 2 3" xfId="8381" xr:uid="{00000000-0005-0000-0000-0000DA240000}"/>
    <cellStyle name="Обычный 24 2 2 2 4 7 2 4 2 2 2 2 2 4" xfId="9367" xr:uid="{00000000-0005-0000-0000-0000DB240000}"/>
    <cellStyle name="Обычный 24 2 2 2 4 7 2 4 2 2 2 2 2 5" xfId="10353" xr:uid="{00000000-0005-0000-0000-0000DC240000}"/>
    <cellStyle name="Обычный 24 2 2 2 4 7 2 4 2 2 2 2 2 6" xfId="11339" xr:uid="{00000000-0005-0000-0000-0000DD240000}"/>
    <cellStyle name="Обычный 24 2 2 2 4 7 2 4 2 2 2 2 2 7" xfId="12325" xr:uid="{00000000-0005-0000-0000-0000DE240000}"/>
    <cellStyle name="Обычный 24 2 2 2 4 7 2 4 2 2 2 2 2 8" xfId="13311" xr:uid="{00000000-0005-0000-0000-0000DF240000}"/>
    <cellStyle name="Обычный 24 2 2 2 4 7 2 4 2 2 2 2 2 9" xfId="14311" xr:uid="{00000000-0005-0000-0000-0000E0240000}"/>
    <cellStyle name="Обычный 24 2 2 2 4 7 2 4 2 2 2 2 3" xfId="7360" xr:uid="{00000000-0005-0000-0000-0000E1240000}"/>
    <cellStyle name="Обычный 24 2 2 2 4 7 2 4 2 2 2 2 4" xfId="8366" xr:uid="{00000000-0005-0000-0000-0000E2240000}"/>
    <cellStyle name="Обычный 24 2 2 2 4 7 2 4 2 2 2 2 5" xfId="9352" xr:uid="{00000000-0005-0000-0000-0000E3240000}"/>
    <cellStyle name="Обычный 24 2 2 2 4 7 2 4 2 2 2 2 6" xfId="10338" xr:uid="{00000000-0005-0000-0000-0000E4240000}"/>
    <cellStyle name="Обычный 24 2 2 2 4 7 2 4 2 2 2 2 7" xfId="11324" xr:uid="{00000000-0005-0000-0000-0000E5240000}"/>
    <cellStyle name="Обычный 24 2 2 2 4 7 2 4 2 2 2 2 8" xfId="12310" xr:uid="{00000000-0005-0000-0000-0000E6240000}"/>
    <cellStyle name="Обычный 24 2 2 2 4 7 2 4 2 2 2 2 9" xfId="13296" xr:uid="{00000000-0005-0000-0000-0000E7240000}"/>
    <cellStyle name="Обычный 24 2 2 2 4 7 2 4 2 2 2 3" xfId="7346" xr:uid="{00000000-0005-0000-0000-0000E8240000}"/>
    <cellStyle name="Обычный 24 2 2 2 4 7 2 4 2 2 2 4" xfId="8352" xr:uid="{00000000-0005-0000-0000-0000E9240000}"/>
    <cellStyle name="Обычный 24 2 2 2 4 7 2 4 2 2 2 5" xfId="9338" xr:uid="{00000000-0005-0000-0000-0000EA240000}"/>
    <cellStyle name="Обычный 24 2 2 2 4 7 2 4 2 2 2 6" xfId="10324" xr:uid="{00000000-0005-0000-0000-0000EB240000}"/>
    <cellStyle name="Обычный 24 2 2 2 4 7 2 4 2 2 2 7" xfId="11310" xr:uid="{00000000-0005-0000-0000-0000EC240000}"/>
    <cellStyle name="Обычный 24 2 2 2 4 7 2 4 2 2 2 8" xfId="12296" xr:uid="{00000000-0005-0000-0000-0000ED240000}"/>
    <cellStyle name="Обычный 24 2 2 2 4 7 2 4 2 2 2 9" xfId="13282" xr:uid="{00000000-0005-0000-0000-0000EE240000}"/>
    <cellStyle name="Обычный 24 2 2 2 4 7 2 4 2 2 3" xfId="7328" xr:uid="{00000000-0005-0000-0000-0000EF240000}"/>
    <cellStyle name="Обычный 24 2 2 2 4 7 2 4 2 2 4" xfId="8334" xr:uid="{00000000-0005-0000-0000-0000F0240000}"/>
    <cellStyle name="Обычный 24 2 2 2 4 7 2 4 2 2 5" xfId="9320" xr:uid="{00000000-0005-0000-0000-0000F1240000}"/>
    <cellStyle name="Обычный 24 2 2 2 4 7 2 4 2 2 6" xfId="10306" xr:uid="{00000000-0005-0000-0000-0000F2240000}"/>
    <cellStyle name="Обычный 24 2 2 2 4 7 2 4 2 2 7" xfId="11292" xr:uid="{00000000-0005-0000-0000-0000F3240000}"/>
    <cellStyle name="Обычный 24 2 2 2 4 7 2 4 2 2 8" xfId="12278" xr:uid="{00000000-0005-0000-0000-0000F4240000}"/>
    <cellStyle name="Обычный 24 2 2 2 4 7 2 4 2 2 9" xfId="13264" xr:uid="{00000000-0005-0000-0000-0000F5240000}"/>
    <cellStyle name="Обычный 24 2 2 2 4 7 2 4 2 3" xfId="7314" xr:uid="{00000000-0005-0000-0000-0000F6240000}"/>
    <cellStyle name="Обычный 24 2 2 2 4 7 2 4 2 4" xfId="8320" xr:uid="{00000000-0005-0000-0000-0000F7240000}"/>
    <cellStyle name="Обычный 24 2 2 2 4 7 2 4 2 5" xfId="9306" xr:uid="{00000000-0005-0000-0000-0000F8240000}"/>
    <cellStyle name="Обычный 24 2 2 2 4 7 2 4 2 6" xfId="10292" xr:uid="{00000000-0005-0000-0000-0000F9240000}"/>
    <cellStyle name="Обычный 24 2 2 2 4 7 2 4 2 7" xfId="11278" xr:uid="{00000000-0005-0000-0000-0000FA240000}"/>
    <cellStyle name="Обычный 24 2 2 2 4 7 2 4 2 8" xfId="12264" xr:uid="{00000000-0005-0000-0000-0000FB240000}"/>
    <cellStyle name="Обычный 24 2 2 2 4 7 2 4 2 9" xfId="13250" xr:uid="{00000000-0005-0000-0000-0000FC240000}"/>
    <cellStyle name="Обычный 24 2 2 2 4 7 2 4 3" xfId="7297" xr:uid="{00000000-0005-0000-0000-0000FD240000}"/>
    <cellStyle name="Обычный 24 2 2 2 4 7 2 4 4" xfId="8303" xr:uid="{00000000-0005-0000-0000-0000FE240000}"/>
    <cellStyle name="Обычный 24 2 2 2 4 7 2 4 5" xfId="9289" xr:uid="{00000000-0005-0000-0000-0000FF240000}"/>
    <cellStyle name="Обычный 24 2 2 2 4 7 2 4 6" xfId="10275" xr:uid="{00000000-0005-0000-0000-000000250000}"/>
    <cellStyle name="Обычный 24 2 2 2 4 7 2 4 7" xfId="11261" xr:uid="{00000000-0005-0000-0000-000001250000}"/>
    <cellStyle name="Обычный 24 2 2 2 4 7 2 4 8" xfId="12247" xr:uid="{00000000-0005-0000-0000-000002250000}"/>
    <cellStyle name="Обычный 24 2 2 2 4 7 2 4 9" xfId="13233" xr:uid="{00000000-0005-0000-0000-000003250000}"/>
    <cellStyle name="Обычный 24 2 2 2 4 7 2 5" xfId="7253" xr:uid="{00000000-0005-0000-0000-000004250000}"/>
    <cellStyle name="Обычный 24 2 2 2 4 7 2 6" xfId="8259" xr:uid="{00000000-0005-0000-0000-000005250000}"/>
    <cellStyle name="Обычный 24 2 2 2 4 7 2 7" xfId="9245" xr:uid="{00000000-0005-0000-0000-000006250000}"/>
    <cellStyle name="Обычный 24 2 2 2 4 7 2 8" xfId="10231" xr:uid="{00000000-0005-0000-0000-000007250000}"/>
    <cellStyle name="Обычный 24 2 2 2 4 7 2 9" xfId="11217" xr:uid="{00000000-0005-0000-0000-000008250000}"/>
    <cellStyle name="Обычный 24 2 2 2 4 8" xfId="10210" xr:uid="{00000000-0005-0000-0000-000009250000}"/>
    <cellStyle name="Обычный 24 2 2 2 4 9" xfId="11196" xr:uid="{00000000-0005-0000-0000-00000A250000}"/>
    <cellStyle name="Обычный 24 2 2 2 5" xfId="6239" xr:uid="{00000000-0005-0000-0000-00000B250000}"/>
    <cellStyle name="Обычный 24 2 2 2 5 10" xfId="11200" xr:uid="{00000000-0005-0000-0000-00000C250000}"/>
    <cellStyle name="Обычный 24 2 2 2 5 11" xfId="12186" xr:uid="{00000000-0005-0000-0000-00000D250000}"/>
    <cellStyle name="Обычный 24 2 2 2 5 12" xfId="13172" xr:uid="{00000000-0005-0000-0000-00000E250000}"/>
    <cellStyle name="Обычный 24 2 2 2 5 13" xfId="14172" xr:uid="{00000000-0005-0000-0000-00000F250000}"/>
    <cellStyle name="Обычный 24 2 2 2 5 14" xfId="15158" xr:uid="{00000000-0005-0000-0000-000010250000}"/>
    <cellStyle name="Обычный 24 2 2 2 5 2" xfId="6253" xr:uid="{00000000-0005-0000-0000-000011250000}"/>
    <cellStyle name="Обычный 24 2 2 2 5 2 10" xfId="14186" xr:uid="{00000000-0005-0000-0000-000012250000}"/>
    <cellStyle name="Обычный 24 2 2 2 5 2 11" xfId="15172" xr:uid="{00000000-0005-0000-0000-000013250000}"/>
    <cellStyle name="Обычный 24 2 2 2 5 2 2" xfId="6270" xr:uid="{00000000-0005-0000-0000-000014250000}"/>
    <cellStyle name="Обычный 24 2 2 2 5 2 2 10" xfId="14203" xr:uid="{00000000-0005-0000-0000-000015250000}"/>
    <cellStyle name="Обычный 24 2 2 2 5 2 2 11" xfId="15189" xr:uid="{00000000-0005-0000-0000-000016250000}"/>
    <cellStyle name="Обычный 24 2 2 2 5 2 2 2" xfId="6348" xr:uid="{00000000-0005-0000-0000-000017250000}"/>
    <cellStyle name="Обычный 24 2 2 2 5 2 2 2 10" xfId="11309" xr:uid="{00000000-0005-0000-0000-000018250000}"/>
    <cellStyle name="Обычный 24 2 2 2 5 2 2 2 11" xfId="12295" xr:uid="{00000000-0005-0000-0000-000019250000}"/>
    <cellStyle name="Обычный 24 2 2 2 5 2 2 2 12" xfId="13281" xr:uid="{00000000-0005-0000-0000-00001A250000}"/>
    <cellStyle name="Обычный 24 2 2 2 5 2 2 2 13" xfId="14281" xr:uid="{00000000-0005-0000-0000-00001B250000}"/>
    <cellStyle name="Обычный 24 2 2 2 5 2 2 2 14" xfId="15267" xr:uid="{00000000-0005-0000-0000-00001C250000}"/>
    <cellStyle name="Обычный 24 2 2 2 5 2 2 2 2" xfId="6397" xr:uid="{00000000-0005-0000-0000-00001D250000}"/>
    <cellStyle name="Обычный 24 2 2 2 5 2 2 2 2 10" xfId="15316" xr:uid="{00000000-0005-0000-0000-00001E250000}"/>
    <cellStyle name="Обычный 24 2 2 2 5 2 2 2 2 2" xfId="7394" xr:uid="{00000000-0005-0000-0000-00001F250000}"/>
    <cellStyle name="Обычный 24 2 2 2 5 2 2 2 2 3" xfId="8400" xr:uid="{00000000-0005-0000-0000-000020250000}"/>
    <cellStyle name="Обычный 24 2 2 2 5 2 2 2 2 4" xfId="9386" xr:uid="{00000000-0005-0000-0000-000021250000}"/>
    <cellStyle name="Обычный 24 2 2 2 5 2 2 2 2 5" xfId="10372" xr:uid="{00000000-0005-0000-0000-000022250000}"/>
    <cellStyle name="Обычный 24 2 2 2 5 2 2 2 2 6" xfId="11358" xr:uid="{00000000-0005-0000-0000-000023250000}"/>
    <cellStyle name="Обычный 24 2 2 2 5 2 2 2 2 7" xfId="12344" xr:uid="{00000000-0005-0000-0000-000024250000}"/>
    <cellStyle name="Обычный 24 2 2 2 5 2 2 2 2 8" xfId="13330" xr:uid="{00000000-0005-0000-0000-000025250000}"/>
    <cellStyle name="Обычный 24 2 2 2 5 2 2 2 2 9" xfId="14330" xr:uid="{00000000-0005-0000-0000-000026250000}"/>
    <cellStyle name="Обычный 24 2 2 2 5 2 2 2 3" xfId="6421" xr:uid="{00000000-0005-0000-0000-000027250000}"/>
    <cellStyle name="Обычный 24 2 2 2 5 2 2 2 3 10" xfId="15340" xr:uid="{00000000-0005-0000-0000-000028250000}"/>
    <cellStyle name="Обычный 24 2 2 2 5 2 2 2 3 2" xfId="7418" xr:uid="{00000000-0005-0000-0000-000029250000}"/>
    <cellStyle name="Обычный 24 2 2 2 5 2 2 2 3 3" xfId="8424" xr:uid="{00000000-0005-0000-0000-00002A250000}"/>
    <cellStyle name="Обычный 24 2 2 2 5 2 2 2 3 4" xfId="9410" xr:uid="{00000000-0005-0000-0000-00002B250000}"/>
    <cellStyle name="Обычный 24 2 2 2 5 2 2 2 3 5" xfId="10396" xr:uid="{00000000-0005-0000-0000-00002C250000}"/>
    <cellStyle name="Обычный 24 2 2 2 5 2 2 2 3 6" xfId="11382" xr:uid="{00000000-0005-0000-0000-00002D250000}"/>
    <cellStyle name="Обычный 24 2 2 2 5 2 2 2 3 7" xfId="12368" xr:uid="{00000000-0005-0000-0000-00002E250000}"/>
    <cellStyle name="Обычный 24 2 2 2 5 2 2 2 3 8" xfId="13354" xr:uid="{00000000-0005-0000-0000-00002F250000}"/>
    <cellStyle name="Обычный 24 2 2 2 5 2 2 2 3 9" xfId="14354" xr:uid="{00000000-0005-0000-0000-000030250000}"/>
    <cellStyle name="Обычный 24 2 2 2 5 2 2 2 4" xfId="6687" xr:uid="{00000000-0005-0000-0000-000031250000}"/>
    <cellStyle name="Обычный 24 2 2 2 5 2 2 2 4 10" xfId="15606" xr:uid="{00000000-0005-0000-0000-000032250000}"/>
    <cellStyle name="Обычный 24 2 2 2 5 2 2 2 4 2" xfId="7684" xr:uid="{00000000-0005-0000-0000-000033250000}"/>
    <cellStyle name="Обычный 24 2 2 2 5 2 2 2 4 3" xfId="8690" xr:uid="{00000000-0005-0000-0000-000034250000}"/>
    <cellStyle name="Обычный 24 2 2 2 5 2 2 2 4 4" xfId="9676" xr:uid="{00000000-0005-0000-0000-000035250000}"/>
    <cellStyle name="Обычный 24 2 2 2 5 2 2 2 4 5" xfId="10662" xr:uid="{00000000-0005-0000-0000-000036250000}"/>
    <cellStyle name="Обычный 24 2 2 2 5 2 2 2 4 6" xfId="11648" xr:uid="{00000000-0005-0000-0000-000037250000}"/>
    <cellStyle name="Обычный 24 2 2 2 5 2 2 2 4 7" xfId="12634" xr:uid="{00000000-0005-0000-0000-000038250000}"/>
    <cellStyle name="Обычный 24 2 2 2 5 2 2 2 4 8" xfId="13620" xr:uid="{00000000-0005-0000-0000-000039250000}"/>
    <cellStyle name="Обычный 24 2 2 2 5 2 2 2 4 9" xfId="14620" xr:uid="{00000000-0005-0000-0000-00003A250000}"/>
    <cellStyle name="Обычный 24 2 2 2 5 2 2 2 5" xfId="6957" xr:uid="{00000000-0005-0000-0000-00003B250000}"/>
    <cellStyle name="Обычный 24 2 2 2 5 2 2 2 5 10" xfId="15876" xr:uid="{00000000-0005-0000-0000-00003C250000}"/>
    <cellStyle name="Обычный 24 2 2 2 5 2 2 2 5 2" xfId="7954" xr:uid="{00000000-0005-0000-0000-00003D250000}"/>
    <cellStyle name="Обычный 24 2 2 2 5 2 2 2 5 3" xfId="8960" xr:uid="{00000000-0005-0000-0000-00003E250000}"/>
    <cellStyle name="Обычный 24 2 2 2 5 2 2 2 5 4" xfId="9946" xr:uid="{00000000-0005-0000-0000-00003F250000}"/>
    <cellStyle name="Обычный 24 2 2 2 5 2 2 2 5 5" xfId="10932" xr:uid="{00000000-0005-0000-0000-000040250000}"/>
    <cellStyle name="Обычный 24 2 2 2 5 2 2 2 5 6" xfId="11918" xr:uid="{00000000-0005-0000-0000-000041250000}"/>
    <cellStyle name="Обычный 24 2 2 2 5 2 2 2 5 7" xfId="12904" xr:uid="{00000000-0005-0000-0000-000042250000}"/>
    <cellStyle name="Обычный 24 2 2 2 5 2 2 2 5 8" xfId="13890" xr:uid="{00000000-0005-0000-0000-000043250000}"/>
    <cellStyle name="Обычный 24 2 2 2 5 2 2 2 5 9" xfId="14890" xr:uid="{00000000-0005-0000-0000-000044250000}"/>
    <cellStyle name="Обычный 24 2 2 2 5 2 2 2 6" xfId="7345" xr:uid="{00000000-0005-0000-0000-000045250000}"/>
    <cellStyle name="Обычный 24 2 2 2 5 2 2 2 7" xfId="8351" xr:uid="{00000000-0005-0000-0000-000046250000}"/>
    <cellStyle name="Обычный 24 2 2 2 5 2 2 2 8" xfId="9337" xr:uid="{00000000-0005-0000-0000-000047250000}"/>
    <cellStyle name="Обычный 24 2 2 2 5 2 2 2 9" xfId="10323" xr:uid="{00000000-0005-0000-0000-000048250000}"/>
    <cellStyle name="Обычный 24 2 2 2 5 2 2 3" xfId="7267" xr:uid="{00000000-0005-0000-0000-000049250000}"/>
    <cellStyle name="Обычный 24 2 2 2 5 2 2 4" xfId="8273" xr:uid="{00000000-0005-0000-0000-00004A250000}"/>
    <cellStyle name="Обычный 24 2 2 2 5 2 2 5" xfId="9259" xr:uid="{00000000-0005-0000-0000-00004B250000}"/>
    <cellStyle name="Обычный 24 2 2 2 5 2 2 6" xfId="10245" xr:uid="{00000000-0005-0000-0000-00004C250000}"/>
    <cellStyle name="Обычный 24 2 2 2 5 2 2 7" xfId="11231" xr:uid="{00000000-0005-0000-0000-00004D250000}"/>
    <cellStyle name="Обычный 24 2 2 2 5 2 2 8" xfId="12217" xr:uid="{00000000-0005-0000-0000-00004E250000}"/>
    <cellStyle name="Обычный 24 2 2 2 5 2 2 9" xfId="13203" xr:uid="{00000000-0005-0000-0000-00004F250000}"/>
    <cellStyle name="Обычный 24 2 2 2 5 2 3" xfId="7250" xr:uid="{00000000-0005-0000-0000-000050250000}"/>
    <cellStyle name="Обычный 24 2 2 2 5 2 4" xfId="8256" xr:uid="{00000000-0005-0000-0000-000051250000}"/>
    <cellStyle name="Обычный 24 2 2 2 5 2 5" xfId="9242" xr:uid="{00000000-0005-0000-0000-000052250000}"/>
    <cellStyle name="Обычный 24 2 2 2 5 2 6" xfId="10228" xr:uid="{00000000-0005-0000-0000-000053250000}"/>
    <cellStyle name="Обычный 24 2 2 2 5 2 7" xfId="11214" xr:uid="{00000000-0005-0000-0000-000054250000}"/>
    <cellStyle name="Обычный 24 2 2 2 5 2 8" xfId="12200" xr:uid="{00000000-0005-0000-0000-000055250000}"/>
    <cellStyle name="Обычный 24 2 2 2 5 2 9" xfId="13186" xr:uid="{00000000-0005-0000-0000-000056250000}"/>
    <cellStyle name="Обычный 24 2 2 2 5 3" xfId="6316" xr:uid="{00000000-0005-0000-0000-000057250000}"/>
    <cellStyle name="Обычный 24 2 2 2 5 3 10" xfId="14249" xr:uid="{00000000-0005-0000-0000-000058250000}"/>
    <cellStyle name="Обычный 24 2 2 2 5 3 11" xfId="15235" xr:uid="{00000000-0005-0000-0000-000059250000}"/>
    <cellStyle name="Обычный 24 2 2 2 5 3 2" xfId="6347" xr:uid="{00000000-0005-0000-0000-00005A250000}"/>
    <cellStyle name="Обычный 24 2 2 2 5 3 2 10" xfId="12294" xr:uid="{00000000-0005-0000-0000-00005B250000}"/>
    <cellStyle name="Обычный 24 2 2 2 5 3 2 11" xfId="13280" xr:uid="{00000000-0005-0000-0000-00005C250000}"/>
    <cellStyle name="Обычный 24 2 2 2 5 3 2 12" xfId="14280" xr:uid="{00000000-0005-0000-0000-00005D250000}"/>
    <cellStyle name="Обычный 24 2 2 2 5 3 2 13" xfId="15266" xr:uid="{00000000-0005-0000-0000-00005E250000}"/>
    <cellStyle name="Обычный 24 2 2 2 5 3 2 2" xfId="6396" xr:uid="{00000000-0005-0000-0000-00005F250000}"/>
    <cellStyle name="Обычный 24 2 2 2 5 3 2 2 10" xfId="14329" xr:uid="{00000000-0005-0000-0000-000060250000}"/>
    <cellStyle name="Обычный 24 2 2 2 5 3 2 2 11" xfId="15315" xr:uid="{00000000-0005-0000-0000-000061250000}"/>
    <cellStyle name="Обычный 24 2 2 2 5 3 2 2 2" xfId="6420" xr:uid="{00000000-0005-0000-0000-000062250000}"/>
    <cellStyle name="Обычный 24 2 2 2 5 3 2 2 2 10" xfId="15339" xr:uid="{00000000-0005-0000-0000-000063250000}"/>
    <cellStyle name="Обычный 24 2 2 2 5 3 2 2 2 2" xfId="7417" xr:uid="{00000000-0005-0000-0000-000064250000}"/>
    <cellStyle name="Обычный 24 2 2 2 5 3 2 2 2 3" xfId="8423" xr:uid="{00000000-0005-0000-0000-000065250000}"/>
    <cellStyle name="Обычный 24 2 2 2 5 3 2 2 2 4" xfId="9409" xr:uid="{00000000-0005-0000-0000-000066250000}"/>
    <cellStyle name="Обычный 24 2 2 2 5 3 2 2 2 5" xfId="10395" xr:uid="{00000000-0005-0000-0000-000067250000}"/>
    <cellStyle name="Обычный 24 2 2 2 5 3 2 2 2 6" xfId="11381" xr:uid="{00000000-0005-0000-0000-000068250000}"/>
    <cellStyle name="Обычный 24 2 2 2 5 3 2 2 2 7" xfId="12367" xr:uid="{00000000-0005-0000-0000-000069250000}"/>
    <cellStyle name="Обычный 24 2 2 2 5 3 2 2 2 8" xfId="13353" xr:uid="{00000000-0005-0000-0000-00006A250000}"/>
    <cellStyle name="Обычный 24 2 2 2 5 3 2 2 2 9" xfId="14353" xr:uid="{00000000-0005-0000-0000-00006B250000}"/>
    <cellStyle name="Обычный 24 2 2 2 5 3 2 2 3" xfId="7393" xr:uid="{00000000-0005-0000-0000-00006C250000}"/>
    <cellStyle name="Обычный 24 2 2 2 5 3 2 2 4" xfId="8399" xr:uid="{00000000-0005-0000-0000-00006D250000}"/>
    <cellStyle name="Обычный 24 2 2 2 5 3 2 2 5" xfId="9385" xr:uid="{00000000-0005-0000-0000-00006E250000}"/>
    <cellStyle name="Обычный 24 2 2 2 5 3 2 2 6" xfId="10371" xr:uid="{00000000-0005-0000-0000-00006F250000}"/>
    <cellStyle name="Обычный 24 2 2 2 5 3 2 2 7" xfId="11357" xr:uid="{00000000-0005-0000-0000-000070250000}"/>
    <cellStyle name="Обычный 24 2 2 2 5 3 2 2 8" xfId="12343" xr:uid="{00000000-0005-0000-0000-000071250000}"/>
    <cellStyle name="Обычный 24 2 2 2 5 3 2 2 9" xfId="13329" xr:uid="{00000000-0005-0000-0000-000072250000}"/>
    <cellStyle name="Обычный 24 2 2 2 5 3 2 3" xfId="6690" xr:uid="{00000000-0005-0000-0000-000073250000}"/>
    <cellStyle name="Обычный 24 2 2 2 5 3 2 3 10" xfId="15609" xr:uid="{00000000-0005-0000-0000-000074250000}"/>
    <cellStyle name="Обычный 24 2 2 2 5 3 2 3 2" xfId="7687" xr:uid="{00000000-0005-0000-0000-000075250000}"/>
    <cellStyle name="Обычный 24 2 2 2 5 3 2 3 3" xfId="8693" xr:uid="{00000000-0005-0000-0000-000076250000}"/>
    <cellStyle name="Обычный 24 2 2 2 5 3 2 3 4" xfId="9679" xr:uid="{00000000-0005-0000-0000-000077250000}"/>
    <cellStyle name="Обычный 24 2 2 2 5 3 2 3 5" xfId="10665" xr:uid="{00000000-0005-0000-0000-000078250000}"/>
    <cellStyle name="Обычный 24 2 2 2 5 3 2 3 6" xfId="11651" xr:uid="{00000000-0005-0000-0000-000079250000}"/>
    <cellStyle name="Обычный 24 2 2 2 5 3 2 3 7" xfId="12637" xr:uid="{00000000-0005-0000-0000-00007A250000}"/>
    <cellStyle name="Обычный 24 2 2 2 5 3 2 3 8" xfId="13623" xr:uid="{00000000-0005-0000-0000-00007B250000}"/>
    <cellStyle name="Обычный 24 2 2 2 5 3 2 3 9" xfId="14623" xr:uid="{00000000-0005-0000-0000-00007C250000}"/>
    <cellStyle name="Обычный 24 2 2 2 5 3 2 4" xfId="6960" xr:uid="{00000000-0005-0000-0000-00007D250000}"/>
    <cellStyle name="Обычный 24 2 2 2 5 3 2 4 10" xfId="15879" xr:uid="{00000000-0005-0000-0000-00007E250000}"/>
    <cellStyle name="Обычный 24 2 2 2 5 3 2 4 2" xfId="7957" xr:uid="{00000000-0005-0000-0000-00007F250000}"/>
    <cellStyle name="Обычный 24 2 2 2 5 3 2 4 3" xfId="8963" xr:uid="{00000000-0005-0000-0000-000080250000}"/>
    <cellStyle name="Обычный 24 2 2 2 5 3 2 4 4" xfId="9949" xr:uid="{00000000-0005-0000-0000-000081250000}"/>
    <cellStyle name="Обычный 24 2 2 2 5 3 2 4 5" xfId="10935" xr:uid="{00000000-0005-0000-0000-000082250000}"/>
    <cellStyle name="Обычный 24 2 2 2 5 3 2 4 6" xfId="11921" xr:uid="{00000000-0005-0000-0000-000083250000}"/>
    <cellStyle name="Обычный 24 2 2 2 5 3 2 4 7" xfId="12907" xr:uid="{00000000-0005-0000-0000-000084250000}"/>
    <cellStyle name="Обычный 24 2 2 2 5 3 2 4 8" xfId="13893" xr:uid="{00000000-0005-0000-0000-000085250000}"/>
    <cellStyle name="Обычный 24 2 2 2 5 3 2 4 9" xfId="14893" xr:uid="{00000000-0005-0000-0000-000086250000}"/>
    <cellStyle name="Обычный 24 2 2 2 5 3 2 5" xfId="7344" xr:uid="{00000000-0005-0000-0000-000087250000}"/>
    <cellStyle name="Обычный 24 2 2 2 5 3 2 6" xfId="8350" xr:uid="{00000000-0005-0000-0000-000088250000}"/>
    <cellStyle name="Обычный 24 2 2 2 5 3 2 7" xfId="9336" xr:uid="{00000000-0005-0000-0000-000089250000}"/>
    <cellStyle name="Обычный 24 2 2 2 5 3 2 8" xfId="10322" xr:uid="{00000000-0005-0000-0000-00008A250000}"/>
    <cellStyle name="Обычный 24 2 2 2 5 3 2 9" xfId="11308" xr:uid="{00000000-0005-0000-0000-00008B250000}"/>
    <cellStyle name="Обычный 24 2 2 2 5 3 3" xfId="7313" xr:uid="{00000000-0005-0000-0000-00008C250000}"/>
    <cellStyle name="Обычный 24 2 2 2 5 3 4" xfId="8319" xr:uid="{00000000-0005-0000-0000-00008D250000}"/>
    <cellStyle name="Обычный 24 2 2 2 5 3 5" xfId="9305" xr:uid="{00000000-0005-0000-0000-00008E250000}"/>
    <cellStyle name="Обычный 24 2 2 2 5 3 6" xfId="10291" xr:uid="{00000000-0005-0000-0000-00008F250000}"/>
    <cellStyle name="Обычный 24 2 2 2 5 3 7" xfId="11277" xr:uid="{00000000-0005-0000-0000-000090250000}"/>
    <cellStyle name="Обычный 24 2 2 2 5 3 8" xfId="12263" xr:uid="{00000000-0005-0000-0000-000091250000}"/>
    <cellStyle name="Обычный 24 2 2 2 5 3 9" xfId="13249" xr:uid="{00000000-0005-0000-0000-000092250000}"/>
    <cellStyle name="Обычный 24 2 2 2 5 4" xfId="6684" xr:uid="{00000000-0005-0000-0000-000093250000}"/>
    <cellStyle name="Обычный 24 2 2 2 5 4 10" xfId="15603" xr:uid="{00000000-0005-0000-0000-000094250000}"/>
    <cellStyle name="Обычный 24 2 2 2 5 4 2" xfId="7681" xr:uid="{00000000-0005-0000-0000-000095250000}"/>
    <cellStyle name="Обычный 24 2 2 2 5 4 3" xfId="8687" xr:uid="{00000000-0005-0000-0000-000096250000}"/>
    <cellStyle name="Обычный 24 2 2 2 5 4 4" xfId="9673" xr:uid="{00000000-0005-0000-0000-000097250000}"/>
    <cellStyle name="Обычный 24 2 2 2 5 4 5" xfId="10659" xr:uid="{00000000-0005-0000-0000-000098250000}"/>
    <cellStyle name="Обычный 24 2 2 2 5 4 6" xfId="11645" xr:uid="{00000000-0005-0000-0000-000099250000}"/>
    <cellStyle name="Обычный 24 2 2 2 5 4 7" xfId="12631" xr:uid="{00000000-0005-0000-0000-00009A250000}"/>
    <cellStyle name="Обычный 24 2 2 2 5 4 8" xfId="13617" xr:uid="{00000000-0005-0000-0000-00009B250000}"/>
    <cellStyle name="Обычный 24 2 2 2 5 4 9" xfId="14617" xr:uid="{00000000-0005-0000-0000-00009C250000}"/>
    <cellStyle name="Обычный 24 2 2 2 5 5" xfId="6954" xr:uid="{00000000-0005-0000-0000-00009D250000}"/>
    <cellStyle name="Обычный 24 2 2 2 5 5 10" xfId="15873" xr:uid="{00000000-0005-0000-0000-00009E250000}"/>
    <cellStyle name="Обычный 24 2 2 2 5 5 2" xfId="7951" xr:uid="{00000000-0005-0000-0000-00009F250000}"/>
    <cellStyle name="Обычный 24 2 2 2 5 5 3" xfId="8957" xr:uid="{00000000-0005-0000-0000-0000A0250000}"/>
    <cellStyle name="Обычный 24 2 2 2 5 5 4" xfId="9943" xr:uid="{00000000-0005-0000-0000-0000A1250000}"/>
    <cellStyle name="Обычный 24 2 2 2 5 5 5" xfId="10929" xr:uid="{00000000-0005-0000-0000-0000A2250000}"/>
    <cellStyle name="Обычный 24 2 2 2 5 5 6" xfId="11915" xr:uid="{00000000-0005-0000-0000-0000A3250000}"/>
    <cellStyle name="Обычный 24 2 2 2 5 5 7" xfId="12901" xr:uid="{00000000-0005-0000-0000-0000A4250000}"/>
    <cellStyle name="Обычный 24 2 2 2 5 5 8" xfId="13887" xr:uid="{00000000-0005-0000-0000-0000A5250000}"/>
    <cellStyle name="Обычный 24 2 2 2 5 5 9" xfId="14887" xr:uid="{00000000-0005-0000-0000-0000A6250000}"/>
    <cellStyle name="Обычный 24 2 2 2 5 6" xfId="7236" xr:uid="{00000000-0005-0000-0000-0000A7250000}"/>
    <cellStyle name="Обычный 24 2 2 2 5 7" xfId="8242" xr:uid="{00000000-0005-0000-0000-0000A8250000}"/>
    <cellStyle name="Обычный 24 2 2 2 5 8" xfId="9228" xr:uid="{00000000-0005-0000-0000-0000A9250000}"/>
    <cellStyle name="Обычный 24 2 2 2 5 9" xfId="10214" xr:uid="{00000000-0005-0000-0000-0000AA250000}"/>
    <cellStyle name="Обычный 24 2 2 2 6" xfId="6248" xr:uid="{00000000-0005-0000-0000-0000AB250000}"/>
    <cellStyle name="Обычный 24 2 2 2 6 10" xfId="11209" xr:uid="{00000000-0005-0000-0000-0000AC250000}"/>
    <cellStyle name="Обычный 24 2 2 2 6 11" xfId="12195" xr:uid="{00000000-0005-0000-0000-0000AD250000}"/>
    <cellStyle name="Обычный 24 2 2 2 6 12" xfId="13181" xr:uid="{00000000-0005-0000-0000-0000AE250000}"/>
    <cellStyle name="Обычный 24 2 2 2 6 13" xfId="14181" xr:uid="{00000000-0005-0000-0000-0000AF250000}"/>
    <cellStyle name="Обычный 24 2 2 2 6 14" xfId="15167" xr:uid="{00000000-0005-0000-0000-0000B0250000}"/>
    <cellStyle name="Обычный 24 2 2 2 6 2" xfId="6252" xr:uid="{00000000-0005-0000-0000-0000B1250000}"/>
    <cellStyle name="Обычный 24 2 2 2 6 2 10" xfId="14185" xr:uid="{00000000-0005-0000-0000-0000B2250000}"/>
    <cellStyle name="Обычный 24 2 2 2 6 2 11" xfId="15171" xr:uid="{00000000-0005-0000-0000-0000B3250000}"/>
    <cellStyle name="Обычный 24 2 2 2 6 2 2" xfId="6269" xr:uid="{00000000-0005-0000-0000-0000B4250000}"/>
    <cellStyle name="Обычный 24 2 2 2 6 2 2 10" xfId="15188" xr:uid="{00000000-0005-0000-0000-0000B5250000}"/>
    <cellStyle name="Обычный 24 2 2 2 6 2 2 2" xfId="7266" xr:uid="{00000000-0005-0000-0000-0000B6250000}"/>
    <cellStyle name="Обычный 24 2 2 2 6 2 2 3" xfId="8272" xr:uid="{00000000-0005-0000-0000-0000B7250000}"/>
    <cellStyle name="Обычный 24 2 2 2 6 2 2 4" xfId="9258" xr:uid="{00000000-0005-0000-0000-0000B8250000}"/>
    <cellStyle name="Обычный 24 2 2 2 6 2 2 5" xfId="10244" xr:uid="{00000000-0005-0000-0000-0000B9250000}"/>
    <cellStyle name="Обычный 24 2 2 2 6 2 2 6" xfId="11230" xr:uid="{00000000-0005-0000-0000-0000BA250000}"/>
    <cellStyle name="Обычный 24 2 2 2 6 2 2 7" xfId="12216" xr:uid="{00000000-0005-0000-0000-0000BB250000}"/>
    <cellStyle name="Обычный 24 2 2 2 6 2 2 8" xfId="13202" xr:uid="{00000000-0005-0000-0000-0000BC250000}"/>
    <cellStyle name="Обычный 24 2 2 2 6 2 2 9" xfId="14202" xr:uid="{00000000-0005-0000-0000-0000BD250000}"/>
    <cellStyle name="Обычный 24 2 2 2 6 2 3" xfId="7249" xr:uid="{00000000-0005-0000-0000-0000BE250000}"/>
    <cellStyle name="Обычный 24 2 2 2 6 2 4" xfId="8255" xr:uid="{00000000-0005-0000-0000-0000BF250000}"/>
    <cellStyle name="Обычный 24 2 2 2 6 2 5" xfId="9241" xr:uid="{00000000-0005-0000-0000-0000C0250000}"/>
    <cellStyle name="Обычный 24 2 2 2 6 2 6" xfId="10227" xr:uid="{00000000-0005-0000-0000-0000C1250000}"/>
    <cellStyle name="Обычный 24 2 2 2 6 2 7" xfId="11213" xr:uid="{00000000-0005-0000-0000-0000C2250000}"/>
    <cellStyle name="Обычный 24 2 2 2 6 2 8" xfId="12199" xr:uid="{00000000-0005-0000-0000-0000C3250000}"/>
    <cellStyle name="Обычный 24 2 2 2 6 2 9" xfId="13185" xr:uid="{00000000-0005-0000-0000-0000C4250000}"/>
    <cellStyle name="Обычный 24 2 2 2 6 3" xfId="6315" xr:uid="{00000000-0005-0000-0000-0000C5250000}"/>
    <cellStyle name="Обычный 24 2 2 2 6 3 10" xfId="14248" xr:uid="{00000000-0005-0000-0000-0000C6250000}"/>
    <cellStyle name="Обычный 24 2 2 2 6 3 11" xfId="15234" xr:uid="{00000000-0005-0000-0000-0000C7250000}"/>
    <cellStyle name="Обычный 24 2 2 2 6 3 2" xfId="6346" xr:uid="{00000000-0005-0000-0000-0000C8250000}"/>
    <cellStyle name="Обычный 24 2 2 2 6 3 2 10" xfId="12293" xr:uid="{00000000-0005-0000-0000-0000C9250000}"/>
    <cellStyle name="Обычный 24 2 2 2 6 3 2 11" xfId="13279" xr:uid="{00000000-0005-0000-0000-0000CA250000}"/>
    <cellStyle name="Обычный 24 2 2 2 6 3 2 12" xfId="14279" xr:uid="{00000000-0005-0000-0000-0000CB250000}"/>
    <cellStyle name="Обычный 24 2 2 2 6 3 2 13" xfId="15265" xr:uid="{00000000-0005-0000-0000-0000CC250000}"/>
    <cellStyle name="Обычный 24 2 2 2 6 3 2 2" xfId="6395" xr:uid="{00000000-0005-0000-0000-0000CD250000}"/>
    <cellStyle name="Обычный 24 2 2 2 6 3 2 2 10" xfId="14328" xr:uid="{00000000-0005-0000-0000-0000CE250000}"/>
    <cellStyle name="Обычный 24 2 2 2 6 3 2 2 11" xfId="15314" xr:uid="{00000000-0005-0000-0000-0000CF250000}"/>
    <cellStyle name="Обычный 24 2 2 2 6 3 2 2 2" xfId="6419" xr:uid="{00000000-0005-0000-0000-0000D0250000}"/>
    <cellStyle name="Обычный 24 2 2 2 6 3 2 2 2 10" xfId="15338" xr:uid="{00000000-0005-0000-0000-0000D1250000}"/>
    <cellStyle name="Обычный 24 2 2 2 6 3 2 2 2 2" xfId="7416" xr:uid="{00000000-0005-0000-0000-0000D2250000}"/>
    <cellStyle name="Обычный 24 2 2 2 6 3 2 2 2 3" xfId="8422" xr:uid="{00000000-0005-0000-0000-0000D3250000}"/>
    <cellStyle name="Обычный 24 2 2 2 6 3 2 2 2 4" xfId="9408" xr:uid="{00000000-0005-0000-0000-0000D4250000}"/>
    <cellStyle name="Обычный 24 2 2 2 6 3 2 2 2 5" xfId="10394" xr:uid="{00000000-0005-0000-0000-0000D5250000}"/>
    <cellStyle name="Обычный 24 2 2 2 6 3 2 2 2 6" xfId="11380" xr:uid="{00000000-0005-0000-0000-0000D6250000}"/>
    <cellStyle name="Обычный 24 2 2 2 6 3 2 2 2 7" xfId="12366" xr:uid="{00000000-0005-0000-0000-0000D7250000}"/>
    <cellStyle name="Обычный 24 2 2 2 6 3 2 2 2 8" xfId="13352" xr:uid="{00000000-0005-0000-0000-0000D8250000}"/>
    <cellStyle name="Обычный 24 2 2 2 6 3 2 2 2 9" xfId="14352" xr:uid="{00000000-0005-0000-0000-0000D9250000}"/>
    <cellStyle name="Обычный 24 2 2 2 6 3 2 2 3" xfId="7392" xr:uid="{00000000-0005-0000-0000-0000DA250000}"/>
    <cellStyle name="Обычный 24 2 2 2 6 3 2 2 4" xfId="8398" xr:uid="{00000000-0005-0000-0000-0000DB250000}"/>
    <cellStyle name="Обычный 24 2 2 2 6 3 2 2 5" xfId="9384" xr:uid="{00000000-0005-0000-0000-0000DC250000}"/>
    <cellStyle name="Обычный 24 2 2 2 6 3 2 2 6" xfId="10370" xr:uid="{00000000-0005-0000-0000-0000DD250000}"/>
    <cellStyle name="Обычный 24 2 2 2 6 3 2 2 7" xfId="11356" xr:uid="{00000000-0005-0000-0000-0000DE250000}"/>
    <cellStyle name="Обычный 24 2 2 2 6 3 2 2 8" xfId="12342" xr:uid="{00000000-0005-0000-0000-0000DF250000}"/>
    <cellStyle name="Обычный 24 2 2 2 6 3 2 2 9" xfId="13328" xr:uid="{00000000-0005-0000-0000-0000E0250000}"/>
    <cellStyle name="Обычный 24 2 2 2 6 3 2 3" xfId="6689" xr:uid="{00000000-0005-0000-0000-0000E1250000}"/>
    <cellStyle name="Обычный 24 2 2 2 6 3 2 3 10" xfId="15608" xr:uid="{00000000-0005-0000-0000-0000E2250000}"/>
    <cellStyle name="Обычный 24 2 2 2 6 3 2 3 2" xfId="7686" xr:uid="{00000000-0005-0000-0000-0000E3250000}"/>
    <cellStyle name="Обычный 24 2 2 2 6 3 2 3 3" xfId="8692" xr:uid="{00000000-0005-0000-0000-0000E4250000}"/>
    <cellStyle name="Обычный 24 2 2 2 6 3 2 3 4" xfId="9678" xr:uid="{00000000-0005-0000-0000-0000E5250000}"/>
    <cellStyle name="Обычный 24 2 2 2 6 3 2 3 5" xfId="10664" xr:uid="{00000000-0005-0000-0000-0000E6250000}"/>
    <cellStyle name="Обычный 24 2 2 2 6 3 2 3 6" xfId="11650" xr:uid="{00000000-0005-0000-0000-0000E7250000}"/>
    <cellStyle name="Обычный 24 2 2 2 6 3 2 3 7" xfId="12636" xr:uid="{00000000-0005-0000-0000-0000E8250000}"/>
    <cellStyle name="Обычный 24 2 2 2 6 3 2 3 8" xfId="13622" xr:uid="{00000000-0005-0000-0000-0000E9250000}"/>
    <cellStyle name="Обычный 24 2 2 2 6 3 2 3 9" xfId="14622" xr:uid="{00000000-0005-0000-0000-0000EA250000}"/>
    <cellStyle name="Обычный 24 2 2 2 6 3 2 4" xfId="6959" xr:uid="{00000000-0005-0000-0000-0000EB250000}"/>
    <cellStyle name="Обычный 24 2 2 2 6 3 2 4 10" xfId="15878" xr:uid="{00000000-0005-0000-0000-0000EC250000}"/>
    <cellStyle name="Обычный 24 2 2 2 6 3 2 4 2" xfId="7956" xr:uid="{00000000-0005-0000-0000-0000ED250000}"/>
    <cellStyle name="Обычный 24 2 2 2 6 3 2 4 3" xfId="8962" xr:uid="{00000000-0005-0000-0000-0000EE250000}"/>
    <cellStyle name="Обычный 24 2 2 2 6 3 2 4 4" xfId="9948" xr:uid="{00000000-0005-0000-0000-0000EF250000}"/>
    <cellStyle name="Обычный 24 2 2 2 6 3 2 4 5" xfId="10934" xr:uid="{00000000-0005-0000-0000-0000F0250000}"/>
    <cellStyle name="Обычный 24 2 2 2 6 3 2 4 6" xfId="11920" xr:uid="{00000000-0005-0000-0000-0000F1250000}"/>
    <cellStyle name="Обычный 24 2 2 2 6 3 2 4 7" xfId="12906" xr:uid="{00000000-0005-0000-0000-0000F2250000}"/>
    <cellStyle name="Обычный 24 2 2 2 6 3 2 4 8" xfId="13892" xr:uid="{00000000-0005-0000-0000-0000F3250000}"/>
    <cellStyle name="Обычный 24 2 2 2 6 3 2 4 9" xfId="14892" xr:uid="{00000000-0005-0000-0000-0000F4250000}"/>
    <cellStyle name="Обычный 24 2 2 2 6 3 2 5" xfId="7343" xr:uid="{00000000-0005-0000-0000-0000F5250000}"/>
    <cellStyle name="Обычный 24 2 2 2 6 3 2 6" xfId="8349" xr:uid="{00000000-0005-0000-0000-0000F6250000}"/>
    <cellStyle name="Обычный 24 2 2 2 6 3 2 7" xfId="9335" xr:uid="{00000000-0005-0000-0000-0000F7250000}"/>
    <cellStyle name="Обычный 24 2 2 2 6 3 2 8" xfId="10321" xr:uid="{00000000-0005-0000-0000-0000F8250000}"/>
    <cellStyle name="Обычный 24 2 2 2 6 3 2 9" xfId="11307" xr:uid="{00000000-0005-0000-0000-0000F9250000}"/>
    <cellStyle name="Обычный 24 2 2 2 6 3 3" xfId="7312" xr:uid="{00000000-0005-0000-0000-0000FA250000}"/>
    <cellStyle name="Обычный 24 2 2 2 6 3 4" xfId="8318" xr:uid="{00000000-0005-0000-0000-0000FB250000}"/>
    <cellStyle name="Обычный 24 2 2 2 6 3 5" xfId="9304" xr:uid="{00000000-0005-0000-0000-0000FC250000}"/>
    <cellStyle name="Обычный 24 2 2 2 6 3 6" xfId="10290" xr:uid="{00000000-0005-0000-0000-0000FD250000}"/>
    <cellStyle name="Обычный 24 2 2 2 6 3 7" xfId="11276" xr:uid="{00000000-0005-0000-0000-0000FE250000}"/>
    <cellStyle name="Обычный 24 2 2 2 6 3 8" xfId="12262" xr:uid="{00000000-0005-0000-0000-0000FF250000}"/>
    <cellStyle name="Обычный 24 2 2 2 6 3 9" xfId="13248" xr:uid="{00000000-0005-0000-0000-000000260000}"/>
    <cellStyle name="Обычный 24 2 2 2 6 4" xfId="6683" xr:uid="{00000000-0005-0000-0000-000001260000}"/>
    <cellStyle name="Обычный 24 2 2 2 6 4 10" xfId="15602" xr:uid="{00000000-0005-0000-0000-000002260000}"/>
    <cellStyle name="Обычный 24 2 2 2 6 4 2" xfId="7680" xr:uid="{00000000-0005-0000-0000-000003260000}"/>
    <cellStyle name="Обычный 24 2 2 2 6 4 3" xfId="8686" xr:uid="{00000000-0005-0000-0000-000004260000}"/>
    <cellStyle name="Обычный 24 2 2 2 6 4 4" xfId="9672" xr:uid="{00000000-0005-0000-0000-000005260000}"/>
    <cellStyle name="Обычный 24 2 2 2 6 4 5" xfId="10658" xr:uid="{00000000-0005-0000-0000-000006260000}"/>
    <cellStyle name="Обычный 24 2 2 2 6 4 6" xfId="11644" xr:uid="{00000000-0005-0000-0000-000007260000}"/>
    <cellStyle name="Обычный 24 2 2 2 6 4 7" xfId="12630" xr:uid="{00000000-0005-0000-0000-000008260000}"/>
    <cellStyle name="Обычный 24 2 2 2 6 4 8" xfId="13616" xr:uid="{00000000-0005-0000-0000-000009260000}"/>
    <cellStyle name="Обычный 24 2 2 2 6 4 9" xfId="14616" xr:uid="{00000000-0005-0000-0000-00000A260000}"/>
    <cellStyle name="Обычный 24 2 2 2 6 5" xfId="6953" xr:uid="{00000000-0005-0000-0000-00000B260000}"/>
    <cellStyle name="Обычный 24 2 2 2 6 5 10" xfId="15872" xr:uid="{00000000-0005-0000-0000-00000C260000}"/>
    <cellStyle name="Обычный 24 2 2 2 6 5 2" xfId="7950" xr:uid="{00000000-0005-0000-0000-00000D260000}"/>
    <cellStyle name="Обычный 24 2 2 2 6 5 3" xfId="8956" xr:uid="{00000000-0005-0000-0000-00000E260000}"/>
    <cellStyle name="Обычный 24 2 2 2 6 5 4" xfId="9942" xr:uid="{00000000-0005-0000-0000-00000F260000}"/>
    <cellStyle name="Обычный 24 2 2 2 6 5 5" xfId="10928" xr:uid="{00000000-0005-0000-0000-000010260000}"/>
    <cellStyle name="Обычный 24 2 2 2 6 5 6" xfId="11914" xr:uid="{00000000-0005-0000-0000-000011260000}"/>
    <cellStyle name="Обычный 24 2 2 2 6 5 7" xfId="12900" xr:uid="{00000000-0005-0000-0000-000012260000}"/>
    <cellStyle name="Обычный 24 2 2 2 6 5 8" xfId="13886" xr:uid="{00000000-0005-0000-0000-000013260000}"/>
    <cellStyle name="Обычный 24 2 2 2 6 5 9" xfId="14886" xr:uid="{00000000-0005-0000-0000-000014260000}"/>
    <cellStyle name="Обычный 24 2 2 2 6 6" xfId="7245" xr:uid="{00000000-0005-0000-0000-000015260000}"/>
    <cellStyle name="Обычный 24 2 2 2 6 7" xfId="8251" xr:uid="{00000000-0005-0000-0000-000016260000}"/>
    <cellStyle name="Обычный 24 2 2 2 6 8" xfId="9237" xr:uid="{00000000-0005-0000-0000-000017260000}"/>
    <cellStyle name="Обычный 24 2 2 2 6 9" xfId="10223" xr:uid="{00000000-0005-0000-0000-000018260000}"/>
    <cellStyle name="Обычный 24 2 2 2 7" xfId="6251" xr:uid="{00000000-0005-0000-0000-000019260000}"/>
    <cellStyle name="Обычный 24 2 2 2 7 10" xfId="14184" xr:uid="{00000000-0005-0000-0000-00001A260000}"/>
    <cellStyle name="Обычный 24 2 2 2 7 11" xfId="15170" xr:uid="{00000000-0005-0000-0000-00001B260000}"/>
    <cellStyle name="Обычный 24 2 2 2 7 2" xfId="6313" xr:uid="{00000000-0005-0000-0000-00001C260000}"/>
    <cellStyle name="Обычный 24 2 2 2 7 2 10" xfId="14246" xr:uid="{00000000-0005-0000-0000-00001D260000}"/>
    <cellStyle name="Обычный 24 2 2 2 7 2 11" xfId="15232" xr:uid="{00000000-0005-0000-0000-00001E260000}"/>
    <cellStyle name="Обычный 24 2 2 2 7 2 2" xfId="6393" xr:uid="{00000000-0005-0000-0000-00001F260000}"/>
    <cellStyle name="Обычный 24 2 2 2 7 2 2 10" xfId="14326" xr:uid="{00000000-0005-0000-0000-000020260000}"/>
    <cellStyle name="Обычный 24 2 2 2 7 2 2 11" xfId="15312" xr:uid="{00000000-0005-0000-0000-000021260000}"/>
    <cellStyle name="Обычный 24 2 2 2 7 2 2 2" xfId="6962" xr:uid="{00000000-0005-0000-0000-000022260000}"/>
    <cellStyle name="Обычный 24 2 2 2 7 2 2 2 10" xfId="15881" xr:uid="{00000000-0005-0000-0000-000023260000}"/>
    <cellStyle name="Обычный 24 2 2 2 7 2 2 2 2" xfId="7959" xr:uid="{00000000-0005-0000-0000-000024260000}"/>
    <cellStyle name="Обычный 24 2 2 2 7 2 2 2 3" xfId="8965" xr:uid="{00000000-0005-0000-0000-000025260000}"/>
    <cellStyle name="Обычный 24 2 2 2 7 2 2 2 4" xfId="9951" xr:uid="{00000000-0005-0000-0000-000026260000}"/>
    <cellStyle name="Обычный 24 2 2 2 7 2 2 2 5" xfId="10937" xr:uid="{00000000-0005-0000-0000-000027260000}"/>
    <cellStyle name="Обычный 24 2 2 2 7 2 2 2 6" xfId="11923" xr:uid="{00000000-0005-0000-0000-000028260000}"/>
    <cellStyle name="Обычный 24 2 2 2 7 2 2 2 7" xfId="12909" xr:uid="{00000000-0005-0000-0000-000029260000}"/>
    <cellStyle name="Обычный 24 2 2 2 7 2 2 2 8" xfId="13895" xr:uid="{00000000-0005-0000-0000-00002A260000}"/>
    <cellStyle name="Обычный 24 2 2 2 7 2 2 2 9" xfId="14895" xr:uid="{00000000-0005-0000-0000-00002B260000}"/>
    <cellStyle name="Обычный 24 2 2 2 7 2 2 3" xfId="7390" xr:uid="{00000000-0005-0000-0000-00002C260000}"/>
    <cellStyle name="Обычный 24 2 2 2 7 2 2 4" xfId="8396" xr:uid="{00000000-0005-0000-0000-00002D260000}"/>
    <cellStyle name="Обычный 24 2 2 2 7 2 2 5" xfId="9382" xr:uid="{00000000-0005-0000-0000-00002E260000}"/>
    <cellStyle name="Обычный 24 2 2 2 7 2 2 6" xfId="10368" xr:uid="{00000000-0005-0000-0000-00002F260000}"/>
    <cellStyle name="Обычный 24 2 2 2 7 2 2 7" xfId="11354" xr:uid="{00000000-0005-0000-0000-000030260000}"/>
    <cellStyle name="Обычный 24 2 2 2 7 2 2 8" xfId="12340" xr:uid="{00000000-0005-0000-0000-000031260000}"/>
    <cellStyle name="Обычный 24 2 2 2 7 2 2 9" xfId="13326" xr:uid="{00000000-0005-0000-0000-000032260000}"/>
    <cellStyle name="Обычный 24 2 2 2 7 2 3" xfId="7310" xr:uid="{00000000-0005-0000-0000-000033260000}"/>
    <cellStyle name="Обычный 24 2 2 2 7 2 4" xfId="8316" xr:uid="{00000000-0005-0000-0000-000034260000}"/>
    <cellStyle name="Обычный 24 2 2 2 7 2 5" xfId="9302" xr:uid="{00000000-0005-0000-0000-000035260000}"/>
    <cellStyle name="Обычный 24 2 2 2 7 2 6" xfId="10288" xr:uid="{00000000-0005-0000-0000-000036260000}"/>
    <cellStyle name="Обычный 24 2 2 2 7 2 7" xfId="11274" xr:uid="{00000000-0005-0000-0000-000037260000}"/>
    <cellStyle name="Обычный 24 2 2 2 7 2 8" xfId="12260" xr:uid="{00000000-0005-0000-0000-000038260000}"/>
    <cellStyle name="Обычный 24 2 2 2 7 2 9" xfId="13246" xr:uid="{00000000-0005-0000-0000-000039260000}"/>
    <cellStyle name="Обычный 24 2 2 2 7 3" xfId="7248" xr:uid="{00000000-0005-0000-0000-00003A260000}"/>
    <cellStyle name="Обычный 24 2 2 2 7 4" xfId="8254" xr:uid="{00000000-0005-0000-0000-00003B260000}"/>
    <cellStyle name="Обычный 24 2 2 2 7 5" xfId="9240" xr:uid="{00000000-0005-0000-0000-00003C260000}"/>
    <cellStyle name="Обычный 24 2 2 2 7 6" xfId="10226" xr:uid="{00000000-0005-0000-0000-00003D260000}"/>
    <cellStyle name="Обычный 24 2 2 2 7 7" xfId="11212" xr:uid="{00000000-0005-0000-0000-00003E260000}"/>
    <cellStyle name="Обычный 24 2 2 2 7 8" xfId="12198" xr:uid="{00000000-0005-0000-0000-00003F260000}"/>
    <cellStyle name="Обычный 24 2 2 2 7 9" xfId="13184" xr:uid="{00000000-0005-0000-0000-000040260000}"/>
    <cellStyle name="Обычный 24 2 2 2 8" xfId="6314" xr:uid="{00000000-0005-0000-0000-000041260000}"/>
    <cellStyle name="Обычный 24 2 2 2 8 10" xfId="12261" xr:uid="{00000000-0005-0000-0000-000042260000}"/>
    <cellStyle name="Обычный 24 2 2 2 8 11" xfId="13247" xr:uid="{00000000-0005-0000-0000-000043260000}"/>
    <cellStyle name="Обычный 24 2 2 2 8 12" xfId="14247" xr:uid="{00000000-0005-0000-0000-000044260000}"/>
    <cellStyle name="Обычный 24 2 2 2 8 13" xfId="15233" xr:uid="{00000000-0005-0000-0000-000045260000}"/>
    <cellStyle name="Обычный 24 2 2 2 8 2" xfId="6345" xr:uid="{00000000-0005-0000-0000-000046260000}"/>
    <cellStyle name="Обычный 24 2 2 2 8 2 10" xfId="12292" xr:uid="{00000000-0005-0000-0000-000047260000}"/>
    <cellStyle name="Обычный 24 2 2 2 8 2 11" xfId="13278" xr:uid="{00000000-0005-0000-0000-000048260000}"/>
    <cellStyle name="Обычный 24 2 2 2 8 2 12" xfId="14278" xr:uid="{00000000-0005-0000-0000-000049260000}"/>
    <cellStyle name="Обычный 24 2 2 2 8 2 13" xfId="15264" xr:uid="{00000000-0005-0000-0000-00004A260000}"/>
    <cellStyle name="Обычный 24 2 2 2 8 2 2" xfId="6394" xr:uid="{00000000-0005-0000-0000-00004B260000}"/>
    <cellStyle name="Обычный 24 2 2 2 8 2 2 10" xfId="14327" xr:uid="{00000000-0005-0000-0000-00004C260000}"/>
    <cellStyle name="Обычный 24 2 2 2 8 2 2 11" xfId="15313" xr:uid="{00000000-0005-0000-0000-00004D260000}"/>
    <cellStyle name="Обычный 24 2 2 2 8 2 2 2" xfId="6418" xr:uid="{00000000-0005-0000-0000-00004E260000}"/>
    <cellStyle name="Обычный 24 2 2 2 8 2 2 2 10" xfId="15337" xr:uid="{00000000-0005-0000-0000-00004F260000}"/>
    <cellStyle name="Обычный 24 2 2 2 8 2 2 2 2" xfId="7415" xr:uid="{00000000-0005-0000-0000-000050260000}"/>
    <cellStyle name="Обычный 24 2 2 2 8 2 2 2 3" xfId="8421" xr:uid="{00000000-0005-0000-0000-000051260000}"/>
    <cellStyle name="Обычный 24 2 2 2 8 2 2 2 4" xfId="9407" xr:uid="{00000000-0005-0000-0000-000052260000}"/>
    <cellStyle name="Обычный 24 2 2 2 8 2 2 2 5" xfId="10393" xr:uid="{00000000-0005-0000-0000-000053260000}"/>
    <cellStyle name="Обычный 24 2 2 2 8 2 2 2 6" xfId="11379" xr:uid="{00000000-0005-0000-0000-000054260000}"/>
    <cellStyle name="Обычный 24 2 2 2 8 2 2 2 7" xfId="12365" xr:uid="{00000000-0005-0000-0000-000055260000}"/>
    <cellStyle name="Обычный 24 2 2 2 8 2 2 2 8" xfId="13351" xr:uid="{00000000-0005-0000-0000-000056260000}"/>
    <cellStyle name="Обычный 24 2 2 2 8 2 2 2 9" xfId="14351" xr:uid="{00000000-0005-0000-0000-000057260000}"/>
    <cellStyle name="Обычный 24 2 2 2 8 2 2 3" xfId="7391" xr:uid="{00000000-0005-0000-0000-000058260000}"/>
    <cellStyle name="Обычный 24 2 2 2 8 2 2 4" xfId="8397" xr:uid="{00000000-0005-0000-0000-000059260000}"/>
    <cellStyle name="Обычный 24 2 2 2 8 2 2 5" xfId="9383" xr:uid="{00000000-0005-0000-0000-00005A260000}"/>
    <cellStyle name="Обычный 24 2 2 2 8 2 2 6" xfId="10369" xr:uid="{00000000-0005-0000-0000-00005B260000}"/>
    <cellStyle name="Обычный 24 2 2 2 8 2 2 7" xfId="11355" xr:uid="{00000000-0005-0000-0000-00005C260000}"/>
    <cellStyle name="Обычный 24 2 2 2 8 2 2 8" xfId="12341" xr:uid="{00000000-0005-0000-0000-00005D260000}"/>
    <cellStyle name="Обычный 24 2 2 2 8 2 2 9" xfId="13327" xr:uid="{00000000-0005-0000-0000-00005E260000}"/>
    <cellStyle name="Обычный 24 2 2 2 8 2 3" xfId="6688" xr:uid="{00000000-0005-0000-0000-00005F260000}"/>
    <cellStyle name="Обычный 24 2 2 2 8 2 3 10" xfId="15607" xr:uid="{00000000-0005-0000-0000-000060260000}"/>
    <cellStyle name="Обычный 24 2 2 2 8 2 3 2" xfId="7685" xr:uid="{00000000-0005-0000-0000-000061260000}"/>
    <cellStyle name="Обычный 24 2 2 2 8 2 3 3" xfId="8691" xr:uid="{00000000-0005-0000-0000-000062260000}"/>
    <cellStyle name="Обычный 24 2 2 2 8 2 3 4" xfId="9677" xr:uid="{00000000-0005-0000-0000-000063260000}"/>
    <cellStyle name="Обычный 24 2 2 2 8 2 3 5" xfId="10663" xr:uid="{00000000-0005-0000-0000-000064260000}"/>
    <cellStyle name="Обычный 24 2 2 2 8 2 3 6" xfId="11649" xr:uid="{00000000-0005-0000-0000-000065260000}"/>
    <cellStyle name="Обычный 24 2 2 2 8 2 3 7" xfId="12635" xr:uid="{00000000-0005-0000-0000-000066260000}"/>
    <cellStyle name="Обычный 24 2 2 2 8 2 3 8" xfId="13621" xr:uid="{00000000-0005-0000-0000-000067260000}"/>
    <cellStyle name="Обычный 24 2 2 2 8 2 3 9" xfId="14621" xr:uid="{00000000-0005-0000-0000-000068260000}"/>
    <cellStyle name="Обычный 24 2 2 2 8 2 4" xfId="6958" xr:uid="{00000000-0005-0000-0000-000069260000}"/>
    <cellStyle name="Обычный 24 2 2 2 8 2 4 10" xfId="15877" xr:uid="{00000000-0005-0000-0000-00006A260000}"/>
    <cellStyle name="Обычный 24 2 2 2 8 2 4 2" xfId="7955" xr:uid="{00000000-0005-0000-0000-00006B260000}"/>
    <cellStyle name="Обычный 24 2 2 2 8 2 4 3" xfId="8961" xr:uid="{00000000-0005-0000-0000-00006C260000}"/>
    <cellStyle name="Обычный 24 2 2 2 8 2 4 4" xfId="9947" xr:uid="{00000000-0005-0000-0000-00006D260000}"/>
    <cellStyle name="Обычный 24 2 2 2 8 2 4 5" xfId="10933" xr:uid="{00000000-0005-0000-0000-00006E260000}"/>
    <cellStyle name="Обычный 24 2 2 2 8 2 4 6" xfId="11919" xr:uid="{00000000-0005-0000-0000-00006F260000}"/>
    <cellStyle name="Обычный 24 2 2 2 8 2 4 7" xfId="12905" xr:uid="{00000000-0005-0000-0000-000070260000}"/>
    <cellStyle name="Обычный 24 2 2 2 8 2 4 8" xfId="13891" xr:uid="{00000000-0005-0000-0000-000071260000}"/>
    <cellStyle name="Обычный 24 2 2 2 8 2 4 9" xfId="14891" xr:uid="{00000000-0005-0000-0000-000072260000}"/>
    <cellStyle name="Обычный 24 2 2 2 8 2 5" xfId="7342" xr:uid="{00000000-0005-0000-0000-000073260000}"/>
    <cellStyle name="Обычный 24 2 2 2 8 2 6" xfId="8348" xr:uid="{00000000-0005-0000-0000-000074260000}"/>
    <cellStyle name="Обычный 24 2 2 2 8 2 7" xfId="9334" xr:uid="{00000000-0005-0000-0000-000075260000}"/>
    <cellStyle name="Обычный 24 2 2 2 8 2 8" xfId="10320" xr:uid="{00000000-0005-0000-0000-000076260000}"/>
    <cellStyle name="Обычный 24 2 2 2 8 2 9" xfId="11306" xr:uid="{00000000-0005-0000-0000-000077260000}"/>
    <cellStyle name="Обычный 24 2 2 2 8 3" xfId="6686" xr:uid="{00000000-0005-0000-0000-000078260000}"/>
    <cellStyle name="Обычный 24 2 2 2 8 3 10" xfId="15605" xr:uid="{00000000-0005-0000-0000-000079260000}"/>
    <cellStyle name="Обычный 24 2 2 2 8 3 2" xfId="7683" xr:uid="{00000000-0005-0000-0000-00007A260000}"/>
    <cellStyle name="Обычный 24 2 2 2 8 3 3" xfId="8689" xr:uid="{00000000-0005-0000-0000-00007B260000}"/>
    <cellStyle name="Обычный 24 2 2 2 8 3 4" xfId="9675" xr:uid="{00000000-0005-0000-0000-00007C260000}"/>
    <cellStyle name="Обычный 24 2 2 2 8 3 5" xfId="10661" xr:uid="{00000000-0005-0000-0000-00007D260000}"/>
    <cellStyle name="Обычный 24 2 2 2 8 3 6" xfId="11647" xr:uid="{00000000-0005-0000-0000-00007E260000}"/>
    <cellStyle name="Обычный 24 2 2 2 8 3 7" xfId="12633" xr:uid="{00000000-0005-0000-0000-00007F260000}"/>
    <cellStyle name="Обычный 24 2 2 2 8 3 8" xfId="13619" xr:uid="{00000000-0005-0000-0000-000080260000}"/>
    <cellStyle name="Обычный 24 2 2 2 8 3 9" xfId="14619" xr:uid="{00000000-0005-0000-0000-000081260000}"/>
    <cellStyle name="Обычный 24 2 2 2 8 4" xfId="6956" xr:uid="{00000000-0005-0000-0000-000082260000}"/>
    <cellStyle name="Обычный 24 2 2 2 8 4 10" xfId="15875" xr:uid="{00000000-0005-0000-0000-000083260000}"/>
    <cellStyle name="Обычный 24 2 2 2 8 4 2" xfId="7953" xr:uid="{00000000-0005-0000-0000-000084260000}"/>
    <cellStyle name="Обычный 24 2 2 2 8 4 3" xfId="8959" xr:uid="{00000000-0005-0000-0000-000085260000}"/>
    <cellStyle name="Обычный 24 2 2 2 8 4 4" xfId="9945" xr:uid="{00000000-0005-0000-0000-000086260000}"/>
    <cellStyle name="Обычный 24 2 2 2 8 4 5" xfId="10931" xr:uid="{00000000-0005-0000-0000-000087260000}"/>
    <cellStyle name="Обычный 24 2 2 2 8 4 6" xfId="11917" xr:uid="{00000000-0005-0000-0000-000088260000}"/>
    <cellStyle name="Обычный 24 2 2 2 8 4 7" xfId="12903" xr:uid="{00000000-0005-0000-0000-000089260000}"/>
    <cellStyle name="Обычный 24 2 2 2 8 4 8" xfId="13889" xr:uid="{00000000-0005-0000-0000-00008A260000}"/>
    <cellStyle name="Обычный 24 2 2 2 8 4 9" xfId="14889" xr:uid="{00000000-0005-0000-0000-00008B260000}"/>
    <cellStyle name="Обычный 24 2 2 2 8 5" xfId="7311" xr:uid="{00000000-0005-0000-0000-00008C260000}"/>
    <cellStyle name="Обычный 24 2 2 2 8 6" xfId="8317" xr:uid="{00000000-0005-0000-0000-00008D260000}"/>
    <cellStyle name="Обычный 24 2 2 2 8 7" xfId="9303" xr:uid="{00000000-0005-0000-0000-00008E260000}"/>
    <cellStyle name="Обычный 24 2 2 2 8 8" xfId="10289" xr:uid="{00000000-0005-0000-0000-00008F260000}"/>
    <cellStyle name="Обычный 24 2 2 2 8 9" xfId="11275" xr:uid="{00000000-0005-0000-0000-000090260000}"/>
    <cellStyle name="Обычный 24 2 2 2 9" xfId="6608" xr:uid="{00000000-0005-0000-0000-000091260000}"/>
    <cellStyle name="Обычный 24 2 2 2 9 10" xfId="15527" xr:uid="{00000000-0005-0000-0000-000092260000}"/>
    <cellStyle name="Обычный 24 2 2 2 9 2" xfId="7605" xr:uid="{00000000-0005-0000-0000-000093260000}"/>
    <cellStyle name="Обычный 24 2 2 2 9 3" xfId="8611" xr:uid="{00000000-0005-0000-0000-000094260000}"/>
    <cellStyle name="Обычный 24 2 2 2 9 4" xfId="9597" xr:uid="{00000000-0005-0000-0000-000095260000}"/>
    <cellStyle name="Обычный 24 2 2 2 9 5" xfId="10583" xr:uid="{00000000-0005-0000-0000-000096260000}"/>
    <cellStyle name="Обычный 24 2 2 2 9 6" xfId="11569" xr:uid="{00000000-0005-0000-0000-000097260000}"/>
    <cellStyle name="Обычный 24 2 2 2 9 7" xfId="12555" xr:uid="{00000000-0005-0000-0000-000098260000}"/>
    <cellStyle name="Обычный 24 2 2 2 9 8" xfId="13541" xr:uid="{00000000-0005-0000-0000-000099260000}"/>
    <cellStyle name="Обычный 24 2 2 2 9 9" xfId="14541" xr:uid="{00000000-0005-0000-0000-00009A260000}"/>
    <cellStyle name="Обычный 24 2 2 3" xfId="6595" xr:uid="{00000000-0005-0000-0000-00009B260000}"/>
    <cellStyle name="Обычный 24 2 2 3 10" xfId="15514" xr:uid="{00000000-0005-0000-0000-00009C260000}"/>
    <cellStyle name="Обычный 24 2 2 3 2" xfId="7592" xr:uid="{00000000-0005-0000-0000-00009D260000}"/>
    <cellStyle name="Обычный 24 2 2 3 3" xfId="8598" xr:uid="{00000000-0005-0000-0000-00009E260000}"/>
    <cellStyle name="Обычный 24 2 2 3 4" xfId="9584" xr:uid="{00000000-0005-0000-0000-00009F260000}"/>
    <cellStyle name="Обычный 24 2 2 3 5" xfId="10570" xr:uid="{00000000-0005-0000-0000-0000A0260000}"/>
    <cellStyle name="Обычный 24 2 2 3 6" xfId="11556" xr:uid="{00000000-0005-0000-0000-0000A1260000}"/>
    <cellStyle name="Обычный 24 2 2 3 7" xfId="12542" xr:uid="{00000000-0005-0000-0000-0000A2260000}"/>
    <cellStyle name="Обычный 24 2 2 3 8" xfId="13528" xr:uid="{00000000-0005-0000-0000-0000A3260000}"/>
    <cellStyle name="Обычный 24 2 2 3 9" xfId="14528" xr:uid="{00000000-0005-0000-0000-0000A4260000}"/>
    <cellStyle name="Обычный 24 2 2 4" xfId="6865" xr:uid="{00000000-0005-0000-0000-0000A5260000}"/>
    <cellStyle name="Обычный 24 2 2 4 10" xfId="15784" xr:uid="{00000000-0005-0000-0000-0000A6260000}"/>
    <cellStyle name="Обычный 24 2 2 4 2" xfId="7862" xr:uid="{00000000-0005-0000-0000-0000A7260000}"/>
    <cellStyle name="Обычный 24 2 2 4 3" xfId="8868" xr:uid="{00000000-0005-0000-0000-0000A8260000}"/>
    <cellStyle name="Обычный 24 2 2 4 4" xfId="9854" xr:uid="{00000000-0005-0000-0000-0000A9260000}"/>
    <cellStyle name="Обычный 24 2 2 4 5" xfId="10840" xr:uid="{00000000-0005-0000-0000-0000AA260000}"/>
    <cellStyle name="Обычный 24 2 2 4 6" xfId="11826" xr:uid="{00000000-0005-0000-0000-0000AB260000}"/>
    <cellStyle name="Обычный 24 2 2 4 7" xfId="12812" xr:uid="{00000000-0005-0000-0000-0000AC260000}"/>
    <cellStyle name="Обычный 24 2 2 4 8" xfId="13798" xr:uid="{00000000-0005-0000-0000-0000AD260000}"/>
    <cellStyle name="Обычный 24 2 2 4 9" xfId="14798" xr:uid="{00000000-0005-0000-0000-0000AE260000}"/>
    <cellStyle name="Обычный 24 2 2 5" xfId="7148" xr:uid="{00000000-0005-0000-0000-0000AF260000}"/>
    <cellStyle name="Обычный 24 2 2 6" xfId="8154" xr:uid="{00000000-0005-0000-0000-0000B0260000}"/>
    <cellStyle name="Обычный 24 2 2 7" xfId="9140" xr:uid="{00000000-0005-0000-0000-0000B1260000}"/>
    <cellStyle name="Обычный 24 2 2 8" xfId="10126" xr:uid="{00000000-0005-0000-0000-0000B2260000}"/>
    <cellStyle name="Обычный 24 2 2 9" xfId="11112" xr:uid="{00000000-0005-0000-0000-0000B3260000}"/>
    <cellStyle name="Обычный 24 2 3" xfId="6590" xr:uid="{00000000-0005-0000-0000-0000B4260000}"/>
    <cellStyle name="Обычный 24 2 3 10" xfId="15509" xr:uid="{00000000-0005-0000-0000-0000B5260000}"/>
    <cellStyle name="Обычный 24 2 3 2" xfId="7587" xr:uid="{00000000-0005-0000-0000-0000B6260000}"/>
    <cellStyle name="Обычный 24 2 3 3" xfId="8593" xr:uid="{00000000-0005-0000-0000-0000B7260000}"/>
    <cellStyle name="Обычный 24 2 3 4" xfId="9579" xr:uid="{00000000-0005-0000-0000-0000B8260000}"/>
    <cellStyle name="Обычный 24 2 3 5" xfId="10565" xr:uid="{00000000-0005-0000-0000-0000B9260000}"/>
    <cellStyle name="Обычный 24 2 3 6" xfId="11551" xr:uid="{00000000-0005-0000-0000-0000BA260000}"/>
    <cellStyle name="Обычный 24 2 3 7" xfId="12537" xr:uid="{00000000-0005-0000-0000-0000BB260000}"/>
    <cellStyle name="Обычный 24 2 3 8" xfId="13523" xr:uid="{00000000-0005-0000-0000-0000BC260000}"/>
    <cellStyle name="Обычный 24 2 3 9" xfId="14523" xr:uid="{00000000-0005-0000-0000-0000BD260000}"/>
    <cellStyle name="Обычный 24 2 4" xfId="6860" xr:uid="{00000000-0005-0000-0000-0000BE260000}"/>
    <cellStyle name="Обычный 24 2 4 10" xfId="15779" xr:uid="{00000000-0005-0000-0000-0000BF260000}"/>
    <cellStyle name="Обычный 24 2 4 2" xfId="7857" xr:uid="{00000000-0005-0000-0000-0000C0260000}"/>
    <cellStyle name="Обычный 24 2 4 3" xfId="8863" xr:uid="{00000000-0005-0000-0000-0000C1260000}"/>
    <cellStyle name="Обычный 24 2 4 4" xfId="9849" xr:uid="{00000000-0005-0000-0000-0000C2260000}"/>
    <cellStyle name="Обычный 24 2 4 5" xfId="10835" xr:uid="{00000000-0005-0000-0000-0000C3260000}"/>
    <cellStyle name="Обычный 24 2 4 6" xfId="11821" xr:uid="{00000000-0005-0000-0000-0000C4260000}"/>
    <cellStyle name="Обычный 24 2 4 7" xfId="12807" xr:uid="{00000000-0005-0000-0000-0000C5260000}"/>
    <cellStyle name="Обычный 24 2 4 8" xfId="13793" xr:uid="{00000000-0005-0000-0000-0000C6260000}"/>
    <cellStyle name="Обычный 24 2 4 9" xfId="14793" xr:uid="{00000000-0005-0000-0000-0000C7260000}"/>
    <cellStyle name="Обычный 24 2 5" xfId="7143" xr:uid="{00000000-0005-0000-0000-0000C8260000}"/>
    <cellStyle name="Обычный 24 2 6" xfId="8149" xr:uid="{00000000-0005-0000-0000-0000C9260000}"/>
    <cellStyle name="Обычный 24 2 7" xfId="9135" xr:uid="{00000000-0005-0000-0000-0000CA260000}"/>
    <cellStyle name="Обычный 24 2 8" xfId="10121" xr:uid="{00000000-0005-0000-0000-0000CB260000}"/>
    <cellStyle name="Обычный 24 2 9" xfId="11107" xr:uid="{00000000-0005-0000-0000-0000CC260000}"/>
    <cellStyle name="Обычный 24 3" xfId="6587" xr:uid="{00000000-0005-0000-0000-0000CD260000}"/>
    <cellStyle name="Обычный 24 3 10" xfId="15506" xr:uid="{00000000-0005-0000-0000-0000CE260000}"/>
    <cellStyle name="Обычный 24 3 2" xfId="7584" xr:uid="{00000000-0005-0000-0000-0000CF260000}"/>
    <cellStyle name="Обычный 24 3 3" xfId="8590" xr:uid="{00000000-0005-0000-0000-0000D0260000}"/>
    <cellStyle name="Обычный 24 3 4" xfId="9576" xr:uid="{00000000-0005-0000-0000-0000D1260000}"/>
    <cellStyle name="Обычный 24 3 5" xfId="10562" xr:uid="{00000000-0005-0000-0000-0000D2260000}"/>
    <cellStyle name="Обычный 24 3 6" xfId="11548" xr:uid="{00000000-0005-0000-0000-0000D3260000}"/>
    <cellStyle name="Обычный 24 3 7" xfId="12534" xr:uid="{00000000-0005-0000-0000-0000D4260000}"/>
    <cellStyle name="Обычный 24 3 8" xfId="13520" xr:uid="{00000000-0005-0000-0000-0000D5260000}"/>
    <cellStyle name="Обычный 24 3 9" xfId="14520" xr:uid="{00000000-0005-0000-0000-0000D6260000}"/>
    <cellStyle name="Обычный 24 4" xfId="6857" xr:uid="{00000000-0005-0000-0000-0000D7260000}"/>
    <cellStyle name="Обычный 24 4 10" xfId="15776" xr:uid="{00000000-0005-0000-0000-0000D8260000}"/>
    <cellStyle name="Обычный 24 4 2" xfId="7854" xr:uid="{00000000-0005-0000-0000-0000D9260000}"/>
    <cellStyle name="Обычный 24 4 3" xfId="8860" xr:uid="{00000000-0005-0000-0000-0000DA260000}"/>
    <cellStyle name="Обычный 24 4 4" xfId="9846" xr:uid="{00000000-0005-0000-0000-0000DB260000}"/>
    <cellStyle name="Обычный 24 4 5" xfId="10832" xr:uid="{00000000-0005-0000-0000-0000DC260000}"/>
    <cellStyle name="Обычный 24 4 6" xfId="11818" xr:uid="{00000000-0005-0000-0000-0000DD260000}"/>
    <cellStyle name="Обычный 24 4 7" xfId="12804" xr:uid="{00000000-0005-0000-0000-0000DE260000}"/>
    <cellStyle name="Обычный 24 4 8" xfId="13790" xr:uid="{00000000-0005-0000-0000-0000DF260000}"/>
    <cellStyle name="Обычный 24 4 9" xfId="14790" xr:uid="{00000000-0005-0000-0000-0000E0260000}"/>
    <cellStyle name="Обычный 24 5" xfId="7140" xr:uid="{00000000-0005-0000-0000-0000E1260000}"/>
    <cellStyle name="Обычный 24 6" xfId="8146" xr:uid="{00000000-0005-0000-0000-0000E2260000}"/>
    <cellStyle name="Обычный 24 7" xfId="9132" xr:uid="{00000000-0005-0000-0000-0000E3260000}"/>
    <cellStyle name="Обычный 24 8" xfId="10118" xr:uid="{00000000-0005-0000-0000-0000E4260000}"/>
    <cellStyle name="Обычный 24 9" xfId="11104" xr:uid="{00000000-0005-0000-0000-0000E5260000}"/>
    <cellStyle name="Обычный 25" xfId="6128" xr:uid="{00000000-0005-0000-0000-0000E6260000}"/>
    <cellStyle name="Обычный 25 10" xfId="13077" xr:uid="{00000000-0005-0000-0000-0000E7260000}"/>
    <cellStyle name="Обычный 25 11" xfId="14077" xr:uid="{00000000-0005-0000-0000-0000E8260000}"/>
    <cellStyle name="Обычный 25 12" xfId="15063" xr:uid="{00000000-0005-0000-0000-0000E9260000}"/>
    <cellStyle name="Обычный 25 2" xfId="6588" xr:uid="{00000000-0005-0000-0000-0000EA260000}"/>
    <cellStyle name="Обычный 25 2 10" xfId="15507" xr:uid="{00000000-0005-0000-0000-0000EB260000}"/>
    <cellStyle name="Обычный 25 2 2" xfId="7585" xr:uid="{00000000-0005-0000-0000-0000EC260000}"/>
    <cellStyle name="Обычный 25 2 3" xfId="8591" xr:uid="{00000000-0005-0000-0000-0000ED260000}"/>
    <cellStyle name="Обычный 25 2 4" xfId="9577" xr:uid="{00000000-0005-0000-0000-0000EE260000}"/>
    <cellStyle name="Обычный 25 2 5" xfId="10563" xr:uid="{00000000-0005-0000-0000-0000EF260000}"/>
    <cellStyle name="Обычный 25 2 6" xfId="11549" xr:uid="{00000000-0005-0000-0000-0000F0260000}"/>
    <cellStyle name="Обычный 25 2 7" xfId="12535" xr:uid="{00000000-0005-0000-0000-0000F1260000}"/>
    <cellStyle name="Обычный 25 2 8" xfId="13521" xr:uid="{00000000-0005-0000-0000-0000F2260000}"/>
    <cellStyle name="Обычный 25 2 9" xfId="14521" xr:uid="{00000000-0005-0000-0000-0000F3260000}"/>
    <cellStyle name="Обычный 25 3" xfId="6858" xr:uid="{00000000-0005-0000-0000-0000F4260000}"/>
    <cellStyle name="Обычный 25 3 10" xfId="15777" xr:uid="{00000000-0005-0000-0000-0000F5260000}"/>
    <cellStyle name="Обычный 25 3 2" xfId="7855" xr:uid="{00000000-0005-0000-0000-0000F6260000}"/>
    <cellStyle name="Обычный 25 3 3" xfId="8861" xr:uid="{00000000-0005-0000-0000-0000F7260000}"/>
    <cellStyle name="Обычный 25 3 4" xfId="9847" xr:uid="{00000000-0005-0000-0000-0000F8260000}"/>
    <cellStyle name="Обычный 25 3 5" xfId="10833" xr:uid="{00000000-0005-0000-0000-0000F9260000}"/>
    <cellStyle name="Обычный 25 3 6" xfId="11819" xr:uid="{00000000-0005-0000-0000-0000FA260000}"/>
    <cellStyle name="Обычный 25 3 7" xfId="12805" xr:uid="{00000000-0005-0000-0000-0000FB260000}"/>
    <cellStyle name="Обычный 25 3 8" xfId="13791" xr:uid="{00000000-0005-0000-0000-0000FC260000}"/>
    <cellStyle name="Обычный 25 3 9" xfId="14791" xr:uid="{00000000-0005-0000-0000-0000FD260000}"/>
    <cellStyle name="Обычный 25 4" xfId="7141" xr:uid="{00000000-0005-0000-0000-0000FE260000}"/>
    <cellStyle name="Обычный 25 5" xfId="8147" xr:uid="{00000000-0005-0000-0000-0000FF260000}"/>
    <cellStyle name="Обычный 25 6" xfId="9133" xr:uid="{00000000-0005-0000-0000-000000270000}"/>
    <cellStyle name="Обычный 25 7" xfId="10119" xr:uid="{00000000-0005-0000-0000-000001270000}"/>
    <cellStyle name="Обычный 25 8" xfId="11105" xr:uid="{00000000-0005-0000-0000-000002270000}"/>
    <cellStyle name="Обычный 25 9" xfId="12091" xr:uid="{00000000-0005-0000-0000-000003270000}"/>
    <cellStyle name="Обычный 26" xfId="6131" xr:uid="{00000000-0005-0000-0000-000004270000}"/>
    <cellStyle name="Обычный 26 10" xfId="13080" xr:uid="{00000000-0005-0000-0000-000005270000}"/>
    <cellStyle name="Обычный 26 11" xfId="14080" xr:uid="{00000000-0005-0000-0000-000006270000}"/>
    <cellStyle name="Обычный 26 12" xfId="15066" xr:uid="{00000000-0005-0000-0000-000007270000}"/>
    <cellStyle name="Обычный 26 2" xfId="6591" xr:uid="{00000000-0005-0000-0000-000008270000}"/>
    <cellStyle name="Обычный 26 2 10" xfId="15510" xr:uid="{00000000-0005-0000-0000-000009270000}"/>
    <cellStyle name="Обычный 26 2 2" xfId="7588" xr:uid="{00000000-0005-0000-0000-00000A270000}"/>
    <cellStyle name="Обычный 26 2 3" xfId="8594" xr:uid="{00000000-0005-0000-0000-00000B270000}"/>
    <cellStyle name="Обычный 26 2 4" xfId="9580" xr:uid="{00000000-0005-0000-0000-00000C270000}"/>
    <cellStyle name="Обычный 26 2 5" xfId="10566" xr:uid="{00000000-0005-0000-0000-00000D270000}"/>
    <cellStyle name="Обычный 26 2 6" xfId="11552" xr:uid="{00000000-0005-0000-0000-00000E270000}"/>
    <cellStyle name="Обычный 26 2 7" xfId="12538" xr:uid="{00000000-0005-0000-0000-00000F270000}"/>
    <cellStyle name="Обычный 26 2 8" xfId="13524" xr:uid="{00000000-0005-0000-0000-000010270000}"/>
    <cellStyle name="Обычный 26 2 9" xfId="14524" xr:uid="{00000000-0005-0000-0000-000011270000}"/>
    <cellStyle name="Обычный 26 3" xfId="6861" xr:uid="{00000000-0005-0000-0000-000012270000}"/>
    <cellStyle name="Обычный 26 3 10" xfId="15780" xr:uid="{00000000-0005-0000-0000-000013270000}"/>
    <cellStyle name="Обычный 26 3 2" xfId="7858" xr:uid="{00000000-0005-0000-0000-000014270000}"/>
    <cellStyle name="Обычный 26 3 3" xfId="8864" xr:uid="{00000000-0005-0000-0000-000015270000}"/>
    <cellStyle name="Обычный 26 3 4" xfId="9850" xr:uid="{00000000-0005-0000-0000-000016270000}"/>
    <cellStyle name="Обычный 26 3 5" xfId="10836" xr:uid="{00000000-0005-0000-0000-000017270000}"/>
    <cellStyle name="Обычный 26 3 6" xfId="11822" xr:uid="{00000000-0005-0000-0000-000018270000}"/>
    <cellStyle name="Обычный 26 3 7" xfId="12808" xr:uid="{00000000-0005-0000-0000-000019270000}"/>
    <cellStyle name="Обычный 26 3 8" xfId="13794" xr:uid="{00000000-0005-0000-0000-00001A270000}"/>
    <cellStyle name="Обычный 26 3 9" xfId="14794" xr:uid="{00000000-0005-0000-0000-00001B270000}"/>
    <cellStyle name="Обычный 26 4" xfId="7144" xr:uid="{00000000-0005-0000-0000-00001C270000}"/>
    <cellStyle name="Обычный 26 5" xfId="8150" xr:uid="{00000000-0005-0000-0000-00001D270000}"/>
    <cellStyle name="Обычный 26 6" xfId="9136" xr:uid="{00000000-0005-0000-0000-00001E270000}"/>
    <cellStyle name="Обычный 26 7" xfId="10122" xr:uid="{00000000-0005-0000-0000-00001F270000}"/>
    <cellStyle name="Обычный 26 8" xfId="11108" xr:uid="{00000000-0005-0000-0000-000020270000}"/>
    <cellStyle name="Обычный 26 9" xfId="12094" xr:uid="{00000000-0005-0000-0000-000021270000}"/>
    <cellStyle name="Обычный 27" xfId="6133" xr:uid="{00000000-0005-0000-0000-000022270000}"/>
    <cellStyle name="Обычный 27 10" xfId="11110" xr:uid="{00000000-0005-0000-0000-000023270000}"/>
    <cellStyle name="Обычный 27 11" xfId="12096" xr:uid="{00000000-0005-0000-0000-000024270000}"/>
    <cellStyle name="Обычный 27 12" xfId="13082" xr:uid="{00000000-0005-0000-0000-000025270000}"/>
    <cellStyle name="Обычный 27 13" xfId="14082" xr:uid="{00000000-0005-0000-0000-000026270000}"/>
    <cellStyle name="Обычный 27 14" xfId="15068" xr:uid="{00000000-0005-0000-0000-000027270000}"/>
    <cellStyle name="Обычный 27 2" xfId="6136" xr:uid="{00000000-0005-0000-0000-000028270000}"/>
    <cellStyle name="Обычный 27 2 10" xfId="12099" xr:uid="{00000000-0005-0000-0000-000029270000}"/>
    <cellStyle name="Обычный 27 2 11" xfId="13085" xr:uid="{00000000-0005-0000-0000-00002A270000}"/>
    <cellStyle name="Обычный 27 2 12" xfId="14085" xr:uid="{00000000-0005-0000-0000-00002B270000}"/>
    <cellStyle name="Обычный 27 2 13" xfId="15071" xr:uid="{00000000-0005-0000-0000-00002C270000}"/>
    <cellStyle name="Обычный 27 2 2" xfId="6146" xr:uid="{00000000-0005-0000-0000-00002D270000}"/>
    <cellStyle name="Обычный 27 2 2 10" xfId="10137" xr:uid="{00000000-0005-0000-0000-00002E270000}"/>
    <cellStyle name="Обычный 27 2 2 11" xfId="11123" xr:uid="{00000000-0005-0000-0000-00002F270000}"/>
    <cellStyle name="Обычный 27 2 2 12" xfId="12109" xr:uid="{00000000-0005-0000-0000-000030270000}"/>
    <cellStyle name="Обычный 27 2 2 13" xfId="13095" xr:uid="{00000000-0005-0000-0000-000031270000}"/>
    <cellStyle name="Обычный 27 2 2 14" xfId="14095" xr:uid="{00000000-0005-0000-0000-000032270000}"/>
    <cellStyle name="Обычный 27 2 2 15" xfId="15081" xr:uid="{00000000-0005-0000-0000-000033270000}"/>
    <cellStyle name="Обычный 27 2 2 2" xfId="6148" xr:uid="{00000000-0005-0000-0000-000034270000}"/>
    <cellStyle name="Обычный 27 2 2 2 2" xfId="6168" xr:uid="{00000000-0005-0000-0000-000035270000}"/>
    <cellStyle name="Обычный 27 2 2 2 2 10" xfId="12126" xr:uid="{00000000-0005-0000-0000-000036270000}"/>
    <cellStyle name="Обычный 27 2 2 2 2 11" xfId="13112" xr:uid="{00000000-0005-0000-0000-000037270000}"/>
    <cellStyle name="Обычный 27 2 2 2 2 12" xfId="14112" xr:uid="{00000000-0005-0000-0000-000038270000}"/>
    <cellStyle name="Обычный 27 2 2 2 2 13" xfId="15098" xr:uid="{00000000-0005-0000-0000-000039270000}"/>
    <cellStyle name="Обычный 27 2 2 2 2 2" xfId="6245" xr:uid="{00000000-0005-0000-0000-00003A270000}"/>
    <cellStyle name="Обычный 27 2 2 2 2 2 10" xfId="15164" xr:uid="{00000000-0005-0000-0000-00003B270000}"/>
    <cellStyle name="Обычный 27 2 2 2 2 2 2" xfId="7242" xr:uid="{00000000-0005-0000-0000-00003C270000}"/>
    <cellStyle name="Обычный 27 2 2 2 2 2 3" xfId="8248" xr:uid="{00000000-0005-0000-0000-00003D270000}"/>
    <cellStyle name="Обычный 27 2 2 2 2 2 4" xfId="9234" xr:uid="{00000000-0005-0000-0000-00003E270000}"/>
    <cellStyle name="Обычный 27 2 2 2 2 2 5" xfId="10220" xr:uid="{00000000-0005-0000-0000-00003F270000}"/>
    <cellStyle name="Обычный 27 2 2 2 2 2 6" xfId="11206" xr:uid="{00000000-0005-0000-0000-000040270000}"/>
    <cellStyle name="Обычный 27 2 2 2 2 2 7" xfId="12192" xr:uid="{00000000-0005-0000-0000-000041270000}"/>
    <cellStyle name="Обычный 27 2 2 2 2 2 7 2" xfId="6262" xr:uid="{00000000-0005-0000-0000-000042270000}"/>
    <cellStyle name="Обычный 27 2 2 2 2 2 7 2 10" xfId="12209" xr:uid="{00000000-0005-0000-0000-000043270000}"/>
    <cellStyle name="Обычный 27 2 2 2 2 2 7 2 11" xfId="13195" xr:uid="{00000000-0005-0000-0000-000044270000}"/>
    <cellStyle name="Обычный 27 2 2 2 2 2 7 2 12" xfId="14195" xr:uid="{00000000-0005-0000-0000-000045270000}"/>
    <cellStyle name="Обычный 27 2 2 2 2 2 7 2 13" xfId="15181" xr:uid="{00000000-0005-0000-0000-000046270000}"/>
    <cellStyle name="Обычный 27 2 2 2 2 2 7 2 2" xfId="6280" xr:uid="{00000000-0005-0000-0000-000047270000}"/>
    <cellStyle name="Обычный 27 2 2 2 2 2 7 2 2 10" xfId="15199" xr:uid="{00000000-0005-0000-0000-000048270000}"/>
    <cellStyle name="Обычный 27 2 2 2 2 2 7 2 2 2" xfId="7277" xr:uid="{00000000-0005-0000-0000-000049270000}"/>
    <cellStyle name="Обычный 27 2 2 2 2 2 7 2 2 3" xfId="8283" xr:uid="{00000000-0005-0000-0000-00004A270000}"/>
    <cellStyle name="Обычный 27 2 2 2 2 2 7 2 2 4" xfId="9269" xr:uid="{00000000-0005-0000-0000-00004B270000}"/>
    <cellStyle name="Обычный 27 2 2 2 2 2 7 2 2 5" xfId="10255" xr:uid="{00000000-0005-0000-0000-00004C270000}"/>
    <cellStyle name="Обычный 27 2 2 2 2 2 7 2 2 6" xfId="11241" xr:uid="{00000000-0005-0000-0000-00004D270000}"/>
    <cellStyle name="Обычный 27 2 2 2 2 2 7 2 2 7" xfId="12227" xr:uid="{00000000-0005-0000-0000-00004E270000}"/>
    <cellStyle name="Обычный 27 2 2 2 2 2 7 2 2 8" xfId="13213" xr:uid="{00000000-0005-0000-0000-00004F270000}"/>
    <cellStyle name="Обычный 27 2 2 2 2 2 7 2 2 9" xfId="14213" xr:uid="{00000000-0005-0000-0000-000050270000}"/>
    <cellStyle name="Обычный 27 2 2 2 2 2 7 2 3" xfId="6293" xr:uid="{00000000-0005-0000-0000-000051270000}"/>
    <cellStyle name="Обычный 27 2 2 2 2 2 7 2 3 10" xfId="15212" xr:uid="{00000000-0005-0000-0000-000052270000}"/>
    <cellStyle name="Обычный 27 2 2 2 2 2 7 2 3 2" xfId="7290" xr:uid="{00000000-0005-0000-0000-000053270000}"/>
    <cellStyle name="Обычный 27 2 2 2 2 2 7 2 3 2 2 2 2 2 2" xfId="6404" xr:uid="{00000000-0005-0000-0000-000054270000}"/>
    <cellStyle name="Обычный 27 2 2 2 2 2 7 2 3 2 2 2 2 2 2 10" xfId="14337" xr:uid="{00000000-0005-0000-0000-000055270000}"/>
    <cellStyle name="Обычный 27 2 2 2 2 2 7 2 3 2 2 2 2 2 2 11" xfId="15323" xr:uid="{00000000-0005-0000-0000-000056270000}"/>
    <cellStyle name="Обычный 27 2 2 2 2 2 7 2 3 2 2 2 2 2 2 2" xfId="6414" xr:uid="{00000000-0005-0000-0000-000057270000}"/>
    <cellStyle name="Обычный 27 2 2 2 2 2 7 2 3 2 2 2 2 2 2 2 10" xfId="15333" xr:uid="{00000000-0005-0000-0000-000058270000}"/>
    <cellStyle name="Обычный 27 2 2 2 2 2 7 2 3 2 2 2 2 2 2 2 2" xfId="7411" xr:uid="{00000000-0005-0000-0000-000059270000}"/>
    <cellStyle name="Обычный 27 2 2 2 2 2 7 2 3 2 2 2 2 2 2 2 3" xfId="8417" xr:uid="{00000000-0005-0000-0000-00005A270000}"/>
    <cellStyle name="Обычный 27 2 2 2 2 2 7 2 3 2 2 2 2 2 2 2 4" xfId="9403" xr:uid="{00000000-0005-0000-0000-00005B270000}"/>
    <cellStyle name="Обычный 27 2 2 2 2 2 7 2 3 2 2 2 2 2 2 2 5" xfId="10389" xr:uid="{00000000-0005-0000-0000-00005C270000}"/>
    <cellStyle name="Обычный 27 2 2 2 2 2 7 2 3 2 2 2 2 2 2 2 6" xfId="11375" xr:uid="{00000000-0005-0000-0000-00005D270000}"/>
    <cellStyle name="Обычный 27 2 2 2 2 2 7 2 3 2 2 2 2 2 2 2 7" xfId="12361" xr:uid="{00000000-0005-0000-0000-00005E270000}"/>
    <cellStyle name="Обычный 27 2 2 2 2 2 7 2 3 2 2 2 2 2 2 2 8" xfId="13347" xr:uid="{00000000-0005-0000-0000-00005F270000}"/>
    <cellStyle name="Обычный 27 2 2 2 2 2 7 2 3 2 2 2 2 2 2 2 9" xfId="14347" xr:uid="{00000000-0005-0000-0000-000060270000}"/>
    <cellStyle name="Обычный 27 2 2 2 2 2 7 2 3 2 2 2 2 2 2 3" xfId="7401" xr:uid="{00000000-0005-0000-0000-000061270000}"/>
    <cellStyle name="Обычный 27 2 2 2 2 2 7 2 3 2 2 2 2 2 2 4" xfId="8407" xr:uid="{00000000-0005-0000-0000-000062270000}"/>
    <cellStyle name="Обычный 27 2 2 2 2 2 7 2 3 2 2 2 2 2 2 4 2 2 2" xfId="6970" xr:uid="{00000000-0005-0000-0000-000063270000}"/>
    <cellStyle name="Обычный 27 2 2 2 2 2 7 2 3 2 2 2 2 2 2 4 2 2 2 2" xfId="7976" xr:uid="{00000000-0005-0000-0000-000064270000}"/>
    <cellStyle name="Обычный 27 2 2 2 2 2 7 2 3 2 2 2 2 2 2 4 2 2 2 2 2" xfId="13904" xr:uid="{00000000-0005-0000-0000-000065270000}"/>
    <cellStyle name="Обычный 27 2 2 2 2 2 7 2 3 2 2 2 2 2 2 4 2 2 2 2 2 2" xfId="15890" xr:uid="{00000000-0005-0000-0000-000066270000}"/>
    <cellStyle name="Обычный 27 2 2 2 2 2 7 2 3 2 2 2 2 2 2 4 2 2 2 2 2 3" xfId="15905" xr:uid="{00000000-0005-0000-0000-000067270000}"/>
    <cellStyle name="Обычный 27 2 2 2 2 2 7 2 3 2 2 2 2 2 2 5" xfId="9393" xr:uid="{00000000-0005-0000-0000-000068270000}"/>
    <cellStyle name="Обычный 27 2 2 2 2 2 7 2 3 2 2 2 2 2 2 6" xfId="10379" xr:uid="{00000000-0005-0000-0000-000069270000}"/>
    <cellStyle name="Обычный 27 2 2 2 2 2 7 2 3 2 2 2 2 2 2 7" xfId="11365" xr:uid="{00000000-0005-0000-0000-00006A270000}"/>
    <cellStyle name="Обычный 27 2 2 2 2 2 7 2 3 2 2 2 2 2 2 8" xfId="12351" xr:uid="{00000000-0005-0000-0000-00006B270000}"/>
    <cellStyle name="Обычный 27 2 2 2 2 2 7 2 3 2 2 2 2 2 2 9" xfId="13337" xr:uid="{00000000-0005-0000-0000-00006C270000}"/>
    <cellStyle name="Обычный 27 2 2 2 2 2 7 2 3 3" xfId="8296" xr:uid="{00000000-0005-0000-0000-00006D270000}"/>
    <cellStyle name="Обычный 27 2 2 2 2 2 7 2 3 4" xfId="9282" xr:uid="{00000000-0005-0000-0000-00006E270000}"/>
    <cellStyle name="Обычный 27 2 2 2 2 2 7 2 3 5" xfId="10268" xr:uid="{00000000-0005-0000-0000-00006F270000}"/>
    <cellStyle name="Обычный 27 2 2 2 2 2 7 2 3 6" xfId="11254" xr:uid="{00000000-0005-0000-0000-000070270000}"/>
    <cellStyle name="Обычный 27 2 2 2 2 2 7 2 3 7" xfId="12240" xr:uid="{00000000-0005-0000-0000-000071270000}"/>
    <cellStyle name="Обычный 27 2 2 2 2 2 7 2 3 8" xfId="13226" xr:uid="{00000000-0005-0000-0000-000072270000}"/>
    <cellStyle name="Обычный 27 2 2 2 2 2 7 2 3 9" xfId="14226" xr:uid="{00000000-0005-0000-0000-000073270000}"/>
    <cellStyle name="Обычный 27 2 2 2 2 2 7 2 4" xfId="6306" xr:uid="{00000000-0005-0000-0000-000074270000}"/>
    <cellStyle name="Обычный 27 2 2 2 2 2 7 2 4 10" xfId="14239" xr:uid="{00000000-0005-0000-0000-000075270000}"/>
    <cellStyle name="Обычный 27 2 2 2 2 2 7 2 4 11" xfId="15225" xr:uid="{00000000-0005-0000-0000-000076270000}"/>
    <cellStyle name="Обычный 27 2 2 2 2 2 7 2 4 2" xfId="6325" xr:uid="{00000000-0005-0000-0000-000077270000}"/>
    <cellStyle name="Обычный 27 2 2 2 2 2 7 2 4 2 10" xfId="14258" xr:uid="{00000000-0005-0000-0000-000078270000}"/>
    <cellStyle name="Обычный 27 2 2 2 2 2 7 2 4 2 11" xfId="15244" xr:uid="{00000000-0005-0000-0000-000079270000}"/>
    <cellStyle name="Обычный 27 2 2 2 2 2 7 2 4 2 2" xfId="6339" xr:uid="{00000000-0005-0000-0000-00007A270000}"/>
    <cellStyle name="Обычный 27 2 2 2 2 2 7 2 4 2 2 10" xfId="14272" xr:uid="{00000000-0005-0000-0000-00007B270000}"/>
    <cellStyle name="Обычный 27 2 2 2 2 2 7 2 4 2 2 11" xfId="15258" xr:uid="{00000000-0005-0000-0000-00007C270000}"/>
    <cellStyle name="Обычный 27 2 2 2 2 2 7 2 4 2 2 2" xfId="6357" xr:uid="{00000000-0005-0000-0000-00007D270000}"/>
    <cellStyle name="Обычный 27 2 2 2 2 2 7 2 4 2 2 2 10" xfId="14290" xr:uid="{00000000-0005-0000-0000-00007E270000}"/>
    <cellStyle name="Обычный 27 2 2 2 2 2 7 2 4 2 2 2 11" xfId="15276" xr:uid="{00000000-0005-0000-0000-00007F270000}"/>
    <cellStyle name="Обычный 27 2 2 2 2 2 7 2 4 2 2 2 2" xfId="6371" xr:uid="{00000000-0005-0000-0000-000080270000}"/>
    <cellStyle name="Обычный 27 2 2 2 2 2 7 2 4 2 2 2 2 10" xfId="14304" xr:uid="{00000000-0005-0000-0000-000081270000}"/>
    <cellStyle name="Обычный 27 2 2 2 2 2 7 2 4 2 2 2 2 11" xfId="15290" xr:uid="{00000000-0005-0000-0000-000082270000}"/>
    <cellStyle name="Обычный 27 2 2 2 2 2 7 2 4 2 2 2 2 2" xfId="6386" xr:uid="{00000000-0005-0000-0000-000083270000}"/>
    <cellStyle name="Обычный 27 2 2 2 2 2 7 2 4 2 2 2 2 2 10" xfId="15305" xr:uid="{00000000-0005-0000-0000-000084270000}"/>
    <cellStyle name="Обычный 27 2 2 2 2 2 7 2 4 2 2 2 2 2 2" xfId="7383" xr:uid="{00000000-0005-0000-0000-000085270000}"/>
    <cellStyle name="Обычный 27 2 2 2 2 2 7 2 4 2 2 2 2 2 3" xfId="8389" xr:uid="{00000000-0005-0000-0000-000086270000}"/>
    <cellStyle name="Обычный 27 2 2 2 2 2 7 2 4 2 2 2 2 2 4" xfId="9375" xr:uid="{00000000-0005-0000-0000-000087270000}"/>
    <cellStyle name="Обычный 27 2 2 2 2 2 7 2 4 2 2 2 2 2 5" xfId="10361" xr:uid="{00000000-0005-0000-0000-000088270000}"/>
    <cellStyle name="Обычный 27 2 2 2 2 2 7 2 4 2 2 2 2 2 6" xfId="11347" xr:uid="{00000000-0005-0000-0000-000089270000}"/>
    <cellStyle name="Обычный 27 2 2 2 2 2 7 2 4 2 2 2 2 2 7" xfId="12333" xr:uid="{00000000-0005-0000-0000-00008A270000}"/>
    <cellStyle name="Обычный 27 2 2 2 2 2 7 2 4 2 2 2 2 2 8" xfId="13319" xr:uid="{00000000-0005-0000-0000-00008B270000}"/>
    <cellStyle name="Обычный 27 2 2 2 2 2 7 2 4 2 2 2 2 2 9" xfId="14319" xr:uid="{00000000-0005-0000-0000-00008C270000}"/>
    <cellStyle name="Обычный 27 2 2 2 2 2 7 2 4 2 2 2 2 3" xfId="7368" xr:uid="{00000000-0005-0000-0000-00008D270000}"/>
    <cellStyle name="Обычный 27 2 2 2 2 2 7 2 4 2 2 2 2 4" xfId="8374" xr:uid="{00000000-0005-0000-0000-00008E270000}"/>
    <cellStyle name="Обычный 27 2 2 2 2 2 7 2 4 2 2 2 2 5" xfId="9360" xr:uid="{00000000-0005-0000-0000-00008F270000}"/>
    <cellStyle name="Обычный 27 2 2 2 2 2 7 2 4 2 2 2 2 6" xfId="10346" xr:uid="{00000000-0005-0000-0000-000090270000}"/>
    <cellStyle name="Обычный 27 2 2 2 2 2 7 2 4 2 2 2 2 7" xfId="11332" xr:uid="{00000000-0005-0000-0000-000091270000}"/>
    <cellStyle name="Обычный 27 2 2 2 2 2 7 2 4 2 2 2 2 8" xfId="12318" xr:uid="{00000000-0005-0000-0000-000092270000}"/>
    <cellStyle name="Обычный 27 2 2 2 2 2 7 2 4 2 2 2 2 9" xfId="13304" xr:uid="{00000000-0005-0000-0000-000093270000}"/>
    <cellStyle name="Обычный 27 2 2 2 2 2 7 2 4 2 2 2 3" xfId="7354" xr:uid="{00000000-0005-0000-0000-000094270000}"/>
    <cellStyle name="Обычный 27 2 2 2 2 2 7 2 4 2 2 2 4" xfId="8360" xr:uid="{00000000-0005-0000-0000-000095270000}"/>
    <cellStyle name="Обычный 27 2 2 2 2 2 7 2 4 2 2 2 5" xfId="9346" xr:uid="{00000000-0005-0000-0000-000096270000}"/>
    <cellStyle name="Обычный 27 2 2 2 2 2 7 2 4 2 2 2 6" xfId="10332" xr:uid="{00000000-0005-0000-0000-000097270000}"/>
    <cellStyle name="Обычный 27 2 2 2 2 2 7 2 4 2 2 2 7" xfId="11318" xr:uid="{00000000-0005-0000-0000-000098270000}"/>
    <cellStyle name="Обычный 27 2 2 2 2 2 7 2 4 2 2 2 8" xfId="12304" xr:uid="{00000000-0005-0000-0000-000099270000}"/>
    <cellStyle name="Обычный 27 2 2 2 2 2 7 2 4 2 2 2 9" xfId="13290" xr:uid="{00000000-0005-0000-0000-00009A270000}"/>
    <cellStyle name="Обычный 27 2 2 2 2 2 7 2 4 2 2 3" xfId="7336" xr:uid="{00000000-0005-0000-0000-00009B270000}"/>
    <cellStyle name="Обычный 27 2 2 2 2 2 7 2 4 2 2 4" xfId="8342" xr:uid="{00000000-0005-0000-0000-00009C270000}"/>
    <cellStyle name="Обычный 27 2 2 2 2 2 7 2 4 2 2 5" xfId="9328" xr:uid="{00000000-0005-0000-0000-00009D270000}"/>
    <cellStyle name="Обычный 27 2 2 2 2 2 7 2 4 2 2 6" xfId="10314" xr:uid="{00000000-0005-0000-0000-00009E270000}"/>
    <cellStyle name="Обычный 27 2 2 2 2 2 7 2 4 2 2 7" xfId="11300" xr:uid="{00000000-0005-0000-0000-00009F270000}"/>
    <cellStyle name="Обычный 27 2 2 2 2 2 7 2 4 2 2 8" xfId="12286" xr:uid="{00000000-0005-0000-0000-0000A0270000}"/>
    <cellStyle name="Обычный 27 2 2 2 2 2 7 2 4 2 2 9" xfId="13272" xr:uid="{00000000-0005-0000-0000-0000A1270000}"/>
    <cellStyle name="Обычный 27 2 2 2 2 2 7 2 4 2 3" xfId="7322" xr:uid="{00000000-0005-0000-0000-0000A2270000}"/>
    <cellStyle name="Обычный 27 2 2 2 2 2 7 2 4 2 4" xfId="8328" xr:uid="{00000000-0005-0000-0000-0000A3270000}"/>
    <cellStyle name="Обычный 27 2 2 2 2 2 7 2 4 2 5" xfId="9314" xr:uid="{00000000-0005-0000-0000-0000A4270000}"/>
    <cellStyle name="Обычный 27 2 2 2 2 2 7 2 4 2 6" xfId="10300" xr:uid="{00000000-0005-0000-0000-0000A5270000}"/>
    <cellStyle name="Обычный 27 2 2 2 2 2 7 2 4 2 7" xfId="11286" xr:uid="{00000000-0005-0000-0000-0000A6270000}"/>
    <cellStyle name="Обычный 27 2 2 2 2 2 7 2 4 2 8" xfId="12272" xr:uid="{00000000-0005-0000-0000-0000A7270000}"/>
    <cellStyle name="Обычный 27 2 2 2 2 2 7 2 4 2 9" xfId="13258" xr:uid="{00000000-0005-0000-0000-0000A8270000}"/>
    <cellStyle name="Обычный 27 2 2 2 2 2 7 2 4 3" xfId="7303" xr:uid="{00000000-0005-0000-0000-0000A9270000}"/>
    <cellStyle name="Обычный 27 2 2 2 2 2 7 2 4 4" xfId="8309" xr:uid="{00000000-0005-0000-0000-0000AA270000}"/>
    <cellStyle name="Обычный 27 2 2 2 2 2 7 2 4 5" xfId="9295" xr:uid="{00000000-0005-0000-0000-0000AB270000}"/>
    <cellStyle name="Обычный 27 2 2 2 2 2 7 2 4 6" xfId="10281" xr:uid="{00000000-0005-0000-0000-0000AC270000}"/>
    <cellStyle name="Обычный 27 2 2 2 2 2 7 2 4 7" xfId="11267" xr:uid="{00000000-0005-0000-0000-0000AD270000}"/>
    <cellStyle name="Обычный 27 2 2 2 2 2 7 2 4 8" xfId="12253" xr:uid="{00000000-0005-0000-0000-0000AE270000}"/>
    <cellStyle name="Обычный 27 2 2 2 2 2 7 2 4 9" xfId="13239" xr:uid="{00000000-0005-0000-0000-0000AF270000}"/>
    <cellStyle name="Обычный 27 2 2 2 2 2 7 2 5" xfId="7259" xr:uid="{00000000-0005-0000-0000-0000B0270000}"/>
    <cellStyle name="Обычный 27 2 2 2 2 2 7 2 6" xfId="8265" xr:uid="{00000000-0005-0000-0000-0000B1270000}"/>
    <cellStyle name="Обычный 27 2 2 2 2 2 7 2 7" xfId="9251" xr:uid="{00000000-0005-0000-0000-0000B2270000}"/>
    <cellStyle name="Обычный 27 2 2 2 2 2 7 2 8" xfId="10237" xr:uid="{00000000-0005-0000-0000-0000B3270000}"/>
    <cellStyle name="Обычный 27 2 2 2 2 2 7 2 9" xfId="11223" xr:uid="{00000000-0005-0000-0000-0000B4270000}"/>
    <cellStyle name="Обычный 27 2 2 2 2 2 8" xfId="13178" xr:uid="{00000000-0005-0000-0000-0000B5270000}"/>
    <cellStyle name="Обычный 27 2 2 2 2 2 9" xfId="14178" xr:uid="{00000000-0005-0000-0000-0000B6270000}"/>
    <cellStyle name="Обычный 27 2 2 2 2 3" xfId="6623" xr:uid="{00000000-0005-0000-0000-0000B7270000}"/>
    <cellStyle name="Обычный 27 2 2 2 2 3 10" xfId="15542" xr:uid="{00000000-0005-0000-0000-0000B8270000}"/>
    <cellStyle name="Обычный 27 2 2 2 2 3 2" xfId="7620" xr:uid="{00000000-0005-0000-0000-0000B9270000}"/>
    <cellStyle name="Обычный 27 2 2 2 2 3 3" xfId="8626" xr:uid="{00000000-0005-0000-0000-0000BA270000}"/>
    <cellStyle name="Обычный 27 2 2 2 2 3 4" xfId="9612" xr:uid="{00000000-0005-0000-0000-0000BB270000}"/>
    <cellStyle name="Обычный 27 2 2 2 2 3 5" xfId="10598" xr:uid="{00000000-0005-0000-0000-0000BC270000}"/>
    <cellStyle name="Обычный 27 2 2 2 2 3 6" xfId="11584" xr:uid="{00000000-0005-0000-0000-0000BD270000}"/>
    <cellStyle name="Обычный 27 2 2 2 2 3 7" xfId="12570" xr:uid="{00000000-0005-0000-0000-0000BE270000}"/>
    <cellStyle name="Обычный 27 2 2 2 2 3 8" xfId="13556" xr:uid="{00000000-0005-0000-0000-0000BF270000}"/>
    <cellStyle name="Обычный 27 2 2 2 2 3 9" xfId="14556" xr:uid="{00000000-0005-0000-0000-0000C0270000}"/>
    <cellStyle name="Обычный 27 2 2 2 2 4" xfId="6893" xr:uid="{00000000-0005-0000-0000-0000C1270000}"/>
    <cellStyle name="Обычный 27 2 2 2 2 4 10" xfId="15812" xr:uid="{00000000-0005-0000-0000-0000C2270000}"/>
    <cellStyle name="Обычный 27 2 2 2 2 4 2" xfId="7890" xr:uid="{00000000-0005-0000-0000-0000C3270000}"/>
    <cellStyle name="Обычный 27 2 2 2 2 4 3" xfId="8896" xr:uid="{00000000-0005-0000-0000-0000C4270000}"/>
    <cellStyle name="Обычный 27 2 2 2 2 4 4" xfId="9882" xr:uid="{00000000-0005-0000-0000-0000C5270000}"/>
    <cellStyle name="Обычный 27 2 2 2 2 4 5" xfId="10868" xr:uid="{00000000-0005-0000-0000-0000C6270000}"/>
    <cellStyle name="Обычный 27 2 2 2 2 4 6" xfId="11854" xr:uid="{00000000-0005-0000-0000-0000C7270000}"/>
    <cellStyle name="Обычный 27 2 2 2 2 4 7" xfId="12840" xr:uid="{00000000-0005-0000-0000-0000C8270000}"/>
    <cellStyle name="Обычный 27 2 2 2 2 4 8" xfId="13826" xr:uid="{00000000-0005-0000-0000-0000C9270000}"/>
    <cellStyle name="Обычный 27 2 2 2 2 4 9" xfId="14826" xr:uid="{00000000-0005-0000-0000-0000CA270000}"/>
    <cellStyle name="Обычный 27 2 2 2 2 5" xfId="7176" xr:uid="{00000000-0005-0000-0000-0000CB270000}"/>
    <cellStyle name="Обычный 27 2 2 2 2 6" xfId="8182" xr:uid="{00000000-0005-0000-0000-0000CC270000}"/>
    <cellStyle name="Обычный 27 2 2 2 2 7" xfId="9168" xr:uid="{00000000-0005-0000-0000-0000CD270000}"/>
    <cellStyle name="Обычный 27 2 2 2 2 8" xfId="10154" xr:uid="{00000000-0005-0000-0000-0000CE270000}"/>
    <cellStyle name="Обычный 27 2 2 2 2 9" xfId="11140" xr:uid="{00000000-0005-0000-0000-0000CF270000}"/>
    <cellStyle name="Обычный 27 2 2 2 3 7 2 3 2 2 2 2 2 2" xfId="6399" xr:uid="{00000000-0005-0000-0000-0000D0270000}"/>
    <cellStyle name="Обычный 27 2 2 2 3 7 2 3 2 2 2 2 2 2 10" xfId="14332" xr:uid="{00000000-0005-0000-0000-0000D1270000}"/>
    <cellStyle name="Обычный 27 2 2 2 3 7 2 3 2 2 2 2 2 2 11" xfId="15318" xr:uid="{00000000-0005-0000-0000-0000D2270000}"/>
    <cellStyle name="Обычный 27 2 2 2 3 7 2 3 2 2 2 2 2 2 2" xfId="6409" xr:uid="{00000000-0005-0000-0000-0000D3270000}"/>
    <cellStyle name="Обычный 27 2 2 2 3 7 2 3 2 2 2 2 2 2 2 10" xfId="15328" xr:uid="{00000000-0005-0000-0000-0000D4270000}"/>
    <cellStyle name="Обычный 27 2 2 2 3 7 2 3 2 2 2 2 2 2 2 2" xfId="7406" xr:uid="{00000000-0005-0000-0000-0000D5270000}"/>
    <cellStyle name="Обычный 27 2 2 2 3 7 2 3 2 2 2 2 2 2 2 3" xfId="8412" xr:uid="{00000000-0005-0000-0000-0000D6270000}"/>
    <cellStyle name="Обычный 27 2 2 2 3 7 2 3 2 2 2 2 2 2 2 4" xfId="9398" xr:uid="{00000000-0005-0000-0000-0000D7270000}"/>
    <cellStyle name="Обычный 27 2 2 2 3 7 2 3 2 2 2 2 2 2 2 5" xfId="10384" xr:uid="{00000000-0005-0000-0000-0000D8270000}"/>
    <cellStyle name="Обычный 27 2 2 2 3 7 2 3 2 2 2 2 2 2 2 6" xfId="11370" xr:uid="{00000000-0005-0000-0000-0000D9270000}"/>
    <cellStyle name="Обычный 27 2 2 2 3 7 2 3 2 2 2 2 2 2 2 7" xfId="12356" xr:uid="{00000000-0005-0000-0000-0000DA270000}"/>
    <cellStyle name="Обычный 27 2 2 2 3 7 2 3 2 2 2 2 2 2 2 8" xfId="13342" xr:uid="{00000000-0005-0000-0000-0000DB270000}"/>
    <cellStyle name="Обычный 27 2 2 2 3 7 2 3 2 2 2 2 2 2 2 9" xfId="14342" xr:uid="{00000000-0005-0000-0000-0000DC270000}"/>
    <cellStyle name="Обычный 27 2 2 2 3 7 2 3 2 2 2 2 2 2 3" xfId="7396" xr:uid="{00000000-0005-0000-0000-0000DD270000}"/>
    <cellStyle name="Обычный 27 2 2 2 3 7 2 3 2 2 2 2 2 2 4" xfId="8402" xr:uid="{00000000-0005-0000-0000-0000DE270000}"/>
    <cellStyle name="Обычный 27 2 2 2 3 7 2 3 2 2 2 2 2 2 4 2 2 2" xfId="6964" xr:uid="{00000000-0005-0000-0000-0000DF270000}"/>
    <cellStyle name="Обычный 27 2 2 2 3 7 2 3 2 2 2 2 2 2 4 2 2 2 2" xfId="7970" xr:uid="{00000000-0005-0000-0000-0000E0270000}"/>
    <cellStyle name="Обычный 27 2 2 2 3 7 2 3 2 2 2 2 2 2 4 2 2 2 2 2" xfId="13898" xr:uid="{00000000-0005-0000-0000-0000E1270000}"/>
    <cellStyle name="Обычный 27 2 2 2 3 7 2 3 2 2 2 2 2 2 4 2 2 2 2 2 2" xfId="15884" xr:uid="{00000000-0005-0000-0000-0000E2270000}"/>
    <cellStyle name="Обычный 27 2 2 2 3 7 2 3 2 2 2 2 2 2 4 2 2 2 2 2 3" xfId="15898" xr:uid="{00000000-0005-0000-0000-0000E3270000}"/>
    <cellStyle name="Обычный 27 2 2 2 3 7 2 3 2 2 2 2 2 2 4 2 2 2 3" xfId="13910" xr:uid="{00000000-0005-0000-0000-0000E4270000}"/>
    <cellStyle name="Обычный 27 2 2 2 3 7 2 3 2 2 2 2 2 2 4 2 2 2 3 2" xfId="15896" xr:uid="{00000000-0005-0000-0000-0000E5270000}"/>
    <cellStyle name="Обычный 27 2 2 2 3 7 2 3 2 2 2 2 2 2 4 2 2 2 3 3" xfId="15911" xr:uid="{00000000-0005-0000-0000-0000E6270000}"/>
    <cellStyle name="Обычный 27 2 2 2 3 7 2 3 2 2 2 2 2 2 5" xfId="9388" xr:uid="{00000000-0005-0000-0000-0000E7270000}"/>
    <cellStyle name="Обычный 27 2 2 2 3 7 2 3 2 2 2 2 2 2 6" xfId="10374" xr:uid="{00000000-0005-0000-0000-0000E8270000}"/>
    <cellStyle name="Обычный 27 2 2 2 3 7 2 3 2 2 2 2 2 2 7" xfId="11360" xr:uid="{00000000-0005-0000-0000-0000E9270000}"/>
    <cellStyle name="Обычный 27 2 2 2 3 7 2 3 2 2 2 2 2 2 8" xfId="12346" xr:uid="{00000000-0005-0000-0000-0000EA270000}"/>
    <cellStyle name="Обычный 27 2 2 2 3 7 2 3 2 2 2 2 2 2 9" xfId="13332" xr:uid="{00000000-0005-0000-0000-0000EB270000}"/>
    <cellStyle name="Обычный 27 2 2 3" xfId="6147" xr:uid="{00000000-0005-0000-0000-0000EC270000}"/>
    <cellStyle name="Обычный 27 2 2 3 10" xfId="12110" xr:uid="{00000000-0005-0000-0000-0000ED270000}"/>
    <cellStyle name="Обычный 27 2 2 3 11" xfId="13096" xr:uid="{00000000-0005-0000-0000-0000EE270000}"/>
    <cellStyle name="Обычный 27 2 2 3 12" xfId="14096" xr:uid="{00000000-0005-0000-0000-0000EF270000}"/>
    <cellStyle name="Обычный 27 2 2 3 13" xfId="15082" xr:uid="{00000000-0005-0000-0000-0000F0270000}"/>
    <cellStyle name="Обычный 27 2 2 3 2" xfId="6232" xr:uid="{00000000-0005-0000-0000-0000F1270000}"/>
    <cellStyle name="Обычный 27 2 2 3 2 10" xfId="13165" xr:uid="{00000000-0005-0000-0000-0000F2270000}"/>
    <cellStyle name="Обычный 27 2 2 3 2 11" xfId="14165" xr:uid="{00000000-0005-0000-0000-0000F3270000}"/>
    <cellStyle name="Обычный 27 2 2 3 2 12" xfId="15151" xr:uid="{00000000-0005-0000-0000-0000F4270000}"/>
    <cellStyle name="Обычный 27 2 2 3 2 2" xfId="6676" xr:uid="{00000000-0005-0000-0000-0000F5270000}"/>
    <cellStyle name="Обычный 27 2 2 3 2 2 10" xfId="15595" xr:uid="{00000000-0005-0000-0000-0000F6270000}"/>
    <cellStyle name="Обычный 27 2 2 3 2 2 2" xfId="7673" xr:uid="{00000000-0005-0000-0000-0000F7270000}"/>
    <cellStyle name="Обычный 27 2 2 3 2 2 3" xfId="8679" xr:uid="{00000000-0005-0000-0000-0000F8270000}"/>
    <cellStyle name="Обычный 27 2 2 3 2 2 4" xfId="9665" xr:uid="{00000000-0005-0000-0000-0000F9270000}"/>
    <cellStyle name="Обычный 27 2 2 3 2 2 5" xfId="10651" xr:uid="{00000000-0005-0000-0000-0000FA270000}"/>
    <cellStyle name="Обычный 27 2 2 3 2 2 6" xfId="11637" xr:uid="{00000000-0005-0000-0000-0000FB270000}"/>
    <cellStyle name="Обычный 27 2 2 3 2 2 7" xfId="12623" xr:uid="{00000000-0005-0000-0000-0000FC270000}"/>
    <cellStyle name="Обычный 27 2 2 3 2 2 8" xfId="13609" xr:uid="{00000000-0005-0000-0000-0000FD270000}"/>
    <cellStyle name="Обычный 27 2 2 3 2 2 9" xfId="14609" xr:uid="{00000000-0005-0000-0000-0000FE270000}"/>
    <cellStyle name="Обычный 27 2 2 3 2 3" xfId="6946" xr:uid="{00000000-0005-0000-0000-0000FF270000}"/>
    <cellStyle name="Обычный 27 2 2 3 2 3 10" xfId="15865" xr:uid="{00000000-0005-0000-0000-000000280000}"/>
    <cellStyle name="Обычный 27 2 2 3 2 3 2" xfId="7943" xr:uid="{00000000-0005-0000-0000-000001280000}"/>
    <cellStyle name="Обычный 27 2 2 3 2 3 3" xfId="8949" xr:uid="{00000000-0005-0000-0000-000002280000}"/>
    <cellStyle name="Обычный 27 2 2 3 2 3 4" xfId="9935" xr:uid="{00000000-0005-0000-0000-000003280000}"/>
    <cellStyle name="Обычный 27 2 2 3 2 3 5" xfId="10921" xr:uid="{00000000-0005-0000-0000-000004280000}"/>
    <cellStyle name="Обычный 27 2 2 3 2 3 6" xfId="11907" xr:uid="{00000000-0005-0000-0000-000005280000}"/>
    <cellStyle name="Обычный 27 2 2 3 2 3 7" xfId="12893" xr:uid="{00000000-0005-0000-0000-000006280000}"/>
    <cellStyle name="Обычный 27 2 2 3 2 3 8" xfId="13879" xr:uid="{00000000-0005-0000-0000-000007280000}"/>
    <cellStyle name="Обычный 27 2 2 3 2 3 9" xfId="14879" xr:uid="{00000000-0005-0000-0000-000008280000}"/>
    <cellStyle name="Обычный 27 2 2 3 2 4" xfId="7229" xr:uid="{00000000-0005-0000-0000-000009280000}"/>
    <cellStyle name="Обычный 27 2 2 3 2 5" xfId="8235" xr:uid="{00000000-0005-0000-0000-00000A280000}"/>
    <cellStyle name="Обычный 27 2 2 3 2 6" xfId="9221" xr:uid="{00000000-0005-0000-0000-00000B280000}"/>
    <cellStyle name="Обычный 27 2 2 3 2 7" xfId="10207" xr:uid="{00000000-0005-0000-0000-00000C280000}"/>
    <cellStyle name="Обычный 27 2 2 3 2 8" xfId="11193" xr:uid="{00000000-0005-0000-0000-00000D280000}"/>
    <cellStyle name="Обычный 27 2 2 3 2 9" xfId="12179" xr:uid="{00000000-0005-0000-0000-00000E280000}"/>
    <cellStyle name="Обычный 27 2 2 3 3" xfId="6607" xr:uid="{00000000-0005-0000-0000-00000F280000}"/>
    <cellStyle name="Обычный 27 2 2 3 3 10" xfId="15526" xr:uid="{00000000-0005-0000-0000-000010280000}"/>
    <cellStyle name="Обычный 27 2 2 3 3 2" xfId="7604" xr:uid="{00000000-0005-0000-0000-000011280000}"/>
    <cellStyle name="Обычный 27 2 2 3 3 3" xfId="8610" xr:uid="{00000000-0005-0000-0000-000012280000}"/>
    <cellStyle name="Обычный 27 2 2 3 3 4" xfId="9596" xr:uid="{00000000-0005-0000-0000-000013280000}"/>
    <cellStyle name="Обычный 27 2 2 3 3 5" xfId="10582" xr:uid="{00000000-0005-0000-0000-000014280000}"/>
    <cellStyle name="Обычный 27 2 2 3 3 6" xfId="11568" xr:uid="{00000000-0005-0000-0000-000015280000}"/>
    <cellStyle name="Обычный 27 2 2 3 3 7" xfId="12554" xr:uid="{00000000-0005-0000-0000-000016280000}"/>
    <cellStyle name="Обычный 27 2 2 3 3 8" xfId="13540" xr:uid="{00000000-0005-0000-0000-000017280000}"/>
    <cellStyle name="Обычный 27 2 2 3 3 9" xfId="14540" xr:uid="{00000000-0005-0000-0000-000018280000}"/>
    <cellStyle name="Обычный 27 2 2 3 4" xfId="6877" xr:uid="{00000000-0005-0000-0000-000019280000}"/>
    <cellStyle name="Обычный 27 2 2 3 4 10" xfId="15796" xr:uid="{00000000-0005-0000-0000-00001A280000}"/>
    <cellStyle name="Обычный 27 2 2 3 4 2" xfId="7874" xr:uid="{00000000-0005-0000-0000-00001B280000}"/>
    <cellStyle name="Обычный 27 2 2 3 4 3" xfId="8880" xr:uid="{00000000-0005-0000-0000-00001C280000}"/>
    <cellStyle name="Обычный 27 2 2 3 4 4" xfId="9866" xr:uid="{00000000-0005-0000-0000-00001D280000}"/>
    <cellStyle name="Обычный 27 2 2 3 4 5" xfId="10852" xr:uid="{00000000-0005-0000-0000-00001E280000}"/>
    <cellStyle name="Обычный 27 2 2 3 4 6" xfId="11838" xr:uid="{00000000-0005-0000-0000-00001F280000}"/>
    <cellStyle name="Обычный 27 2 2 3 4 7" xfId="12824" xr:uid="{00000000-0005-0000-0000-000020280000}"/>
    <cellStyle name="Обычный 27 2 2 3 4 8" xfId="13810" xr:uid="{00000000-0005-0000-0000-000021280000}"/>
    <cellStyle name="Обычный 27 2 2 3 4 9" xfId="14810" xr:uid="{00000000-0005-0000-0000-000022280000}"/>
    <cellStyle name="Обычный 27 2 2 3 5" xfId="7160" xr:uid="{00000000-0005-0000-0000-000023280000}"/>
    <cellStyle name="Обычный 27 2 2 3 6" xfId="8166" xr:uid="{00000000-0005-0000-0000-000024280000}"/>
    <cellStyle name="Обычный 27 2 2 3 7" xfId="9152" xr:uid="{00000000-0005-0000-0000-000025280000}"/>
    <cellStyle name="Обычный 27 2 2 3 8" xfId="10138" xr:uid="{00000000-0005-0000-0000-000026280000}"/>
    <cellStyle name="Обычный 27 2 2 3 9" xfId="11124" xr:uid="{00000000-0005-0000-0000-000027280000}"/>
    <cellStyle name="Обычный 27 2 2 4" xfId="6606" xr:uid="{00000000-0005-0000-0000-000028280000}"/>
    <cellStyle name="Обычный 27 2 2 4 10" xfId="15525" xr:uid="{00000000-0005-0000-0000-000029280000}"/>
    <cellStyle name="Обычный 27 2 2 4 2" xfId="7603" xr:uid="{00000000-0005-0000-0000-00002A280000}"/>
    <cellStyle name="Обычный 27 2 2 4 3" xfId="8609" xr:uid="{00000000-0005-0000-0000-00002B280000}"/>
    <cellStyle name="Обычный 27 2 2 4 4" xfId="9595" xr:uid="{00000000-0005-0000-0000-00002C280000}"/>
    <cellStyle name="Обычный 27 2 2 4 5" xfId="10581" xr:uid="{00000000-0005-0000-0000-00002D280000}"/>
    <cellStyle name="Обычный 27 2 2 4 6" xfId="11567" xr:uid="{00000000-0005-0000-0000-00002E280000}"/>
    <cellStyle name="Обычный 27 2 2 4 7" xfId="12553" xr:uid="{00000000-0005-0000-0000-00002F280000}"/>
    <cellStyle name="Обычный 27 2 2 4 8" xfId="13539" xr:uid="{00000000-0005-0000-0000-000030280000}"/>
    <cellStyle name="Обычный 27 2 2 4 9" xfId="14539" xr:uid="{00000000-0005-0000-0000-000031280000}"/>
    <cellStyle name="Обычный 27 2 2 5" xfId="6152" xr:uid="{00000000-0005-0000-0000-000032280000}"/>
    <cellStyle name="Обычный 27 2 2 5 10" xfId="12113" xr:uid="{00000000-0005-0000-0000-000033280000}"/>
    <cellStyle name="Обычный 27 2 2 5 11" xfId="13099" xr:uid="{00000000-0005-0000-0000-000034280000}"/>
    <cellStyle name="Обычный 27 2 2 5 12" xfId="14099" xr:uid="{00000000-0005-0000-0000-000035280000}"/>
    <cellStyle name="Обычный 27 2 2 5 13" xfId="15085" xr:uid="{00000000-0005-0000-0000-000036280000}"/>
    <cellStyle name="Обычный 27 2 2 5 2" xfId="6233" xr:uid="{00000000-0005-0000-0000-000037280000}"/>
    <cellStyle name="Обычный 27 2 2 5 2 10" xfId="13166" xr:uid="{00000000-0005-0000-0000-000038280000}"/>
    <cellStyle name="Обычный 27 2 2 5 2 11" xfId="14166" xr:uid="{00000000-0005-0000-0000-000039280000}"/>
    <cellStyle name="Обычный 27 2 2 5 2 12" xfId="15152" xr:uid="{00000000-0005-0000-0000-00003A280000}"/>
    <cellStyle name="Обычный 27 2 2 5 2 2" xfId="6677" xr:uid="{00000000-0005-0000-0000-00003B280000}"/>
    <cellStyle name="Обычный 27 2 2 5 2 2 10" xfId="15596" xr:uid="{00000000-0005-0000-0000-00003C280000}"/>
    <cellStyle name="Обычный 27 2 2 5 2 2 2" xfId="7674" xr:uid="{00000000-0005-0000-0000-00003D280000}"/>
    <cellStyle name="Обычный 27 2 2 5 2 2 3" xfId="8680" xr:uid="{00000000-0005-0000-0000-00003E280000}"/>
    <cellStyle name="Обычный 27 2 2 5 2 2 4" xfId="9666" xr:uid="{00000000-0005-0000-0000-00003F280000}"/>
    <cellStyle name="Обычный 27 2 2 5 2 2 5" xfId="10652" xr:uid="{00000000-0005-0000-0000-000040280000}"/>
    <cellStyle name="Обычный 27 2 2 5 2 2 6" xfId="11638" xr:uid="{00000000-0005-0000-0000-000041280000}"/>
    <cellStyle name="Обычный 27 2 2 5 2 2 7" xfId="12624" xr:uid="{00000000-0005-0000-0000-000042280000}"/>
    <cellStyle name="Обычный 27 2 2 5 2 2 8" xfId="13610" xr:uid="{00000000-0005-0000-0000-000043280000}"/>
    <cellStyle name="Обычный 27 2 2 5 2 2 9" xfId="14610" xr:uid="{00000000-0005-0000-0000-000044280000}"/>
    <cellStyle name="Обычный 27 2 2 5 2 3" xfId="6947" xr:uid="{00000000-0005-0000-0000-000045280000}"/>
    <cellStyle name="Обычный 27 2 2 5 2 3 10" xfId="15866" xr:uid="{00000000-0005-0000-0000-000046280000}"/>
    <cellStyle name="Обычный 27 2 2 5 2 3 2" xfId="7944" xr:uid="{00000000-0005-0000-0000-000047280000}"/>
    <cellStyle name="Обычный 27 2 2 5 2 3 3" xfId="8950" xr:uid="{00000000-0005-0000-0000-000048280000}"/>
    <cellStyle name="Обычный 27 2 2 5 2 3 4" xfId="9936" xr:uid="{00000000-0005-0000-0000-000049280000}"/>
    <cellStyle name="Обычный 27 2 2 5 2 3 5" xfId="10922" xr:uid="{00000000-0005-0000-0000-00004A280000}"/>
    <cellStyle name="Обычный 27 2 2 5 2 3 6" xfId="11908" xr:uid="{00000000-0005-0000-0000-00004B280000}"/>
    <cellStyle name="Обычный 27 2 2 5 2 3 7" xfId="12894" xr:uid="{00000000-0005-0000-0000-00004C280000}"/>
    <cellStyle name="Обычный 27 2 2 5 2 3 8" xfId="13880" xr:uid="{00000000-0005-0000-0000-00004D280000}"/>
    <cellStyle name="Обычный 27 2 2 5 2 3 9" xfId="14880" xr:uid="{00000000-0005-0000-0000-00004E280000}"/>
    <cellStyle name="Обычный 27 2 2 5 2 4" xfId="7230" xr:uid="{00000000-0005-0000-0000-00004F280000}"/>
    <cellStyle name="Обычный 27 2 2 5 2 5" xfId="8236" xr:uid="{00000000-0005-0000-0000-000050280000}"/>
    <cellStyle name="Обычный 27 2 2 5 2 6" xfId="9222" xr:uid="{00000000-0005-0000-0000-000051280000}"/>
    <cellStyle name="Обычный 27 2 2 5 2 7" xfId="10208" xr:uid="{00000000-0005-0000-0000-000052280000}"/>
    <cellStyle name="Обычный 27 2 2 5 2 8" xfId="11194" xr:uid="{00000000-0005-0000-0000-000053280000}"/>
    <cellStyle name="Обычный 27 2 2 5 2 9" xfId="12180" xr:uid="{00000000-0005-0000-0000-000054280000}"/>
    <cellStyle name="Обычный 27 2 2 5 3" xfId="6610" xr:uid="{00000000-0005-0000-0000-000055280000}"/>
    <cellStyle name="Обычный 27 2 2 5 3 10" xfId="15529" xr:uid="{00000000-0005-0000-0000-000056280000}"/>
    <cellStyle name="Обычный 27 2 2 5 3 2" xfId="7607" xr:uid="{00000000-0005-0000-0000-000057280000}"/>
    <cellStyle name="Обычный 27 2 2 5 3 3" xfId="8613" xr:uid="{00000000-0005-0000-0000-000058280000}"/>
    <cellStyle name="Обычный 27 2 2 5 3 4" xfId="9599" xr:uid="{00000000-0005-0000-0000-000059280000}"/>
    <cellStyle name="Обычный 27 2 2 5 3 5" xfId="10585" xr:uid="{00000000-0005-0000-0000-00005A280000}"/>
    <cellStyle name="Обычный 27 2 2 5 3 6" xfId="11571" xr:uid="{00000000-0005-0000-0000-00005B280000}"/>
    <cellStyle name="Обычный 27 2 2 5 3 7" xfId="12557" xr:uid="{00000000-0005-0000-0000-00005C280000}"/>
    <cellStyle name="Обычный 27 2 2 5 3 8" xfId="13543" xr:uid="{00000000-0005-0000-0000-00005D280000}"/>
    <cellStyle name="Обычный 27 2 2 5 3 9" xfId="14543" xr:uid="{00000000-0005-0000-0000-00005E280000}"/>
    <cellStyle name="Обычный 27 2 2 5 4" xfId="6880" xr:uid="{00000000-0005-0000-0000-00005F280000}"/>
    <cellStyle name="Обычный 27 2 2 5 4 10" xfId="15799" xr:uid="{00000000-0005-0000-0000-000060280000}"/>
    <cellStyle name="Обычный 27 2 2 5 4 2" xfId="7877" xr:uid="{00000000-0005-0000-0000-000061280000}"/>
    <cellStyle name="Обычный 27 2 2 5 4 3" xfId="8883" xr:uid="{00000000-0005-0000-0000-000062280000}"/>
    <cellStyle name="Обычный 27 2 2 5 4 4" xfId="9869" xr:uid="{00000000-0005-0000-0000-000063280000}"/>
    <cellStyle name="Обычный 27 2 2 5 4 5" xfId="10855" xr:uid="{00000000-0005-0000-0000-000064280000}"/>
    <cellStyle name="Обычный 27 2 2 5 4 6" xfId="11841" xr:uid="{00000000-0005-0000-0000-000065280000}"/>
    <cellStyle name="Обычный 27 2 2 5 4 7" xfId="12827" xr:uid="{00000000-0005-0000-0000-000066280000}"/>
    <cellStyle name="Обычный 27 2 2 5 4 8" xfId="13813" xr:uid="{00000000-0005-0000-0000-000067280000}"/>
    <cellStyle name="Обычный 27 2 2 5 4 9" xfId="14813" xr:uid="{00000000-0005-0000-0000-000068280000}"/>
    <cellStyle name="Обычный 27 2 2 5 5" xfId="7163" xr:uid="{00000000-0005-0000-0000-000069280000}"/>
    <cellStyle name="Обычный 27 2 2 5 6" xfId="8169" xr:uid="{00000000-0005-0000-0000-00006A280000}"/>
    <cellStyle name="Обычный 27 2 2 5 7" xfId="9155" xr:uid="{00000000-0005-0000-0000-00006B280000}"/>
    <cellStyle name="Обычный 27 2 2 5 8" xfId="10141" xr:uid="{00000000-0005-0000-0000-00006C280000}"/>
    <cellStyle name="Обычный 27 2 2 5 9" xfId="11127" xr:uid="{00000000-0005-0000-0000-00006D280000}"/>
    <cellStyle name="Обычный 27 2 2 6" xfId="6876" xr:uid="{00000000-0005-0000-0000-00006E280000}"/>
    <cellStyle name="Обычный 27 2 2 6 10" xfId="15795" xr:uid="{00000000-0005-0000-0000-00006F280000}"/>
    <cellStyle name="Обычный 27 2 2 6 2" xfId="7873" xr:uid="{00000000-0005-0000-0000-000070280000}"/>
    <cellStyle name="Обычный 27 2 2 6 3" xfId="8879" xr:uid="{00000000-0005-0000-0000-000071280000}"/>
    <cellStyle name="Обычный 27 2 2 6 4" xfId="9865" xr:uid="{00000000-0005-0000-0000-000072280000}"/>
    <cellStyle name="Обычный 27 2 2 6 5" xfId="10851" xr:uid="{00000000-0005-0000-0000-000073280000}"/>
    <cellStyle name="Обычный 27 2 2 6 6" xfId="11837" xr:uid="{00000000-0005-0000-0000-000074280000}"/>
    <cellStyle name="Обычный 27 2 2 6 7" xfId="12823" xr:uid="{00000000-0005-0000-0000-000075280000}"/>
    <cellStyle name="Обычный 27 2 2 6 8" xfId="13809" xr:uid="{00000000-0005-0000-0000-000076280000}"/>
    <cellStyle name="Обычный 27 2 2 6 9" xfId="14809" xr:uid="{00000000-0005-0000-0000-000077280000}"/>
    <cellStyle name="Обычный 27 2 2 7" xfId="7159" xr:uid="{00000000-0005-0000-0000-000078280000}"/>
    <cellStyle name="Обычный 27 2 2 8" xfId="8165" xr:uid="{00000000-0005-0000-0000-000079280000}"/>
    <cellStyle name="Обычный 27 2 2 9" xfId="9151" xr:uid="{00000000-0005-0000-0000-00007A280000}"/>
    <cellStyle name="Обычный 27 2 3" xfId="6596" xr:uid="{00000000-0005-0000-0000-00007B280000}"/>
    <cellStyle name="Обычный 27 2 3 10" xfId="15515" xr:uid="{00000000-0005-0000-0000-00007C280000}"/>
    <cellStyle name="Обычный 27 2 3 2" xfId="7593" xr:uid="{00000000-0005-0000-0000-00007D280000}"/>
    <cellStyle name="Обычный 27 2 3 3" xfId="8599" xr:uid="{00000000-0005-0000-0000-00007E280000}"/>
    <cellStyle name="Обычный 27 2 3 4" xfId="9585" xr:uid="{00000000-0005-0000-0000-00007F280000}"/>
    <cellStyle name="Обычный 27 2 3 5" xfId="10571" xr:uid="{00000000-0005-0000-0000-000080280000}"/>
    <cellStyle name="Обычный 27 2 3 6" xfId="11557" xr:uid="{00000000-0005-0000-0000-000081280000}"/>
    <cellStyle name="Обычный 27 2 3 7" xfId="12543" xr:uid="{00000000-0005-0000-0000-000082280000}"/>
    <cellStyle name="Обычный 27 2 3 8" xfId="13529" xr:uid="{00000000-0005-0000-0000-000083280000}"/>
    <cellStyle name="Обычный 27 2 3 9" xfId="14529" xr:uid="{00000000-0005-0000-0000-000084280000}"/>
    <cellStyle name="Обычный 27 2 4" xfId="6866" xr:uid="{00000000-0005-0000-0000-000085280000}"/>
    <cellStyle name="Обычный 27 2 4 10" xfId="15785" xr:uid="{00000000-0005-0000-0000-000086280000}"/>
    <cellStyle name="Обычный 27 2 4 2" xfId="7863" xr:uid="{00000000-0005-0000-0000-000087280000}"/>
    <cellStyle name="Обычный 27 2 4 3" xfId="8869" xr:uid="{00000000-0005-0000-0000-000088280000}"/>
    <cellStyle name="Обычный 27 2 4 4" xfId="9855" xr:uid="{00000000-0005-0000-0000-000089280000}"/>
    <cellStyle name="Обычный 27 2 4 5" xfId="10841" xr:uid="{00000000-0005-0000-0000-00008A280000}"/>
    <cellStyle name="Обычный 27 2 4 6" xfId="11827" xr:uid="{00000000-0005-0000-0000-00008B280000}"/>
    <cellStyle name="Обычный 27 2 4 7" xfId="12813" xr:uid="{00000000-0005-0000-0000-00008C280000}"/>
    <cellStyle name="Обычный 27 2 4 8" xfId="13799" xr:uid="{00000000-0005-0000-0000-00008D280000}"/>
    <cellStyle name="Обычный 27 2 4 9" xfId="14799" xr:uid="{00000000-0005-0000-0000-00008E280000}"/>
    <cellStyle name="Обычный 27 2 5" xfId="7149" xr:uid="{00000000-0005-0000-0000-00008F280000}"/>
    <cellStyle name="Обычный 27 2 6" xfId="8155" xr:uid="{00000000-0005-0000-0000-000090280000}"/>
    <cellStyle name="Обычный 27 2 7" xfId="9141" xr:uid="{00000000-0005-0000-0000-000091280000}"/>
    <cellStyle name="Обычный 27 2 8" xfId="10127" xr:uid="{00000000-0005-0000-0000-000092280000}"/>
    <cellStyle name="Обычный 27 2 9" xfId="11113" xr:uid="{00000000-0005-0000-0000-000093280000}"/>
    <cellStyle name="Обычный 27 3" xfId="6137" xr:uid="{00000000-0005-0000-0000-000094280000}"/>
    <cellStyle name="Обычный 27 3 10" xfId="11114" xr:uid="{00000000-0005-0000-0000-000095280000}"/>
    <cellStyle name="Обычный 27 3 11" xfId="12100" xr:uid="{00000000-0005-0000-0000-000096280000}"/>
    <cellStyle name="Обычный 27 3 12" xfId="13086" xr:uid="{00000000-0005-0000-0000-000097280000}"/>
    <cellStyle name="Обычный 27 3 13" xfId="14086" xr:uid="{00000000-0005-0000-0000-000098280000}"/>
    <cellStyle name="Обычный 27 3 14" xfId="15072" xr:uid="{00000000-0005-0000-0000-000099280000}"/>
    <cellStyle name="Обычный 27 3 2" xfId="6142" xr:uid="{00000000-0005-0000-0000-00009A280000}"/>
    <cellStyle name="Обычный 27 3 2 10" xfId="12105" xr:uid="{00000000-0005-0000-0000-00009B280000}"/>
    <cellStyle name="Обычный 27 3 2 11" xfId="13091" xr:uid="{00000000-0005-0000-0000-00009C280000}"/>
    <cellStyle name="Обычный 27 3 2 12" xfId="14091" xr:uid="{00000000-0005-0000-0000-00009D280000}"/>
    <cellStyle name="Обычный 27 3 2 13" xfId="15077" xr:uid="{00000000-0005-0000-0000-00009E280000}"/>
    <cellStyle name="Обычный 27 3 2 2" xfId="6155" xr:uid="{00000000-0005-0000-0000-00009F280000}"/>
    <cellStyle name="Обычный 27 3 2 2 10" xfId="12116" xr:uid="{00000000-0005-0000-0000-0000A0280000}"/>
    <cellStyle name="Обычный 27 3 2 2 11" xfId="13102" xr:uid="{00000000-0005-0000-0000-0000A1280000}"/>
    <cellStyle name="Обычный 27 3 2 2 12" xfId="14102" xr:uid="{00000000-0005-0000-0000-0000A2280000}"/>
    <cellStyle name="Обычный 27 3 2 2 13" xfId="15088" xr:uid="{00000000-0005-0000-0000-0000A3280000}"/>
    <cellStyle name="Обычный 27 3 2 2 2" xfId="6240" xr:uid="{00000000-0005-0000-0000-0000A4280000}"/>
    <cellStyle name="Обычный 27 3 2 2 2 10" xfId="15159" xr:uid="{00000000-0005-0000-0000-0000A5280000}"/>
    <cellStyle name="Обычный 27 3 2 2 2 2" xfId="7237" xr:uid="{00000000-0005-0000-0000-0000A6280000}"/>
    <cellStyle name="Обычный 27 3 2 2 2 3" xfId="8243" xr:uid="{00000000-0005-0000-0000-0000A7280000}"/>
    <cellStyle name="Обычный 27 3 2 2 2 4" xfId="9229" xr:uid="{00000000-0005-0000-0000-0000A8280000}"/>
    <cellStyle name="Обычный 27 3 2 2 2 5" xfId="10215" xr:uid="{00000000-0005-0000-0000-0000A9280000}"/>
    <cellStyle name="Обычный 27 3 2 2 2 6" xfId="11201" xr:uid="{00000000-0005-0000-0000-0000AA280000}"/>
    <cellStyle name="Обычный 27 3 2 2 2 7" xfId="12187" xr:uid="{00000000-0005-0000-0000-0000AB280000}"/>
    <cellStyle name="Обычный 27 3 2 2 2 8" xfId="13173" xr:uid="{00000000-0005-0000-0000-0000AC280000}"/>
    <cellStyle name="Обычный 27 3 2 2 2 9" xfId="14173" xr:uid="{00000000-0005-0000-0000-0000AD280000}"/>
    <cellStyle name="Обычный 27 3 2 2 3" xfId="6613" xr:uid="{00000000-0005-0000-0000-0000AE280000}"/>
    <cellStyle name="Обычный 27 3 2 2 3 10" xfId="15532" xr:uid="{00000000-0005-0000-0000-0000AF280000}"/>
    <cellStyle name="Обычный 27 3 2 2 3 2" xfId="7610" xr:uid="{00000000-0005-0000-0000-0000B0280000}"/>
    <cellStyle name="Обычный 27 3 2 2 3 3" xfId="8616" xr:uid="{00000000-0005-0000-0000-0000B1280000}"/>
    <cellStyle name="Обычный 27 3 2 2 3 4" xfId="9602" xr:uid="{00000000-0005-0000-0000-0000B2280000}"/>
    <cellStyle name="Обычный 27 3 2 2 3 5" xfId="10588" xr:uid="{00000000-0005-0000-0000-0000B3280000}"/>
    <cellStyle name="Обычный 27 3 2 2 3 6" xfId="11574" xr:uid="{00000000-0005-0000-0000-0000B4280000}"/>
    <cellStyle name="Обычный 27 3 2 2 3 7" xfId="12560" xr:uid="{00000000-0005-0000-0000-0000B5280000}"/>
    <cellStyle name="Обычный 27 3 2 2 3 8" xfId="13546" xr:uid="{00000000-0005-0000-0000-0000B6280000}"/>
    <cellStyle name="Обычный 27 3 2 2 3 9" xfId="14546" xr:uid="{00000000-0005-0000-0000-0000B7280000}"/>
    <cellStyle name="Обычный 27 3 2 2 4" xfId="6883" xr:uid="{00000000-0005-0000-0000-0000B8280000}"/>
    <cellStyle name="Обычный 27 3 2 2 4 10" xfId="15802" xr:uid="{00000000-0005-0000-0000-0000B9280000}"/>
    <cellStyle name="Обычный 27 3 2 2 4 2" xfId="7880" xr:uid="{00000000-0005-0000-0000-0000BA280000}"/>
    <cellStyle name="Обычный 27 3 2 2 4 3" xfId="8886" xr:uid="{00000000-0005-0000-0000-0000BB280000}"/>
    <cellStyle name="Обычный 27 3 2 2 4 4" xfId="9872" xr:uid="{00000000-0005-0000-0000-0000BC280000}"/>
    <cellStyle name="Обычный 27 3 2 2 4 5" xfId="10858" xr:uid="{00000000-0005-0000-0000-0000BD280000}"/>
    <cellStyle name="Обычный 27 3 2 2 4 6" xfId="11844" xr:uid="{00000000-0005-0000-0000-0000BE280000}"/>
    <cellStyle name="Обычный 27 3 2 2 4 7" xfId="12830" xr:uid="{00000000-0005-0000-0000-0000BF280000}"/>
    <cellStyle name="Обычный 27 3 2 2 4 8" xfId="13816" xr:uid="{00000000-0005-0000-0000-0000C0280000}"/>
    <cellStyle name="Обычный 27 3 2 2 4 9" xfId="14816" xr:uid="{00000000-0005-0000-0000-0000C1280000}"/>
    <cellStyle name="Обычный 27 3 2 2 5" xfId="7166" xr:uid="{00000000-0005-0000-0000-0000C2280000}"/>
    <cellStyle name="Обычный 27 3 2 2 6" xfId="8172" xr:uid="{00000000-0005-0000-0000-0000C3280000}"/>
    <cellStyle name="Обычный 27 3 2 2 7" xfId="9158" xr:uid="{00000000-0005-0000-0000-0000C4280000}"/>
    <cellStyle name="Обычный 27 3 2 2 7 2" xfId="6257" xr:uid="{00000000-0005-0000-0000-0000C5280000}"/>
    <cellStyle name="Обычный 27 3 2 2 7 2 10" xfId="12204" xr:uid="{00000000-0005-0000-0000-0000C6280000}"/>
    <cellStyle name="Обычный 27 3 2 2 7 2 11" xfId="13190" xr:uid="{00000000-0005-0000-0000-0000C7280000}"/>
    <cellStyle name="Обычный 27 3 2 2 7 2 12" xfId="14190" xr:uid="{00000000-0005-0000-0000-0000C8280000}"/>
    <cellStyle name="Обычный 27 3 2 2 7 2 13" xfId="15176" xr:uid="{00000000-0005-0000-0000-0000C9280000}"/>
    <cellStyle name="Обычный 27 3 2 2 7 2 2" xfId="6275" xr:uid="{00000000-0005-0000-0000-0000CA280000}"/>
    <cellStyle name="Обычный 27 3 2 2 7 2 2 10" xfId="15194" xr:uid="{00000000-0005-0000-0000-0000CB280000}"/>
    <cellStyle name="Обычный 27 3 2 2 7 2 2 2" xfId="7272" xr:uid="{00000000-0005-0000-0000-0000CC280000}"/>
    <cellStyle name="Обычный 27 3 2 2 7 2 2 3" xfId="8278" xr:uid="{00000000-0005-0000-0000-0000CD280000}"/>
    <cellStyle name="Обычный 27 3 2 2 7 2 2 4" xfId="9264" xr:uid="{00000000-0005-0000-0000-0000CE280000}"/>
    <cellStyle name="Обычный 27 3 2 2 7 2 2 5" xfId="10250" xr:uid="{00000000-0005-0000-0000-0000CF280000}"/>
    <cellStyle name="Обычный 27 3 2 2 7 2 2 6" xfId="11236" xr:uid="{00000000-0005-0000-0000-0000D0280000}"/>
    <cellStyle name="Обычный 27 3 2 2 7 2 2 7" xfId="12222" xr:uid="{00000000-0005-0000-0000-0000D1280000}"/>
    <cellStyle name="Обычный 27 3 2 2 7 2 2 8" xfId="13208" xr:uid="{00000000-0005-0000-0000-0000D2280000}"/>
    <cellStyle name="Обычный 27 3 2 2 7 2 2 9" xfId="14208" xr:uid="{00000000-0005-0000-0000-0000D3280000}"/>
    <cellStyle name="Обычный 27 3 2 2 7 2 3" xfId="6288" xr:uid="{00000000-0005-0000-0000-0000D4280000}"/>
    <cellStyle name="Обычный 27 3 2 2 7 2 3 10" xfId="15207" xr:uid="{00000000-0005-0000-0000-0000D5280000}"/>
    <cellStyle name="Обычный 27 3 2 2 7 2 3 2" xfId="7285" xr:uid="{00000000-0005-0000-0000-0000D6280000}"/>
    <cellStyle name="Обычный 27 3 2 2 7 2 3 3" xfId="8291" xr:uid="{00000000-0005-0000-0000-0000D7280000}"/>
    <cellStyle name="Обычный 27 3 2 2 7 2 3 4" xfId="9277" xr:uid="{00000000-0005-0000-0000-0000D8280000}"/>
    <cellStyle name="Обычный 27 3 2 2 7 2 3 5" xfId="10263" xr:uid="{00000000-0005-0000-0000-0000D9280000}"/>
    <cellStyle name="Обычный 27 3 2 2 7 2 3 6" xfId="11249" xr:uid="{00000000-0005-0000-0000-0000DA280000}"/>
    <cellStyle name="Обычный 27 3 2 2 7 2 3 7" xfId="12235" xr:uid="{00000000-0005-0000-0000-0000DB280000}"/>
    <cellStyle name="Обычный 27 3 2 2 7 2 3 8" xfId="13221" xr:uid="{00000000-0005-0000-0000-0000DC280000}"/>
    <cellStyle name="Обычный 27 3 2 2 7 2 3 9" xfId="14221" xr:uid="{00000000-0005-0000-0000-0000DD280000}"/>
    <cellStyle name="Обычный 27 3 2 2 7 2 4" xfId="6301" xr:uid="{00000000-0005-0000-0000-0000DE280000}"/>
    <cellStyle name="Обычный 27 3 2 2 7 2 4 10" xfId="14234" xr:uid="{00000000-0005-0000-0000-0000DF280000}"/>
    <cellStyle name="Обычный 27 3 2 2 7 2 4 11" xfId="15220" xr:uid="{00000000-0005-0000-0000-0000E0280000}"/>
    <cellStyle name="Обычный 27 3 2 2 7 2 4 2" xfId="6318" xr:uid="{00000000-0005-0000-0000-0000E1280000}"/>
    <cellStyle name="Обычный 27 3 2 2 7 2 4 2 10" xfId="14251" xr:uid="{00000000-0005-0000-0000-0000E2280000}"/>
    <cellStyle name="Обычный 27 3 2 2 7 2 4 2 11" xfId="15237" xr:uid="{00000000-0005-0000-0000-0000E3280000}"/>
    <cellStyle name="Обычный 27 3 2 2 7 2 4 2 2" xfId="6332" xr:uid="{00000000-0005-0000-0000-0000E4280000}"/>
    <cellStyle name="Обычный 27 3 2 2 7 2 4 2 2 10" xfId="14265" xr:uid="{00000000-0005-0000-0000-0000E5280000}"/>
    <cellStyle name="Обычный 27 3 2 2 7 2 4 2 2 11" xfId="15251" xr:uid="{00000000-0005-0000-0000-0000E6280000}"/>
    <cellStyle name="Обычный 27 3 2 2 7 2 4 2 2 2" xfId="6350" xr:uid="{00000000-0005-0000-0000-0000E7280000}"/>
    <cellStyle name="Обычный 27 3 2 2 7 2 4 2 2 2 10" xfId="14283" xr:uid="{00000000-0005-0000-0000-0000E8280000}"/>
    <cellStyle name="Обычный 27 3 2 2 7 2 4 2 2 2 11" xfId="15269" xr:uid="{00000000-0005-0000-0000-0000E9280000}"/>
    <cellStyle name="Обычный 27 3 2 2 7 2 4 2 2 2 2" xfId="6364" xr:uid="{00000000-0005-0000-0000-0000EA280000}"/>
    <cellStyle name="Обычный 27 3 2 2 7 2 4 2 2 2 2 10" xfId="14297" xr:uid="{00000000-0005-0000-0000-0000EB280000}"/>
    <cellStyle name="Обычный 27 3 2 2 7 2 4 2 2 2 2 11" xfId="15283" xr:uid="{00000000-0005-0000-0000-0000EC280000}"/>
    <cellStyle name="Обычный 27 3 2 2 7 2 4 2 2 2 2 2" xfId="6379" xr:uid="{00000000-0005-0000-0000-0000ED280000}"/>
    <cellStyle name="Обычный 27 3 2 2 7 2 4 2 2 2 2 2 10" xfId="15298" xr:uid="{00000000-0005-0000-0000-0000EE280000}"/>
    <cellStyle name="Обычный 27 3 2 2 7 2 4 2 2 2 2 2 2" xfId="7376" xr:uid="{00000000-0005-0000-0000-0000EF280000}"/>
    <cellStyle name="Обычный 27 3 2 2 7 2 4 2 2 2 2 2 3" xfId="8382" xr:uid="{00000000-0005-0000-0000-0000F0280000}"/>
    <cellStyle name="Обычный 27 3 2 2 7 2 4 2 2 2 2 2 4" xfId="9368" xr:uid="{00000000-0005-0000-0000-0000F1280000}"/>
    <cellStyle name="Обычный 27 3 2 2 7 2 4 2 2 2 2 2 5" xfId="10354" xr:uid="{00000000-0005-0000-0000-0000F2280000}"/>
    <cellStyle name="Обычный 27 3 2 2 7 2 4 2 2 2 2 2 6" xfId="11340" xr:uid="{00000000-0005-0000-0000-0000F3280000}"/>
    <cellStyle name="Обычный 27 3 2 2 7 2 4 2 2 2 2 2 7" xfId="12326" xr:uid="{00000000-0005-0000-0000-0000F4280000}"/>
    <cellStyle name="Обычный 27 3 2 2 7 2 4 2 2 2 2 2 8" xfId="13312" xr:uid="{00000000-0005-0000-0000-0000F5280000}"/>
    <cellStyle name="Обычный 27 3 2 2 7 2 4 2 2 2 2 2 9" xfId="14312" xr:uid="{00000000-0005-0000-0000-0000F6280000}"/>
    <cellStyle name="Обычный 27 3 2 2 7 2 4 2 2 2 2 3" xfId="7361" xr:uid="{00000000-0005-0000-0000-0000F7280000}"/>
    <cellStyle name="Обычный 27 3 2 2 7 2 4 2 2 2 2 4" xfId="8367" xr:uid="{00000000-0005-0000-0000-0000F8280000}"/>
    <cellStyle name="Обычный 27 3 2 2 7 2 4 2 2 2 2 5" xfId="9353" xr:uid="{00000000-0005-0000-0000-0000F9280000}"/>
    <cellStyle name="Обычный 27 3 2 2 7 2 4 2 2 2 2 6" xfId="10339" xr:uid="{00000000-0005-0000-0000-0000FA280000}"/>
    <cellStyle name="Обычный 27 3 2 2 7 2 4 2 2 2 2 7" xfId="11325" xr:uid="{00000000-0005-0000-0000-0000FB280000}"/>
    <cellStyle name="Обычный 27 3 2 2 7 2 4 2 2 2 2 8" xfId="12311" xr:uid="{00000000-0005-0000-0000-0000FC280000}"/>
    <cellStyle name="Обычный 27 3 2 2 7 2 4 2 2 2 2 9" xfId="13297" xr:uid="{00000000-0005-0000-0000-0000FD280000}"/>
    <cellStyle name="Обычный 27 3 2 2 7 2 4 2 2 2 3" xfId="7347" xr:uid="{00000000-0005-0000-0000-0000FE280000}"/>
    <cellStyle name="Обычный 27 3 2 2 7 2 4 2 2 2 4" xfId="8353" xr:uid="{00000000-0005-0000-0000-0000FF280000}"/>
    <cellStyle name="Обычный 27 3 2 2 7 2 4 2 2 2 5" xfId="9339" xr:uid="{00000000-0005-0000-0000-000000290000}"/>
    <cellStyle name="Обычный 27 3 2 2 7 2 4 2 2 2 6" xfId="10325" xr:uid="{00000000-0005-0000-0000-000001290000}"/>
    <cellStyle name="Обычный 27 3 2 2 7 2 4 2 2 2 7" xfId="11311" xr:uid="{00000000-0005-0000-0000-000002290000}"/>
    <cellStyle name="Обычный 27 3 2 2 7 2 4 2 2 2 8" xfId="12297" xr:uid="{00000000-0005-0000-0000-000003290000}"/>
    <cellStyle name="Обычный 27 3 2 2 7 2 4 2 2 2 9" xfId="13283" xr:uid="{00000000-0005-0000-0000-000004290000}"/>
    <cellStyle name="Обычный 27 3 2 2 7 2 4 2 2 3" xfId="7329" xr:uid="{00000000-0005-0000-0000-000005290000}"/>
    <cellStyle name="Обычный 27 3 2 2 7 2 4 2 2 4" xfId="8335" xr:uid="{00000000-0005-0000-0000-000006290000}"/>
    <cellStyle name="Обычный 27 3 2 2 7 2 4 2 2 5" xfId="9321" xr:uid="{00000000-0005-0000-0000-000007290000}"/>
    <cellStyle name="Обычный 27 3 2 2 7 2 4 2 2 6" xfId="10307" xr:uid="{00000000-0005-0000-0000-000008290000}"/>
    <cellStyle name="Обычный 27 3 2 2 7 2 4 2 2 7" xfId="11293" xr:uid="{00000000-0005-0000-0000-000009290000}"/>
    <cellStyle name="Обычный 27 3 2 2 7 2 4 2 2 8" xfId="12279" xr:uid="{00000000-0005-0000-0000-00000A290000}"/>
    <cellStyle name="Обычный 27 3 2 2 7 2 4 2 2 9" xfId="13265" xr:uid="{00000000-0005-0000-0000-00000B290000}"/>
    <cellStyle name="Обычный 27 3 2 2 7 2 4 2 3" xfId="7315" xr:uid="{00000000-0005-0000-0000-00000C290000}"/>
    <cellStyle name="Обычный 27 3 2 2 7 2 4 2 4" xfId="8321" xr:uid="{00000000-0005-0000-0000-00000D290000}"/>
    <cellStyle name="Обычный 27 3 2 2 7 2 4 2 5" xfId="9307" xr:uid="{00000000-0005-0000-0000-00000E290000}"/>
    <cellStyle name="Обычный 27 3 2 2 7 2 4 2 6" xfId="10293" xr:uid="{00000000-0005-0000-0000-00000F290000}"/>
    <cellStyle name="Обычный 27 3 2 2 7 2 4 2 7" xfId="11279" xr:uid="{00000000-0005-0000-0000-000010290000}"/>
    <cellStyle name="Обычный 27 3 2 2 7 2 4 2 8" xfId="12265" xr:uid="{00000000-0005-0000-0000-000011290000}"/>
    <cellStyle name="Обычный 27 3 2 2 7 2 4 2 9" xfId="13251" xr:uid="{00000000-0005-0000-0000-000012290000}"/>
    <cellStyle name="Обычный 27 3 2 2 7 2 4 3" xfId="7298" xr:uid="{00000000-0005-0000-0000-000013290000}"/>
    <cellStyle name="Обычный 27 3 2 2 7 2 4 4" xfId="8304" xr:uid="{00000000-0005-0000-0000-000014290000}"/>
    <cellStyle name="Обычный 27 3 2 2 7 2 4 5" xfId="9290" xr:uid="{00000000-0005-0000-0000-000015290000}"/>
    <cellStyle name="Обычный 27 3 2 2 7 2 4 6" xfId="10276" xr:uid="{00000000-0005-0000-0000-000016290000}"/>
    <cellStyle name="Обычный 27 3 2 2 7 2 4 7" xfId="11262" xr:uid="{00000000-0005-0000-0000-000017290000}"/>
    <cellStyle name="Обычный 27 3 2 2 7 2 4 8" xfId="12248" xr:uid="{00000000-0005-0000-0000-000018290000}"/>
    <cellStyle name="Обычный 27 3 2 2 7 2 4 9" xfId="13234" xr:uid="{00000000-0005-0000-0000-000019290000}"/>
    <cellStyle name="Обычный 27 3 2 2 7 2 5" xfId="7254" xr:uid="{00000000-0005-0000-0000-00001A290000}"/>
    <cellStyle name="Обычный 27 3 2 2 7 2 6" xfId="8260" xr:uid="{00000000-0005-0000-0000-00001B290000}"/>
    <cellStyle name="Обычный 27 3 2 2 7 2 7" xfId="9246" xr:uid="{00000000-0005-0000-0000-00001C290000}"/>
    <cellStyle name="Обычный 27 3 2 2 7 2 8" xfId="10232" xr:uid="{00000000-0005-0000-0000-00001D290000}"/>
    <cellStyle name="Обычный 27 3 2 2 7 2 9" xfId="11218" xr:uid="{00000000-0005-0000-0000-00001E290000}"/>
    <cellStyle name="Обычный 27 3 2 2 8" xfId="10144" xr:uid="{00000000-0005-0000-0000-00001F290000}"/>
    <cellStyle name="Обычный 27 3 2 2 9" xfId="11130" xr:uid="{00000000-0005-0000-0000-000020290000}"/>
    <cellStyle name="Обычный 27 3 2 3" xfId="6602" xr:uid="{00000000-0005-0000-0000-000021290000}"/>
    <cellStyle name="Обычный 27 3 2 3 10" xfId="15521" xr:uid="{00000000-0005-0000-0000-000022290000}"/>
    <cellStyle name="Обычный 27 3 2 3 2" xfId="7599" xr:uid="{00000000-0005-0000-0000-000023290000}"/>
    <cellStyle name="Обычный 27 3 2 3 3" xfId="8605" xr:uid="{00000000-0005-0000-0000-000024290000}"/>
    <cellStyle name="Обычный 27 3 2 3 4" xfId="9591" xr:uid="{00000000-0005-0000-0000-000025290000}"/>
    <cellStyle name="Обычный 27 3 2 3 5" xfId="10577" xr:uid="{00000000-0005-0000-0000-000026290000}"/>
    <cellStyle name="Обычный 27 3 2 3 6" xfId="11563" xr:uid="{00000000-0005-0000-0000-000027290000}"/>
    <cellStyle name="Обычный 27 3 2 3 7" xfId="12549" xr:uid="{00000000-0005-0000-0000-000028290000}"/>
    <cellStyle name="Обычный 27 3 2 3 8" xfId="13535" xr:uid="{00000000-0005-0000-0000-000029290000}"/>
    <cellStyle name="Обычный 27 3 2 3 9" xfId="14535" xr:uid="{00000000-0005-0000-0000-00002A290000}"/>
    <cellStyle name="Обычный 27 3 2 4" xfId="6872" xr:uid="{00000000-0005-0000-0000-00002B290000}"/>
    <cellStyle name="Обычный 27 3 2 4 10" xfId="15791" xr:uid="{00000000-0005-0000-0000-00002C290000}"/>
    <cellStyle name="Обычный 27 3 2 4 2" xfId="7869" xr:uid="{00000000-0005-0000-0000-00002D290000}"/>
    <cellStyle name="Обычный 27 3 2 4 3" xfId="8875" xr:uid="{00000000-0005-0000-0000-00002E290000}"/>
    <cellStyle name="Обычный 27 3 2 4 4" xfId="9861" xr:uid="{00000000-0005-0000-0000-00002F290000}"/>
    <cellStyle name="Обычный 27 3 2 4 5" xfId="10847" xr:uid="{00000000-0005-0000-0000-000030290000}"/>
    <cellStyle name="Обычный 27 3 2 4 6" xfId="11833" xr:uid="{00000000-0005-0000-0000-000031290000}"/>
    <cellStyle name="Обычный 27 3 2 4 7" xfId="12819" xr:uid="{00000000-0005-0000-0000-000032290000}"/>
    <cellStyle name="Обычный 27 3 2 4 8" xfId="13805" xr:uid="{00000000-0005-0000-0000-000033290000}"/>
    <cellStyle name="Обычный 27 3 2 4 9" xfId="14805" xr:uid="{00000000-0005-0000-0000-000034290000}"/>
    <cellStyle name="Обычный 27 3 2 5" xfId="7155" xr:uid="{00000000-0005-0000-0000-000035290000}"/>
    <cellStyle name="Обычный 27 3 2 6" xfId="8161" xr:uid="{00000000-0005-0000-0000-000036290000}"/>
    <cellStyle name="Обычный 27 3 2 7" xfId="9147" xr:uid="{00000000-0005-0000-0000-000037290000}"/>
    <cellStyle name="Обычный 27 3 2 8" xfId="10133" xr:uid="{00000000-0005-0000-0000-000038290000}"/>
    <cellStyle name="Обычный 27 3 2 9" xfId="11119" xr:uid="{00000000-0005-0000-0000-000039290000}"/>
    <cellStyle name="Обычный 27 3 3" xfId="6143" xr:uid="{00000000-0005-0000-0000-00003A290000}"/>
    <cellStyle name="Обычный 27 3 3 10" xfId="12106" xr:uid="{00000000-0005-0000-0000-00003B290000}"/>
    <cellStyle name="Обычный 27 3 3 11" xfId="13092" xr:uid="{00000000-0005-0000-0000-00003C290000}"/>
    <cellStyle name="Обычный 27 3 3 12" xfId="14092" xr:uid="{00000000-0005-0000-0000-00003D290000}"/>
    <cellStyle name="Обычный 27 3 3 13" xfId="15078" xr:uid="{00000000-0005-0000-0000-00003E290000}"/>
    <cellStyle name="Обычный 27 3 3 2" xfId="6169" xr:uid="{00000000-0005-0000-0000-00003F290000}"/>
    <cellStyle name="Обычный 27 3 3 2 10" xfId="13113" xr:uid="{00000000-0005-0000-0000-000040290000}"/>
    <cellStyle name="Обычный 27 3 3 2 11" xfId="14113" xr:uid="{00000000-0005-0000-0000-000041290000}"/>
    <cellStyle name="Обычный 27 3 3 2 12" xfId="15099" xr:uid="{00000000-0005-0000-0000-000042290000}"/>
    <cellStyle name="Обычный 27 3 3 2 2" xfId="6624" xr:uid="{00000000-0005-0000-0000-000043290000}"/>
    <cellStyle name="Обычный 27 3 3 2 2 10" xfId="15543" xr:uid="{00000000-0005-0000-0000-000044290000}"/>
    <cellStyle name="Обычный 27 3 3 2 2 2" xfId="7621" xr:uid="{00000000-0005-0000-0000-000045290000}"/>
    <cellStyle name="Обычный 27 3 3 2 2 3" xfId="8627" xr:uid="{00000000-0005-0000-0000-000046290000}"/>
    <cellStyle name="Обычный 27 3 3 2 2 4" xfId="9613" xr:uid="{00000000-0005-0000-0000-000047290000}"/>
    <cellStyle name="Обычный 27 3 3 2 2 5" xfId="10599" xr:uid="{00000000-0005-0000-0000-000048290000}"/>
    <cellStyle name="Обычный 27 3 3 2 2 6" xfId="11585" xr:uid="{00000000-0005-0000-0000-000049290000}"/>
    <cellStyle name="Обычный 27 3 3 2 2 7" xfId="12571" xr:uid="{00000000-0005-0000-0000-00004A290000}"/>
    <cellStyle name="Обычный 27 3 3 2 2 8" xfId="13557" xr:uid="{00000000-0005-0000-0000-00004B290000}"/>
    <cellStyle name="Обычный 27 3 3 2 2 9" xfId="14557" xr:uid="{00000000-0005-0000-0000-00004C290000}"/>
    <cellStyle name="Обычный 27 3 3 2 3" xfId="6894" xr:uid="{00000000-0005-0000-0000-00004D290000}"/>
    <cellStyle name="Обычный 27 3 3 2 3 10" xfId="15813" xr:uid="{00000000-0005-0000-0000-00004E290000}"/>
    <cellStyle name="Обычный 27 3 3 2 3 2" xfId="7891" xr:uid="{00000000-0005-0000-0000-00004F290000}"/>
    <cellStyle name="Обычный 27 3 3 2 3 3" xfId="8897" xr:uid="{00000000-0005-0000-0000-000050290000}"/>
    <cellStyle name="Обычный 27 3 3 2 3 4" xfId="9883" xr:uid="{00000000-0005-0000-0000-000051290000}"/>
    <cellStyle name="Обычный 27 3 3 2 3 5" xfId="10869" xr:uid="{00000000-0005-0000-0000-000052290000}"/>
    <cellStyle name="Обычный 27 3 3 2 3 6" xfId="11855" xr:uid="{00000000-0005-0000-0000-000053290000}"/>
    <cellStyle name="Обычный 27 3 3 2 3 7" xfId="12841" xr:uid="{00000000-0005-0000-0000-000054290000}"/>
    <cellStyle name="Обычный 27 3 3 2 3 8" xfId="13827" xr:uid="{00000000-0005-0000-0000-000055290000}"/>
    <cellStyle name="Обычный 27 3 3 2 3 9" xfId="14827" xr:uid="{00000000-0005-0000-0000-000056290000}"/>
    <cellStyle name="Обычный 27 3 3 2 4" xfId="7177" xr:uid="{00000000-0005-0000-0000-000057290000}"/>
    <cellStyle name="Обычный 27 3 3 2 5" xfId="8183" xr:uid="{00000000-0005-0000-0000-000058290000}"/>
    <cellStyle name="Обычный 27 3 3 2 6" xfId="9169" xr:uid="{00000000-0005-0000-0000-000059290000}"/>
    <cellStyle name="Обычный 27 3 3 2 7" xfId="10155" xr:uid="{00000000-0005-0000-0000-00005A290000}"/>
    <cellStyle name="Обычный 27 3 3 2 8" xfId="11141" xr:uid="{00000000-0005-0000-0000-00005B290000}"/>
    <cellStyle name="Обычный 27 3 3 2 9" xfId="12127" xr:uid="{00000000-0005-0000-0000-00005C290000}"/>
    <cellStyle name="Обычный 27 3 3 3" xfId="6603" xr:uid="{00000000-0005-0000-0000-00005D290000}"/>
    <cellStyle name="Обычный 27 3 3 3 10" xfId="15522" xr:uid="{00000000-0005-0000-0000-00005E290000}"/>
    <cellStyle name="Обычный 27 3 3 3 2" xfId="7600" xr:uid="{00000000-0005-0000-0000-00005F290000}"/>
    <cellStyle name="Обычный 27 3 3 3 3" xfId="8606" xr:uid="{00000000-0005-0000-0000-000060290000}"/>
    <cellStyle name="Обычный 27 3 3 3 4" xfId="9592" xr:uid="{00000000-0005-0000-0000-000061290000}"/>
    <cellStyle name="Обычный 27 3 3 3 5" xfId="10578" xr:uid="{00000000-0005-0000-0000-000062290000}"/>
    <cellStyle name="Обычный 27 3 3 3 6" xfId="11564" xr:uid="{00000000-0005-0000-0000-000063290000}"/>
    <cellStyle name="Обычный 27 3 3 3 7" xfId="12550" xr:uid="{00000000-0005-0000-0000-000064290000}"/>
    <cellStyle name="Обычный 27 3 3 3 8" xfId="13536" xr:uid="{00000000-0005-0000-0000-000065290000}"/>
    <cellStyle name="Обычный 27 3 3 3 9" xfId="14536" xr:uid="{00000000-0005-0000-0000-000066290000}"/>
    <cellStyle name="Обычный 27 3 3 4" xfId="6873" xr:uid="{00000000-0005-0000-0000-000067290000}"/>
    <cellStyle name="Обычный 27 3 3 4 10" xfId="15792" xr:uid="{00000000-0005-0000-0000-000068290000}"/>
    <cellStyle name="Обычный 27 3 3 4 2" xfId="7870" xr:uid="{00000000-0005-0000-0000-000069290000}"/>
    <cellStyle name="Обычный 27 3 3 4 3" xfId="8876" xr:uid="{00000000-0005-0000-0000-00006A290000}"/>
    <cellStyle name="Обычный 27 3 3 4 4" xfId="9862" xr:uid="{00000000-0005-0000-0000-00006B290000}"/>
    <cellStyle name="Обычный 27 3 3 4 5" xfId="10848" xr:uid="{00000000-0005-0000-0000-00006C290000}"/>
    <cellStyle name="Обычный 27 3 3 4 6" xfId="11834" xr:uid="{00000000-0005-0000-0000-00006D290000}"/>
    <cellStyle name="Обычный 27 3 3 4 7" xfId="12820" xr:uid="{00000000-0005-0000-0000-00006E290000}"/>
    <cellStyle name="Обычный 27 3 3 4 8" xfId="13806" xr:uid="{00000000-0005-0000-0000-00006F290000}"/>
    <cellStyle name="Обычный 27 3 3 4 9" xfId="14806" xr:uid="{00000000-0005-0000-0000-000070290000}"/>
    <cellStyle name="Обычный 27 3 3 5" xfId="7156" xr:uid="{00000000-0005-0000-0000-000071290000}"/>
    <cellStyle name="Обычный 27 3 3 6" xfId="8162" xr:uid="{00000000-0005-0000-0000-000072290000}"/>
    <cellStyle name="Обычный 27 3 3 7" xfId="9148" xr:uid="{00000000-0005-0000-0000-000073290000}"/>
    <cellStyle name="Обычный 27 3 3 8" xfId="10134" xr:uid="{00000000-0005-0000-0000-000074290000}"/>
    <cellStyle name="Обычный 27 3 3 9" xfId="11120" xr:uid="{00000000-0005-0000-0000-000075290000}"/>
    <cellStyle name="Обычный 27 3 4" xfId="6597" xr:uid="{00000000-0005-0000-0000-000076290000}"/>
    <cellStyle name="Обычный 27 3 4 10" xfId="15516" xr:uid="{00000000-0005-0000-0000-000077290000}"/>
    <cellStyle name="Обычный 27 3 4 2" xfId="7594" xr:uid="{00000000-0005-0000-0000-000078290000}"/>
    <cellStyle name="Обычный 27 3 4 3" xfId="8600" xr:uid="{00000000-0005-0000-0000-000079290000}"/>
    <cellStyle name="Обычный 27 3 4 4" xfId="9586" xr:uid="{00000000-0005-0000-0000-00007A290000}"/>
    <cellStyle name="Обычный 27 3 4 5" xfId="10572" xr:uid="{00000000-0005-0000-0000-00007B290000}"/>
    <cellStyle name="Обычный 27 3 4 6" xfId="11558" xr:uid="{00000000-0005-0000-0000-00007C290000}"/>
    <cellStyle name="Обычный 27 3 4 7" xfId="12544" xr:uid="{00000000-0005-0000-0000-00007D290000}"/>
    <cellStyle name="Обычный 27 3 4 8" xfId="13530" xr:uid="{00000000-0005-0000-0000-00007E290000}"/>
    <cellStyle name="Обычный 27 3 4 9" xfId="14530" xr:uid="{00000000-0005-0000-0000-00007F290000}"/>
    <cellStyle name="Обычный 27 3 5" xfId="6867" xr:uid="{00000000-0005-0000-0000-000080290000}"/>
    <cellStyle name="Обычный 27 3 5 10" xfId="15786" xr:uid="{00000000-0005-0000-0000-000081290000}"/>
    <cellStyle name="Обычный 27 3 5 2" xfId="7864" xr:uid="{00000000-0005-0000-0000-000082290000}"/>
    <cellStyle name="Обычный 27 3 5 3" xfId="8870" xr:uid="{00000000-0005-0000-0000-000083290000}"/>
    <cellStyle name="Обычный 27 3 5 4" xfId="9856" xr:uid="{00000000-0005-0000-0000-000084290000}"/>
    <cellStyle name="Обычный 27 3 5 5" xfId="10842" xr:uid="{00000000-0005-0000-0000-000085290000}"/>
    <cellStyle name="Обычный 27 3 5 6" xfId="11828" xr:uid="{00000000-0005-0000-0000-000086290000}"/>
    <cellStyle name="Обычный 27 3 5 7" xfId="12814" xr:uid="{00000000-0005-0000-0000-000087290000}"/>
    <cellStyle name="Обычный 27 3 5 8" xfId="13800" xr:uid="{00000000-0005-0000-0000-000088290000}"/>
    <cellStyle name="Обычный 27 3 5 9" xfId="14800" xr:uid="{00000000-0005-0000-0000-000089290000}"/>
    <cellStyle name="Обычный 27 3 6" xfId="7150" xr:uid="{00000000-0005-0000-0000-00008A290000}"/>
    <cellStyle name="Обычный 27 3 7" xfId="8156" xr:uid="{00000000-0005-0000-0000-00008B290000}"/>
    <cellStyle name="Обычный 27 3 8" xfId="9142" xr:uid="{00000000-0005-0000-0000-00008C290000}"/>
    <cellStyle name="Обычный 27 3 9" xfId="10128" xr:uid="{00000000-0005-0000-0000-00008D290000}"/>
    <cellStyle name="Обычный 27 4" xfId="6593" xr:uid="{00000000-0005-0000-0000-00008E290000}"/>
    <cellStyle name="Обычный 27 4 10" xfId="15512" xr:uid="{00000000-0005-0000-0000-00008F290000}"/>
    <cellStyle name="Обычный 27 4 2" xfId="7590" xr:uid="{00000000-0005-0000-0000-000090290000}"/>
    <cellStyle name="Обычный 27 4 3" xfId="8596" xr:uid="{00000000-0005-0000-0000-000091290000}"/>
    <cellStyle name="Обычный 27 4 4" xfId="9582" xr:uid="{00000000-0005-0000-0000-000092290000}"/>
    <cellStyle name="Обычный 27 4 5" xfId="10568" xr:uid="{00000000-0005-0000-0000-000093290000}"/>
    <cellStyle name="Обычный 27 4 6" xfId="11554" xr:uid="{00000000-0005-0000-0000-000094290000}"/>
    <cellStyle name="Обычный 27 4 7" xfId="12540" xr:uid="{00000000-0005-0000-0000-000095290000}"/>
    <cellStyle name="Обычный 27 4 8" xfId="13526" xr:uid="{00000000-0005-0000-0000-000096290000}"/>
    <cellStyle name="Обычный 27 4 9" xfId="14526" xr:uid="{00000000-0005-0000-0000-000097290000}"/>
    <cellStyle name="Обычный 27 5" xfId="6863" xr:uid="{00000000-0005-0000-0000-000098290000}"/>
    <cellStyle name="Обычный 27 5 10" xfId="15782" xr:uid="{00000000-0005-0000-0000-000099290000}"/>
    <cellStyle name="Обычный 27 5 2" xfId="7860" xr:uid="{00000000-0005-0000-0000-00009A290000}"/>
    <cellStyle name="Обычный 27 5 3" xfId="8866" xr:uid="{00000000-0005-0000-0000-00009B290000}"/>
    <cellStyle name="Обычный 27 5 4" xfId="9852" xr:uid="{00000000-0005-0000-0000-00009C290000}"/>
    <cellStyle name="Обычный 27 5 5" xfId="10838" xr:uid="{00000000-0005-0000-0000-00009D290000}"/>
    <cellStyle name="Обычный 27 5 6" xfId="11824" xr:uid="{00000000-0005-0000-0000-00009E290000}"/>
    <cellStyle name="Обычный 27 5 7" xfId="12810" xr:uid="{00000000-0005-0000-0000-00009F290000}"/>
    <cellStyle name="Обычный 27 5 8" xfId="13796" xr:uid="{00000000-0005-0000-0000-0000A0290000}"/>
    <cellStyle name="Обычный 27 5 9" xfId="14796" xr:uid="{00000000-0005-0000-0000-0000A1290000}"/>
    <cellStyle name="Обычный 27 6" xfId="7146" xr:uid="{00000000-0005-0000-0000-0000A2290000}"/>
    <cellStyle name="Обычный 27 7" xfId="8152" xr:uid="{00000000-0005-0000-0000-0000A3290000}"/>
    <cellStyle name="Обычный 27 8" xfId="9138" xr:uid="{00000000-0005-0000-0000-0000A4290000}"/>
    <cellStyle name="Обычный 27 9" xfId="10124" xr:uid="{00000000-0005-0000-0000-0000A5290000}"/>
    <cellStyle name="Обычный 28" xfId="6141" xr:uid="{00000000-0005-0000-0000-0000A6290000}"/>
    <cellStyle name="Обычный 28 10" xfId="12104" xr:uid="{00000000-0005-0000-0000-0000A7290000}"/>
    <cellStyle name="Обычный 28 11" xfId="13090" xr:uid="{00000000-0005-0000-0000-0000A8290000}"/>
    <cellStyle name="Обычный 28 12" xfId="14090" xr:uid="{00000000-0005-0000-0000-0000A9290000}"/>
    <cellStyle name="Обычный 28 13" xfId="15076" xr:uid="{00000000-0005-0000-0000-0000AA290000}"/>
    <cellStyle name="Обычный 28 2" xfId="6145" xr:uid="{00000000-0005-0000-0000-0000AB290000}"/>
    <cellStyle name="Обычный 28 2 10" xfId="8164" xr:uid="{00000000-0005-0000-0000-0000AC290000}"/>
    <cellStyle name="Обычный 28 2 11" xfId="9150" xr:uid="{00000000-0005-0000-0000-0000AD290000}"/>
    <cellStyle name="Обычный 28 2 12" xfId="10136" xr:uid="{00000000-0005-0000-0000-0000AE290000}"/>
    <cellStyle name="Обычный 28 2 13" xfId="11122" xr:uid="{00000000-0005-0000-0000-0000AF290000}"/>
    <cellStyle name="Обычный 28 2 14" xfId="12108" xr:uid="{00000000-0005-0000-0000-0000B0290000}"/>
    <cellStyle name="Обычный 28 2 15" xfId="13094" xr:uid="{00000000-0005-0000-0000-0000B1290000}"/>
    <cellStyle name="Обычный 28 2 16" xfId="14094" xr:uid="{00000000-0005-0000-0000-0000B2290000}"/>
    <cellStyle name="Обычный 28 2 17" xfId="15080" xr:uid="{00000000-0005-0000-0000-0000B3290000}"/>
    <cellStyle name="Обычный 28 2 2" xfId="6158" xr:uid="{00000000-0005-0000-0000-0000B4290000}"/>
    <cellStyle name="Обычный 28 2 2 10" xfId="11133" xr:uid="{00000000-0005-0000-0000-0000B5290000}"/>
    <cellStyle name="Обычный 28 2 2 11" xfId="12119" xr:uid="{00000000-0005-0000-0000-0000B6290000}"/>
    <cellStyle name="Обычный 28 2 2 12" xfId="13105" xr:uid="{00000000-0005-0000-0000-0000B7290000}"/>
    <cellStyle name="Обычный 28 2 2 13" xfId="14105" xr:uid="{00000000-0005-0000-0000-0000B8290000}"/>
    <cellStyle name="Обычный 28 2 2 14" xfId="15091" xr:uid="{00000000-0005-0000-0000-0000B9290000}"/>
    <cellStyle name="Обычный 28 2 2 2" xfId="6247" xr:uid="{00000000-0005-0000-0000-0000BA290000}"/>
    <cellStyle name="Обычный 28 2 2 2 10" xfId="15166" xr:uid="{00000000-0005-0000-0000-0000BB290000}"/>
    <cellStyle name="Обычный 28 2 2 2 2" xfId="7244" xr:uid="{00000000-0005-0000-0000-0000BC290000}"/>
    <cellStyle name="Обычный 28 2 2 2 3" xfId="8250" xr:uid="{00000000-0005-0000-0000-0000BD290000}"/>
    <cellStyle name="Обычный 28 2 2 2 4" xfId="9236" xr:uid="{00000000-0005-0000-0000-0000BE290000}"/>
    <cellStyle name="Обычный 28 2 2 2 5" xfId="10222" xr:uid="{00000000-0005-0000-0000-0000BF290000}"/>
    <cellStyle name="Обычный 28 2 2 2 6" xfId="11208" xr:uid="{00000000-0005-0000-0000-0000C0290000}"/>
    <cellStyle name="Обычный 28 2 2 2 7" xfId="12194" xr:uid="{00000000-0005-0000-0000-0000C1290000}"/>
    <cellStyle name="Обычный 28 2 2 2 8" xfId="13180" xr:uid="{00000000-0005-0000-0000-0000C2290000}"/>
    <cellStyle name="Обычный 28 2 2 2 9" xfId="14180" xr:uid="{00000000-0005-0000-0000-0000C3290000}"/>
    <cellStyle name="Обычный 28 2 2 3" xfId="6616" xr:uid="{00000000-0005-0000-0000-0000C4290000}"/>
    <cellStyle name="Обычный 28 2 2 3 10" xfId="15535" xr:uid="{00000000-0005-0000-0000-0000C5290000}"/>
    <cellStyle name="Обычный 28 2 2 3 2" xfId="7613" xr:uid="{00000000-0005-0000-0000-0000C6290000}"/>
    <cellStyle name="Обычный 28 2 2 3 3" xfId="8619" xr:uid="{00000000-0005-0000-0000-0000C7290000}"/>
    <cellStyle name="Обычный 28 2 2 3 4" xfId="9605" xr:uid="{00000000-0005-0000-0000-0000C8290000}"/>
    <cellStyle name="Обычный 28 2 2 3 5" xfId="10591" xr:uid="{00000000-0005-0000-0000-0000C9290000}"/>
    <cellStyle name="Обычный 28 2 2 3 6" xfId="11577" xr:uid="{00000000-0005-0000-0000-0000CA290000}"/>
    <cellStyle name="Обычный 28 2 2 3 7" xfId="12563" xr:uid="{00000000-0005-0000-0000-0000CB290000}"/>
    <cellStyle name="Обычный 28 2 2 3 8" xfId="13549" xr:uid="{00000000-0005-0000-0000-0000CC290000}"/>
    <cellStyle name="Обычный 28 2 2 3 9" xfId="14549" xr:uid="{00000000-0005-0000-0000-0000CD290000}"/>
    <cellStyle name="Обычный 28 2 2 4" xfId="6886" xr:uid="{00000000-0005-0000-0000-0000CE290000}"/>
    <cellStyle name="Обычный 28 2 2 4 10" xfId="15805" xr:uid="{00000000-0005-0000-0000-0000CF290000}"/>
    <cellStyle name="Обычный 28 2 2 4 2" xfId="7883" xr:uid="{00000000-0005-0000-0000-0000D0290000}"/>
    <cellStyle name="Обычный 28 2 2 4 3" xfId="8889" xr:uid="{00000000-0005-0000-0000-0000D1290000}"/>
    <cellStyle name="Обычный 28 2 2 4 4" xfId="9875" xr:uid="{00000000-0005-0000-0000-0000D2290000}"/>
    <cellStyle name="Обычный 28 2 2 4 5" xfId="10861" xr:uid="{00000000-0005-0000-0000-0000D3290000}"/>
    <cellStyle name="Обычный 28 2 2 4 6" xfId="11847" xr:uid="{00000000-0005-0000-0000-0000D4290000}"/>
    <cellStyle name="Обычный 28 2 2 4 7" xfId="12833" xr:uid="{00000000-0005-0000-0000-0000D5290000}"/>
    <cellStyle name="Обычный 28 2 2 4 8" xfId="13819" xr:uid="{00000000-0005-0000-0000-0000D6290000}"/>
    <cellStyle name="Обычный 28 2 2 4 9" xfId="14819" xr:uid="{00000000-0005-0000-0000-0000D7290000}"/>
    <cellStyle name="Обычный 28 2 2 5" xfId="7169" xr:uid="{00000000-0005-0000-0000-0000D8290000}"/>
    <cellStyle name="Обычный 28 2 2 6" xfId="6266" xr:uid="{00000000-0005-0000-0000-0000D9290000}"/>
    <cellStyle name="Обычный 28 2 2 6 10" xfId="12213" xr:uid="{00000000-0005-0000-0000-0000DA290000}"/>
    <cellStyle name="Обычный 28 2 2 6 11" xfId="13199" xr:uid="{00000000-0005-0000-0000-0000DB290000}"/>
    <cellStyle name="Обычный 28 2 2 6 12" xfId="14199" xr:uid="{00000000-0005-0000-0000-0000DC290000}"/>
    <cellStyle name="Обычный 28 2 2 6 13" xfId="15185" xr:uid="{00000000-0005-0000-0000-0000DD290000}"/>
    <cellStyle name="Обычный 28 2 2 6 2" xfId="6284" xr:uid="{00000000-0005-0000-0000-0000DE290000}"/>
    <cellStyle name="Обычный 28 2 2 6 2 10" xfId="15203" xr:uid="{00000000-0005-0000-0000-0000DF290000}"/>
    <cellStyle name="Обычный 28 2 2 6 2 2" xfId="7281" xr:uid="{00000000-0005-0000-0000-0000E0290000}"/>
    <cellStyle name="Обычный 28 2 2 6 2 3" xfId="8287" xr:uid="{00000000-0005-0000-0000-0000E1290000}"/>
    <cellStyle name="Обычный 28 2 2 6 2 4" xfId="9273" xr:uid="{00000000-0005-0000-0000-0000E2290000}"/>
    <cellStyle name="Обычный 28 2 2 6 2 5" xfId="10259" xr:uid="{00000000-0005-0000-0000-0000E3290000}"/>
    <cellStyle name="Обычный 28 2 2 6 2 6" xfId="11245" xr:uid="{00000000-0005-0000-0000-0000E4290000}"/>
    <cellStyle name="Обычный 28 2 2 6 2 7" xfId="12231" xr:uid="{00000000-0005-0000-0000-0000E5290000}"/>
    <cellStyle name="Обычный 28 2 2 6 2 8" xfId="13217" xr:uid="{00000000-0005-0000-0000-0000E6290000}"/>
    <cellStyle name="Обычный 28 2 2 6 2 9" xfId="14217" xr:uid="{00000000-0005-0000-0000-0000E7290000}"/>
    <cellStyle name="Обычный 28 2 2 6 3" xfId="6297" xr:uid="{00000000-0005-0000-0000-0000E8290000}"/>
    <cellStyle name="Обычный 28 2 2 6 3 10" xfId="15216" xr:uid="{00000000-0005-0000-0000-0000E9290000}"/>
    <cellStyle name="Обычный 28 2 2 6 3 2" xfId="7294" xr:uid="{00000000-0005-0000-0000-0000EA290000}"/>
    <cellStyle name="Обычный 28 2 2 6 3 3" xfId="8300" xr:uid="{00000000-0005-0000-0000-0000EB290000}"/>
    <cellStyle name="Обычный 28 2 2 6 3 4" xfId="9286" xr:uid="{00000000-0005-0000-0000-0000EC290000}"/>
    <cellStyle name="Обычный 28 2 2 6 3 5" xfId="10272" xr:uid="{00000000-0005-0000-0000-0000ED290000}"/>
    <cellStyle name="Обычный 28 2 2 6 3 6" xfId="11258" xr:uid="{00000000-0005-0000-0000-0000EE290000}"/>
    <cellStyle name="Обычный 28 2 2 6 3 7" xfId="12244" xr:uid="{00000000-0005-0000-0000-0000EF290000}"/>
    <cellStyle name="Обычный 28 2 2 6 3 8" xfId="13230" xr:uid="{00000000-0005-0000-0000-0000F0290000}"/>
    <cellStyle name="Обычный 28 2 2 6 3 9" xfId="14230" xr:uid="{00000000-0005-0000-0000-0000F1290000}"/>
    <cellStyle name="Обычный 28 2 2 6 4" xfId="6310" xr:uid="{00000000-0005-0000-0000-0000F2290000}"/>
    <cellStyle name="Обычный 28 2 2 6 4 10" xfId="15229" xr:uid="{00000000-0005-0000-0000-0000F3290000}"/>
    <cellStyle name="Обычный 28 2 2 6 4 2" xfId="7307" xr:uid="{00000000-0005-0000-0000-0000F4290000}"/>
    <cellStyle name="Обычный 28 2 2 6 4 3" xfId="8313" xr:uid="{00000000-0005-0000-0000-0000F5290000}"/>
    <cellStyle name="Обычный 28 2 2 6 4 4" xfId="9299" xr:uid="{00000000-0005-0000-0000-0000F6290000}"/>
    <cellStyle name="Обычный 28 2 2 6 4 5" xfId="10285" xr:uid="{00000000-0005-0000-0000-0000F7290000}"/>
    <cellStyle name="Обычный 28 2 2 6 4 6" xfId="11271" xr:uid="{00000000-0005-0000-0000-0000F8290000}"/>
    <cellStyle name="Обычный 28 2 2 6 4 7" xfId="12257" xr:uid="{00000000-0005-0000-0000-0000F9290000}"/>
    <cellStyle name="Обычный 28 2 2 6 4 8" xfId="13243" xr:uid="{00000000-0005-0000-0000-0000FA290000}"/>
    <cellStyle name="Обычный 28 2 2 6 4 9" xfId="14243" xr:uid="{00000000-0005-0000-0000-0000FB290000}"/>
    <cellStyle name="Обычный 28 2 2 6 5" xfId="7263" xr:uid="{00000000-0005-0000-0000-0000FC290000}"/>
    <cellStyle name="Обычный 28 2 2 6 6" xfId="8269" xr:uid="{00000000-0005-0000-0000-0000FD290000}"/>
    <cellStyle name="Обычный 28 2 2 6 7" xfId="9255" xr:uid="{00000000-0005-0000-0000-0000FE290000}"/>
    <cellStyle name="Обычный 28 2 2 6 8" xfId="10241" xr:uid="{00000000-0005-0000-0000-0000FF290000}"/>
    <cellStyle name="Обычный 28 2 2 6 9" xfId="11227" xr:uid="{00000000-0005-0000-0000-0000002A0000}"/>
    <cellStyle name="Обычный 28 2 2 7" xfId="8175" xr:uid="{00000000-0005-0000-0000-0000012A0000}"/>
    <cellStyle name="Обычный 28 2 2 7 2" xfId="6267" xr:uid="{00000000-0005-0000-0000-0000022A0000}"/>
    <cellStyle name="Обычный 28 2 2 7 2 10" xfId="12214" xr:uid="{00000000-0005-0000-0000-0000032A0000}"/>
    <cellStyle name="Обычный 28 2 2 7 2 11" xfId="13200" xr:uid="{00000000-0005-0000-0000-0000042A0000}"/>
    <cellStyle name="Обычный 28 2 2 7 2 12" xfId="14200" xr:uid="{00000000-0005-0000-0000-0000052A0000}"/>
    <cellStyle name="Обычный 28 2 2 7 2 13" xfId="15186" xr:uid="{00000000-0005-0000-0000-0000062A0000}"/>
    <cellStyle name="Обычный 28 2 2 7 2 2" xfId="6285" xr:uid="{00000000-0005-0000-0000-0000072A0000}"/>
    <cellStyle name="Обычный 28 2 2 7 2 2 10" xfId="15204" xr:uid="{00000000-0005-0000-0000-0000082A0000}"/>
    <cellStyle name="Обычный 28 2 2 7 2 2 2" xfId="7282" xr:uid="{00000000-0005-0000-0000-0000092A0000}"/>
    <cellStyle name="Обычный 28 2 2 7 2 2 3" xfId="8288" xr:uid="{00000000-0005-0000-0000-00000A2A0000}"/>
    <cellStyle name="Обычный 28 2 2 7 2 2 4" xfId="9274" xr:uid="{00000000-0005-0000-0000-00000B2A0000}"/>
    <cellStyle name="Обычный 28 2 2 7 2 2 5" xfId="10260" xr:uid="{00000000-0005-0000-0000-00000C2A0000}"/>
    <cellStyle name="Обычный 28 2 2 7 2 2 6" xfId="11246" xr:uid="{00000000-0005-0000-0000-00000D2A0000}"/>
    <cellStyle name="Обычный 28 2 2 7 2 2 7" xfId="12232" xr:uid="{00000000-0005-0000-0000-00000E2A0000}"/>
    <cellStyle name="Обычный 28 2 2 7 2 2 8" xfId="13218" xr:uid="{00000000-0005-0000-0000-00000F2A0000}"/>
    <cellStyle name="Обычный 28 2 2 7 2 2 9" xfId="14218" xr:uid="{00000000-0005-0000-0000-0000102A0000}"/>
    <cellStyle name="Обычный 28 2 2 7 2 3" xfId="6298" xr:uid="{00000000-0005-0000-0000-0000112A0000}"/>
    <cellStyle name="Обычный 28 2 2 7 2 3 10" xfId="15217" xr:uid="{00000000-0005-0000-0000-0000122A0000}"/>
    <cellStyle name="Обычный 28 2 2 7 2 3 2" xfId="7295" xr:uid="{00000000-0005-0000-0000-0000132A0000}"/>
    <cellStyle name="Обычный 28 2 2 7 2 3 2 2 2 2 2 2" xfId="6407" xr:uid="{00000000-0005-0000-0000-0000142A0000}"/>
    <cellStyle name="Обычный 28 2 2 7 2 3 2 2 2 2 2 2 10" xfId="14340" xr:uid="{00000000-0005-0000-0000-0000152A0000}"/>
    <cellStyle name="Обычный 28 2 2 7 2 3 2 2 2 2 2 2 11" xfId="15326" xr:uid="{00000000-0005-0000-0000-0000162A0000}"/>
    <cellStyle name="Обычный 28 2 2 7 2 3 2 2 2 2 2 2 2" xfId="6417" xr:uid="{00000000-0005-0000-0000-0000172A0000}"/>
    <cellStyle name="Обычный 28 2 2 7 2 3 2 2 2 2 2 2 2 10" xfId="15336" xr:uid="{00000000-0005-0000-0000-0000182A0000}"/>
    <cellStyle name="Обычный 28 2 2 7 2 3 2 2 2 2 2 2 2 2" xfId="7414" xr:uid="{00000000-0005-0000-0000-0000192A0000}"/>
    <cellStyle name="Обычный 28 2 2 7 2 3 2 2 2 2 2 2 2 3" xfId="8420" xr:uid="{00000000-0005-0000-0000-00001A2A0000}"/>
    <cellStyle name="Обычный 28 2 2 7 2 3 2 2 2 2 2 2 2 4" xfId="9406" xr:uid="{00000000-0005-0000-0000-00001B2A0000}"/>
    <cellStyle name="Обычный 28 2 2 7 2 3 2 2 2 2 2 2 2 5" xfId="10392" xr:uid="{00000000-0005-0000-0000-00001C2A0000}"/>
    <cellStyle name="Обычный 28 2 2 7 2 3 2 2 2 2 2 2 2 6" xfId="11378" xr:uid="{00000000-0005-0000-0000-00001D2A0000}"/>
    <cellStyle name="Обычный 28 2 2 7 2 3 2 2 2 2 2 2 2 7" xfId="12364" xr:uid="{00000000-0005-0000-0000-00001E2A0000}"/>
    <cellStyle name="Обычный 28 2 2 7 2 3 2 2 2 2 2 2 2 8" xfId="13350" xr:uid="{00000000-0005-0000-0000-00001F2A0000}"/>
    <cellStyle name="Обычный 28 2 2 7 2 3 2 2 2 2 2 2 2 9" xfId="14350" xr:uid="{00000000-0005-0000-0000-0000202A0000}"/>
    <cellStyle name="Обычный 28 2 2 7 2 3 2 2 2 2 2 2 3" xfId="7404" xr:uid="{00000000-0005-0000-0000-0000212A0000}"/>
    <cellStyle name="Обычный 28 2 2 7 2 3 2 2 2 2 2 2 4" xfId="8410" xr:uid="{00000000-0005-0000-0000-0000222A0000}"/>
    <cellStyle name="Обычный 28 2 2 7 2 3 2 2 2 2 2 2 4 2 2 2" xfId="6974" xr:uid="{00000000-0005-0000-0000-0000232A0000}"/>
    <cellStyle name="Обычный 28 2 2 7 2 3 2 2 2 2 2 2 4 2 2 2 2" xfId="7980" xr:uid="{00000000-0005-0000-0000-0000242A0000}"/>
    <cellStyle name="Обычный 28 2 2 7 2 3 2 2 2 2 2 2 4 2 2 2 2 2" xfId="13908" xr:uid="{00000000-0005-0000-0000-0000252A0000}"/>
    <cellStyle name="Обычный 28 2 2 7 2 3 2 2 2 2 2 2 4 2 2 2 2 2 2" xfId="15894" xr:uid="{00000000-0005-0000-0000-0000262A0000}"/>
    <cellStyle name="Обычный 28 2 2 7 2 3 2 2 2 2 2 2 4 2 2 2 2 2 3" xfId="15909" xr:uid="{00000000-0005-0000-0000-0000272A0000}"/>
    <cellStyle name="Обычный 28 2 2 7 2 3 2 2 2 2 2 2 5" xfId="9396" xr:uid="{00000000-0005-0000-0000-0000282A0000}"/>
    <cellStyle name="Обычный 28 2 2 7 2 3 2 2 2 2 2 2 6" xfId="10382" xr:uid="{00000000-0005-0000-0000-0000292A0000}"/>
    <cellStyle name="Обычный 28 2 2 7 2 3 2 2 2 2 2 2 7" xfId="11368" xr:uid="{00000000-0005-0000-0000-00002A2A0000}"/>
    <cellStyle name="Обычный 28 2 2 7 2 3 2 2 2 2 2 2 8" xfId="12354" xr:uid="{00000000-0005-0000-0000-00002B2A0000}"/>
    <cellStyle name="Обычный 28 2 2 7 2 3 2 2 2 2 2 2 9" xfId="13340" xr:uid="{00000000-0005-0000-0000-00002C2A0000}"/>
    <cellStyle name="Обычный 28 2 2 7 2 3 3" xfId="8301" xr:uid="{00000000-0005-0000-0000-00002D2A0000}"/>
    <cellStyle name="Обычный 28 2 2 7 2 3 4" xfId="9287" xr:uid="{00000000-0005-0000-0000-00002E2A0000}"/>
    <cellStyle name="Обычный 28 2 2 7 2 3 5" xfId="10273" xr:uid="{00000000-0005-0000-0000-00002F2A0000}"/>
    <cellStyle name="Обычный 28 2 2 7 2 3 6" xfId="11259" xr:uid="{00000000-0005-0000-0000-0000302A0000}"/>
    <cellStyle name="Обычный 28 2 2 7 2 3 7" xfId="12245" xr:uid="{00000000-0005-0000-0000-0000312A0000}"/>
    <cellStyle name="Обычный 28 2 2 7 2 3 8" xfId="13231" xr:uid="{00000000-0005-0000-0000-0000322A0000}"/>
    <cellStyle name="Обычный 28 2 2 7 2 3 9" xfId="14231" xr:uid="{00000000-0005-0000-0000-0000332A0000}"/>
    <cellStyle name="Обычный 28 2 2 7 2 4" xfId="6311" xr:uid="{00000000-0005-0000-0000-0000342A0000}"/>
    <cellStyle name="Обычный 28 2 2 7 2 4 10" xfId="14244" xr:uid="{00000000-0005-0000-0000-0000352A0000}"/>
    <cellStyle name="Обычный 28 2 2 7 2 4 11" xfId="15230" xr:uid="{00000000-0005-0000-0000-0000362A0000}"/>
    <cellStyle name="Обычный 28 2 2 7 2 4 2" xfId="6330" xr:uid="{00000000-0005-0000-0000-0000372A0000}"/>
    <cellStyle name="Обычный 28 2 2 7 2 4 2 10" xfId="14263" xr:uid="{00000000-0005-0000-0000-0000382A0000}"/>
    <cellStyle name="Обычный 28 2 2 7 2 4 2 11" xfId="15249" xr:uid="{00000000-0005-0000-0000-0000392A0000}"/>
    <cellStyle name="Обычный 28 2 2 7 2 4 2 2" xfId="6344" xr:uid="{00000000-0005-0000-0000-00003A2A0000}"/>
    <cellStyle name="Обычный 28 2 2 7 2 4 2 2 10" xfId="14277" xr:uid="{00000000-0005-0000-0000-00003B2A0000}"/>
    <cellStyle name="Обычный 28 2 2 7 2 4 2 2 11" xfId="15263" xr:uid="{00000000-0005-0000-0000-00003C2A0000}"/>
    <cellStyle name="Обычный 28 2 2 7 2 4 2 2 2" xfId="6362" xr:uid="{00000000-0005-0000-0000-00003D2A0000}"/>
    <cellStyle name="Обычный 28 2 2 7 2 4 2 2 2 10" xfId="14295" xr:uid="{00000000-0005-0000-0000-00003E2A0000}"/>
    <cellStyle name="Обычный 28 2 2 7 2 4 2 2 2 11" xfId="15281" xr:uid="{00000000-0005-0000-0000-00003F2A0000}"/>
    <cellStyle name="Обычный 28 2 2 7 2 4 2 2 2 2" xfId="6377" xr:uid="{00000000-0005-0000-0000-0000402A0000}"/>
    <cellStyle name="Обычный 28 2 2 7 2 4 2 2 2 2 10" xfId="14310" xr:uid="{00000000-0005-0000-0000-0000412A0000}"/>
    <cellStyle name="Обычный 28 2 2 7 2 4 2 2 2 2 11" xfId="15296" xr:uid="{00000000-0005-0000-0000-0000422A0000}"/>
    <cellStyle name="Обычный 28 2 2 7 2 4 2 2 2 2 2" xfId="6392" xr:uid="{00000000-0005-0000-0000-0000432A0000}"/>
    <cellStyle name="Обычный 28 2 2 7 2 4 2 2 2 2 2 10" xfId="15311" xr:uid="{00000000-0005-0000-0000-0000442A0000}"/>
    <cellStyle name="Обычный 28 2 2 7 2 4 2 2 2 2 2 2" xfId="7389" xr:uid="{00000000-0005-0000-0000-0000452A0000}"/>
    <cellStyle name="Обычный 28 2 2 7 2 4 2 2 2 2 2 3" xfId="8395" xr:uid="{00000000-0005-0000-0000-0000462A0000}"/>
    <cellStyle name="Обычный 28 2 2 7 2 4 2 2 2 2 2 4" xfId="9381" xr:uid="{00000000-0005-0000-0000-0000472A0000}"/>
    <cellStyle name="Обычный 28 2 2 7 2 4 2 2 2 2 2 5" xfId="10367" xr:uid="{00000000-0005-0000-0000-0000482A0000}"/>
    <cellStyle name="Обычный 28 2 2 7 2 4 2 2 2 2 2 6" xfId="11353" xr:uid="{00000000-0005-0000-0000-0000492A0000}"/>
    <cellStyle name="Обычный 28 2 2 7 2 4 2 2 2 2 2 7" xfId="12339" xr:uid="{00000000-0005-0000-0000-00004A2A0000}"/>
    <cellStyle name="Обычный 28 2 2 7 2 4 2 2 2 2 2 8" xfId="13325" xr:uid="{00000000-0005-0000-0000-00004B2A0000}"/>
    <cellStyle name="Обычный 28 2 2 7 2 4 2 2 2 2 2 9" xfId="14325" xr:uid="{00000000-0005-0000-0000-00004C2A0000}"/>
    <cellStyle name="Обычный 28 2 2 7 2 4 2 2 2 2 3" xfId="7374" xr:uid="{00000000-0005-0000-0000-00004D2A0000}"/>
    <cellStyle name="Обычный 28 2 2 7 2 4 2 2 2 2 4" xfId="8380" xr:uid="{00000000-0005-0000-0000-00004E2A0000}"/>
    <cellStyle name="Обычный 28 2 2 7 2 4 2 2 2 2 5" xfId="9366" xr:uid="{00000000-0005-0000-0000-00004F2A0000}"/>
    <cellStyle name="Обычный 28 2 2 7 2 4 2 2 2 2 6" xfId="10352" xr:uid="{00000000-0005-0000-0000-0000502A0000}"/>
    <cellStyle name="Обычный 28 2 2 7 2 4 2 2 2 2 7" xfId="11338" xr:uid="{00000000-0005-0000-0000-0000512A0000}"/>
    <cellStyle name="Обычный 28 2 2 7 2 4 2 2 2 2 8" xfId="12324" xr:uid="{00000000-0005-0000-0000-0000522A0000}"/>
    <cellStyle name="Обычный 28 2 2 7 2 4 2 2 2 2 9" xfId="13310" xr:uid="{00000000-0005-0000-0000-0000532A0000}"/>
    <cellStyle name="Обычный 28 2 2 7 2 4 2 2 2 3" xfId="7359" xr:uid="{00000000-0005-0000-0000-0000542A0000}"/>
    <cellStyle name="Обычный 28 2 2 7 2 4 2 2 2 4" xfId="8365" xr:uid="{00000000-0005-0000-0000-0000552A0000}"/>
    <cellStyle name="Обычный 28 2 2 7 2 4 2 2 2 5" xfId="9351" xr:uid="{00000000-0005-0000-0000-0000562A0000}"/>
    <cellStyle name="Обычный 28 2 2 7 2 4 2 2 2 6" xfId="10337" xr:uid="{00000000-0005-0000-0000-0000572A0000}"/>
    <cellStyle name="Обычный 28 2 2 7 2 4 2 2 2 7" xfId="11323" xr:uid="{00000000-0005-0000-0000-0000582A0000}"/>
    <cellStyle name="Обычный 28 2 2 7 2 4 2 2 2 8" xfId="12309" xr:uid="{00000000-0005-0000-0000-0000592A0000}"/>
    <cellStyle name="Обычный 28 2 2 7 2 4 2 2 2 9" xfId="13295" xr:uid="{00000000-0005-0000-0000-00005A2A0000}"/>
    <cellStyle name="Обычный 28 2 2 7 2 4 2 2 3" xfId="7341" xr:uid="{00000000-0005-0000-0000-00005B2A0000}"/>
    <cellStyle name="Обычный 28 2 2 7 2 4 2 2 4" xfId="8347" xr:uid="{00000000-0005-0000-0000-00005C2A0000}"/>
    <cellStyle name="Обычный 28 2 2 7 2 4 2 2 5" xfId="9333" xr:uid="{00000000-0005-0000-0000-00005D2A0000}"/>
    <cellStyle name="Обычный 28 2 2 7 2 4 2 2 6" xfId="10319" xr:uid="{00000000-0005-0000-0000-00005E2A0000}"/>
    <cellStyle name="Обычный 28 2 2 7 2 4 2 2 7" xfId="11305" xr:uid="{00000000-0005-0000-0000-00005F2A0000}"/>
    <cellStyle name="Обычный 28 2 2 7 2 4 2 2 8" xfId="12291" xr:uid="{00000000-0005-0000-0000-0000602A0000}"/>
    <cellStyle name="Обычный 28 2 2 7 2 4 2 2 9" xfId="13277" xr:uid="{00000000-0005-0000-0000-0000612A0000}"/>
    <cellStyle name="Обычный 28 2 2 7 2 4 2 3" xfId="7327" xr:uid="{00000000-0005-0000-0000-0000622A0000}"/>
    <cellStyle name="Обычный 28 2 2 7 2 4 2 4" xfId="8333" xr:uid="{00000000-0005-0000-0000-0000632A0000}"/>
    <cellStyle name="Обычный 28 2 2 7 2 4 2 5" xfId="9319" xr:uid="{00000000-0005-0000-0000-0000642A0000}"/>
    <cellStyle name="Обычный 28 2 2 7 2 4 2 6" xfId="10305" xr:uid="{00000000-0005-0000-0000-0000652A0000}"/>
    <cellStyle name="Обычный 28 2 2 7 2 4 2 7" xfId="11291" xr:uid="{00000000-0005-0000-0000-0000662A0000}"/>
    <cellStyle name="Обычный 28 2 2 7 2 4 2 8" xfId="12277" xr:uid="{00000000-0005-0000-0000-0000672A0000}"/>
    <cellStyle name="Обычный 28 2 2 7 2 4 2 9" xfId="13263" xr:uid="{00000000-0005-0000-0000-0000682A0000}"/>
    <cellStyle name="Обычный 28 2 2 7 2 4 3" xfId="7308" xr:uid="{00000000-0005-0000-0000-0000692A0000}"/>
    <cellStyle name="Обычный 28 2 2 7 2 4 4" xfId="8314" xr:uid="{00000000-0005-0000-0000-00006A2A0000}"/>
    <cellStyle name="Обычный 28 2 2 7 2 4 5" xfId="9300" xr:uid="{00000000-0005-0000-0000-00006B2A0000}"/>
    <cellStyle name="Обычный 28 2 2 7 2 4 6" xfId="10286" xr:uid="{00000000-0005-0000-0000-00006C2A0000}"/>
    <cellStyle name="Обычный 28 2 2 7 2 4 7" xfId="11272" xr:uid="{00000000-0005-0000-0000-00006D2A0000}"/>
    <cellStyle name="Обычный 28 2 2 7 2 4 8" xfId="12258" xr:uid="{00000000-0005-0000-0000-00006E2A0000}"/>
    <cellStyle name="Обычный 28 2 2 7 2 4 9" xfId="13244" xr:uid="{00000000-0005-0000-0000-00006F2A0000}"/>
    <cellStyle name="Обычный 28 2 2 7 2 5" xfId="7264" xr:uid="{00000000-0005-0000-0000-0000702A0000}"/>
    <cellStyle name="Обычный 28 2 2 7 2 6" xfId="8270" xr:uid="{00000000-0005-0000-0000-0000712A0000}"/>
    <cellStyle name="Обычный 28 2 2 7 2 7" xfId="9256" xr:uid="{00000000-0005-0000-0000-0000722A0000}"/>
    <cellStyle name="Обычный 28 2 2 7 2 8" xfId="10242" xr:uid="{00000000-0005-0000-0000-0000732A0000}"/>
    <cellStyle name="Обычный 28 2 2 7 2 9" xfId="11228" xr:uid="{00000000-0005-0000-0000-0000742A0000}"/>
    <cellStyle name="Обычный 28 2 2 8" xfId="9161" xr:uid="{00000000-0005-0000-0000-0000752A0000}"/>
    <cellStyle name="Обычный 28 2 2 9" xfId="10147" xr:uid="{00000000-0005-0000-0000-0000762A0000}"/>
    <cellStyle name="Обычный 28 2 3" xfId="6153" xr:uid="{00000000-0005-0000-0000-0000772A0000}"/>
    <cellStyle name="Обычный 28 2 3 10" xfId="12114" xr:uid="{00000000-0005-0000-0000-0000782A0000}"/>
    <cellStyle name="Обычный 28 2 3 11" xfId="13100" xr:uid="{00000000-0005-0000-0000-0000792A0000}"/>
    <cellStyle name="Обычный 28 2 3 12" xfId="14100" xr:uid="{00000000-0005-0000-0000-00007A2A0000}"/>
    <cellStyle name="Обычный 28 2 3 13" xfId="15086" xr:uid="{00000000-0005-0000-0000-00007B2A0000}"/>
    <cellStyle name="Обычный 28 2 3 2" xfId="6170" xr:uid="{00000000-0005-0000-0000-00007C2A0000}"/>
    <cellStyle name="Обычный 28 2 3 2 10" xfId="13114" xr:uid="{00000000-0005-0000-0000-00007D2A0000}"/>
    <cellStyle name="Обычный 28 2 3 2 11" xfId="14114" xr:uid="{00000000-0005-0000-0000-00007E2A0000}"/>
    <cellStyle name="Обычный 28 2 3 2 12" xfId="15100" xr:uid="{00000000-0005-0000-0000-00007F2A0000}"/>
    <cellStyle name="Обычный 28 2 3 2 2" xfId="6625" xr:uid="{00000000-0005-0000-0000-0000802A0000}"/>
    <cellStyle name="Обычный 28 2 3 2 2 10" xfId="15544" xr:uid="{00000000-0005-0000-0000-0000812A0000}"/>
    <cellStyle name="Обычный 28 2 3 2 2 2" xfId="7622" xr:uid="{00000000-0005-0000-0000-0000822A0000}"/>
    <cellStyle name="Обычный 28 2 3 2 2 3" xfId="8628" xr:uid="{00000000-0005-0000-0000-0000832A0000}"/>
    <cellStyle name="Обычный 28 2 3 2 2 4" xfId="9614" xr:uid="{00000000-0005-0000-0000-0000842A0000}"/>
    <cellStyle name="Обычный 28 2 3 2 2 5" xfId="10600" xr:uid="{00000000-0005-0000-0000-0000852A0000}"/>
    <cellStyle name="Обычный 28 2 3 2 2 6" xfId="11586" xr:uid="{00000000-0005-0000-0000-0000862A0000}"/>
    <cellStyle name="Обычный 28 2 3 2 2 7" xfId="12572" xr:uid="{00000000-0005-0000-0000-0000872A0000}"/>
    <cellStyle name="Обычный 28 2 3 2 2 8" xfId="13558" xr:uid="{00000000-0005-0000-0000-0000882A0000}"/>
    <cellStyle name="Обычный 28 2 3 2 2 9" xfId="14558" xr:uid="{00000000-0005-0000-0000-0000892A0000}"/>
    <cellStyle name="Обычный 28 2 3 2 3" xfId="6895" xr:uid="{00000000-0005-0000-0000-00008A2A0000}"/>
    <cellStyle name="Обычный 28 2 3 2 3 10" xfId="15814" xr:uid="{00000000-0005-0000-0000-00008B2A0000}"/>
    <cellStyle name="Обычный 28 2 3 2 3 2" xfId="7892" xr:uid="{00000000-0005-0000-0000-00008C2A0000}"/>
    <cellStyle name="Обычный 28 2 3 2 3 3" xfId="8898" xr:uid="{00000000-0005-0000-0000-00008D2A0000}"/>
    <cellStyle name="Обычный 28 2 3 2 3 4" xfId="9884" xr:uid="{00000000-0005-0000-0000-00008E2A0000}"/>
    <cellStyle name="Обычный 28 2 3 2 3 5" xfId="10870" xr:uid="{00000000-0005-0000-0000-00008F2A0000}"/>
    <cellStyle name="Обычный 28 2 3 2 3 6" xfId="11856" xr:uid="{00000000-0005-0000-0000-0000902A0000}"/>
    <cellStyle name="Обычный 28 2 3 2 3 7" xfId="12842" xr:uid="{00000000-0005-0000-0000-0000912A0000}"/>
    <cellStyle name="Обычный 28 2 3 2 3 8" xfId="13828" xr:uid="{00000000-0005-0000-0000-0000922A0000}"/>
    <cellStyle name="Обычный 28 2 3 2 3 9" xfId="14828" xr:uid="{00000000-0005-0000-0000-0000932A0000}"/>
    <cellStyle name="Обычный 28 2 3 2 4" xfId="7178" xr:uid="{00000000-0005-0000-0000-0000942A0000}"/>
    <cellStyle name="Обычный 28 2 3 2 5" xfId="8184" xr:uid="{00000000-0005-0000-0000-0000952A0000}"/>
    <cellStyle name="Обычный 28 2 3 2 6" xfId="9170" xr:uid="{00000000-0005-0000-0000-0000962A0000}"/>
    <cellStyle name="Обычный 28 2 3 2 7" xfId="10156" xr:uid="{00000000-0005-0000-0000-0000972A0000}"/>
    <cellStyle name="Обычный 28 2 3 2 8" xfId="11142" xr:uid="{00000000-0005-0000-0000-0000982A0000}"/>
    <cellStyle name="Обычный 28 2 3 2 9" xfId="12128" xr:uid="{00000000-0005-0000-0000-0000992A0000}"/>
    <cellStyle name="Обычный 28 2 3 3" xfId="6611" xr:uid="{00000000-0005-0000-0000-00009A2A0000}"/>
    <cellStyle name="Обычный 28 2 3 3 10" xfId="15530" xr:uid="{00000000-0005-0000-0000-00009B2A0000}"/>
    <cellStyle name="Обычный 28 2 3 3 2" xfId="7608" xr:uid="{00000000-0005-0000-0000-00009C2A0000}"/>
    <cellStyle name="Обычный 28 2 3 3 3" xfId="8614" xr:uid="{00000000-0005-0000-0000-00009D2A0000}"/>
    <cellStyle name="Обычный 28 2 3 3 4" xfId="9600" xr:uid="{00000000-0005-0000-0000-00009E2A0000}"/>
    <cellStyle name="Обычный 28 2 3 3 5" xfId="10586" xr:uid="{00000000-0005-0000-0000-00009F2A0000}"/>
    <cellStyle name="Обычный 28 2 3 3 6" xfId="11572" xr:uid="{00000000-0005-0000-0000-0000A02A0000}"/>
    <cellStyle name="Обычный 28 2 3 3 7" xfId="12558" xr:uid="{00000000-0005-0000-0000-0000A12A0000}"/>
    <cellStyle name="Обычный 28 2 3 3 8" xfId="13544" xr:uid="{00000000-0005-0000-0000-0000A22A0000}"/>
    <cellStyle name="Обычный 28 2 3 3 9" xfId="14544" xr:uid="{00000000-0005-0000-0000-0000A32A0000}"/>
    <cellStyle name="Обычный 28 2 3 4" xfId="6881" xr:uid="{00000000-0005-0000-0000-0000A42A0000}"/>
    <cellStyle name="Обычный 28 2 3 4 10" xfId="15800" xr:uid="{00000000-0005-0000-0000-0000A52A0000}"/>
    <cellStyle name="Обычный 28 2 3 4 2" xfId="7878" xr:uid="{00000000-0005-0000-0000-0000A62A0000}"/>
    <cellStyle name="Обычный 28 2 3 4 3" xfId="8884" xr:uid="{00000000-0005-0000-0000-0000A72A0000}"/>
    <cellStyle name="Обычный 28 2 3 4 4" xfId="9870" xr:uid="{00000000-0005-0000-0000-0000A82A0000}"/>
    <cellStyle name="Обычный 28 2 3 4 5" xfId="10856" xr:uid="{00000000-0005-0000-0000-0000A92A0000}"/>
    <cellStyle name="Обычный 28 2 3 4 6" xfId="11842" xr:uid="{00000000-0005-0000-0000-0000AA2A0000}"/>
    <cellStyle name="Обычный 28 2 3 4 7" xfId="12828" xr:uid="{00000000-0005-0000-0000-0000AB2A0000}"/>
    <cellStyle name="Обычный 28 2 3 4 8" xfId="13814" xr:uid="{00000000-0005-0000-0000-0000AC2A0000}"/>
    <cellStyle name="Обычный 28 2 3 4 9" xfId="14814" xr:uid="{00000000-0005-0000-0000-0000AD2A0000}"/>
    <cellStyle name="Обычный 28 2 3 5" xfId="7164" xr:uid="{00000000-0005-0000-0000-0000AE2A0000}"/>
    <cellStyle name="Обычный 28 2 3 6" xfId="8170" xr:uid="{00000000-0005-0000-0000-0000AF2A0000}"/>
    <cellStyle name="Обычный 28 2 3 7" xfId="9156" xr:uid="{00000000-0005-0000-0000-0000B02A0000}"/>
    <cellStyle name="Обычный 28 2 3 8" xfId="10142" xr:uid="{00000000-0005-0000-0000-0000B12A0000}"/>
    <cellStyle name="Обычный 28 2 3 9" xfId="11128" xr:uid="{00000000-0005-0000-0000-0000B22A0000}"/>
    <cellStyle name="Обычный 28 2 4" xfId="6157" xr:uid="{00000000-0005-0000-0000-0000B32A0000}"/>
    <cellStyle name="Обычный 28 2 4 10" xfId="11132" xr:uid="{00000000-0005-0000-0000-0000B42A0000}"/>
    <cellStyle name="Обычный 28 2 4 11" xfId="12118" xr:uid="{00000000-0005-0000-0000-0000B52A0000}"/>
    <cellStyle name="Обычный 28 2 4 12" xfId="13104" xr:uid="{00000000-0005-0000-0000-0000B62A0000}"/>
    <cellStyle name="Обычный 28 2 4 13" xfId="14104" xr:uid="{00000000-0005-0000-0000-0000B72A0000}"/>
    <cellStyle name="Обычный 28 2 4 14" xfId="15090" xr:uid="{00000000-0005-0000-0000-0000B82A0000}"/>
    <cellStyle name="Обычный 28 2 4 2" xfId="6238" xr:uid="{00000000-0005-0000-0000-0000B92A0000}"/>
    <cellStyle name="Обычный 28 2 4 2 10" xfId="12185" xr:uid="{00000000-0005-0000-0000-0000BA2A0000}"/>
    <cellStyle name="Обычный 28 2 4 2 11" xfId="13171" xr:uid="{00000000-0005-0000-0000-0000BB2A0000}"/>
    <cellStyle name="Обычный 28 2 4 2 12" xfId="14171" xr:uid="{00000000-0005-0000-0000-0000BC2A0000}"/>
    <cellStyle name="Обычный 28 2 4 2 13" xfId="15157" xr:uid="{00000000-0005-0000-0000-0000BD2A0000}"/>
    <cellStyle name="Обычный 28 2 4 2 2" xfId="6246" xr:uid="{00000000-0005-0000-0000-0000BE2A0000}"/>
    <cellStyle name="Обычный 28 2 4 2 2 10" xfId="15165" xr:uid="{00000000-0005-0000-0000-0000BF2A0000}"/>
    <cellStyle name="Обычный 28 2 4 2 2 2" xfId="7243" xr:uid="{00000000-0005-0000-0000-0000C02A0000}"/>
    <cellStyle name="Обычный 28 2 4 2 2 3" xfId="8249" xr:uid="{00000000-0005-0000-0000-0000C12A0000}"/>
    <cellStyle name="Обычный 28 2 4 2 2 4" xfId="9235" xr:uid="{00000000-0005-0000-0000-0000C22A0000}"/>
    <cellStyle name="Обычный 28 2 4 2 2 5" xfId="10221" xr:uid="{00000000-0005-0000-0000-0000C32A0000}"/>
    <cellStyle name="Обычный 28 2 4 2 2 6" xfId="11207" xr:uid="{00000000-0005-0000-0000-0000C42A0000}"/>
    <cellStyle name="Обычный 28 2 4 2 2 7" xfId="12193" xr:uid="{00000000-0005-0000-0000-0000C52A0000}"/>
    <cellStyle name="Обычный 28 2 4 2 2 7 2" xfId="6264" xr:uid="{00000000-0005-0000-0000-0000C62A0000}"/>
    <cellStyle name="Обычный 28 2 4 2 2 7 2 10" xfId="12211" xr:uid="{00000000-0005-0000-0000-0000C72A0000}"/>
    <cellStyle name="Обычный 28 2 4 2 2 7 2 11" xfId="13197" xr:uid="{00000000-0005-0000-0000-0000C82A0000}"/>
    <cellStyle name="Обычный 28 2 4 2 2 7 2 12" xfId="14197" xr:uid="{00000000-0005-0000-0000-0000C92A0000}"/>
    <cellStyle name="Обычный 28 2 4 2 2 7 2 13" xfId="15183" xr:uid="{00000000-0005-0000-0000-0000CA2A0000}"/>
    <cellStyle name="Обычный 28 2 4 2 2 7 2 2" xfId="6282" xr:uid="{00000000-0005-0000-0000-0000CB2A0000}"/>
    <cellStyle name="Обычный 28 2 4 2 2 7 2 2 10" xfId="15201" xr:uid="{00000000-0005-0000-0000-0000CC2A0000}"/>
    <cellStyle name="Обычный 28 2 4 2 2 7 2 2 2" xfId="7279" xr:uid="{00000000-0005-0000-0000-0000CD2A0000}"/>
    <cellStyle name="Обычный 28 2 4 2 2 7 2 2 3" xfId="8285" xr:uid="{00000000-0005-0000-0000-0000CE2A0000}"/>
    <cellStyle name="Обычный 28 2 4 2 2 7 2 2 4" xfId="9271" xr:uid="{00000000-0005-0000-0000-0000CF2A0000}"/>
    <cellStyle name="Обычный 28 2 4 2 2 7 2 2 5" xfId="10257" xr:uid="{00000000-0005-0000-0000-0000D02A0000}"/>
    <cellStyle name="Обычный 28 2 4 2 2 7 2 2 6" xfId="11243" xr:uid="{00000000-0005-0000-0000-0000D12A0000}"/>
    <cellStyle name="Обычный 28 2 4 2 2 7 2 2 7" xfId="12229" xr:uid="{00000000-0005-0000-0000-0000D22A0000}"/>
    <cellStyle name="Обычный 28 2 4 2 2 7 2 2 8" xfId="13215" xr:uid="{00000000-0005-0000-0000-0000D32A0000}"/>
    <cellStyle name="Обычный 28 2 4 2 2 7 2 2 9" xfId="14215" xr:uid="{00000000-0005-0000-0000-0000D42A0000}"/>
    <cellStyle name="Обычный 28 2 4 2 2 7 2 3" xfId="6295" xr:uid="{00000000-0005-0000-0000-0000D52A0000}"/>
    <cellStyle name="Обычный 28 2 4 2 2 7 2 3 10" xfId="15214" xr:uid="{00000000-0005-0000-0000-0000D62A0000}"/>
    <cellStyle name="Обычный 28 2 4 2 2 7 2 3 2" xfId="7292" xr:uid="{00000000-0005-0000-0000-0000D72A0000}"/>
    <cellStyle name="Обычный 28 2 4 2 2 7 2 3 2 2 2 2 2 2" xfId="6405" xr:uid="{00000000-0005-0000-0000-0000D82A0000}"/>
    <cellStyle name="Обычный 28 2 4 2 2 7 2 3 2 2 2 2 2 2 10" xfId="14338" xr:uid="{00000000-0005-0000-0000-0000D92A0000}"/>
    <cellStyle name="Обычный 28 2 4 2 2 7 2 3 2 2 2 2 2 2 11" xfId="15324" xr:uid="{00000000-0005-0000-0000-0000DA2A0000}"/>
    <cellStyle name="Обычный 28 2 4 2 2 7 2 3 2 2 2 2 2 2 2" xfId="6415" xr:uid="{00000000-0005-0000-0000-0000DB2A0000}"/>
    <cellStyle name="Обычный 28 2 4 2 2 7 2 3 2 2 2 2 2 2 2 10" xfId="15334" xr:uid="{00000000-0005-0000-0000-0000DC2A0000}"/>
    <cellStyle name="Обычный 28 2 4 2 2 7 2 3 2 2 2 2 2 2 2 2" xfId="7412" xr:uid="{00000000-0005-0000-0000-0000DD2A0000}"/>
    <cellStyle name="Обычный 28 2 4 2 2 7 2 3 2 2 2 2 2 2 2 3" xfId="8418" xr:uid="{00000000-0005-0000-0000-0000DE2A0000}"/>
    <cellStyle name="Обычный 28 2 4 2 2 7 2 3 2 2 2 2 2 2 2 4" xfId="9404" xr:uid="{00000000-0005-0000-0000-0000DF2A0000}"/>
    <cellStyle name="Обычный 28 2 4 2 2 7 2 3 2 2 2 2 2 2 2 5" xfId="10390" xr:uid="{00000000-0005-0000-0000-0000E02A0000}"/>
    <cellStyle name="Обычный 28 2 4 2 2 7 2 3 2 2 2 2 2 2 2 6" xfId="11376" xr:uid="{00000000-0005-0000-0000-0000E12A0000}"/>
    <cellStyle name="Обычный 28 2 4 2 2 7 2 3 2 2 2 2 2 2 2 7" xfId="12362" xr:uid="{00000000-0005-0000-0000-0000E22A0000}"/>
    <cellStyle name="Обычный 28 2 4 2 2 7 2 3 2 2 2 2 2 2 2 8" xfId="13348" xr:uid="{00000000-0005-0000-0000-0000E32A0000}"/>
    <cellStyle name="Обычный 28 2 4 2 2 7 2 3 2 2 2 2 2 2 2 9" xfId="14348" xr:uid="{00000000-0005-0000-0000-0000E42A0000}"/>
    <cellStyle name="Обычный 28 2 4 2 2 7 2 3 2 2 2 2 2 2 3" xfId="7402" xr:uid="{00000000-0005-0000-0000-0000E52A0000}"/>
    <cellStyle name="Обычный 28 2 4 2 2 7 2 3 2 2 2 2 2 2 4" xfId="8408" xr:uid="{00000000-0005-0000-0000-0000E62A0000}"/>
    <cellStyle name="Обычный 28 2 4 2 2 7 2 3 2 2 2 2 2 2 4 2 2 2" xfId="6971" xr:uid="{00000000-0005-0000-0000-0000E72A0000}"/>
    <cellStyle name="Обычный 28 2 4 2 2 7 2 3 2 2 2 2 2 2 4 2 2 2 2" xfId="7977" xr:uid="{00000000-0005-0000-0000-0000E82A0000}"/>
    <cellStyle name="Обычный 28 2 4 2 2 7 2 3 2 2 2 2 2 2 4 2 2 2 2 2" xfId="13906" xr:uid="{00000000-0005-0000-0000-0000E92A0000}"/>
    <cellStyle name="Обычный 28 2 4 2 2 7 2 3 2 2 2 2 2 2 4 2 2 2 2 2 2" xfId="15892" xr:uid="{00000000-0005-0000-0000-0000EA2A0000}"/>
    <cellStyle name="Обычный 28 2 4 2 2 7 2 3 2 2 2 2 2 2 4 2 2 2 2 2 3" xfId="15907" xr:uid="{00000000-0005-0000-0000-0000EB2A0000}"/>
    <cellStyle name="Обычный 28 2 4 2 2 7 2 3 2 2 2 2 2 2 5" xfId="9394" xr:uid="{00000000-0005-0000-0000-0000EC2A0000}"/>
    <cellStyle name="Обычный 28 2 4 2 2 7 2 3 2 2 2 2 2 2 6" xfId="10380" xr:uid="{00000000-0005-0000-0000-0000ED2A0000}"/>
    <cellStyle name="Обычный 28 2 4 2 2 7 2 3 2 2 2 2 2 2 7" xfId="11366" xr:uid="{00000000-0005-0000-0000-0000EE2A0000}"/>
    <cellStyle name="Обычный 28 2 4 2 2 7 2 3 2 2 2 2 2 2 8" xfId="12352" xr:uid="{00000000-0005-0000-0000-0000EF2A0000}"/>
    <cellStyle name="Обычный 28 2 4 2 2 7 2 3 2 2 2 2 2 2 9" xfId="13338" xr:uid="{00000000-0005-0000-0000-0000F02A0000}"/>
    <cellStyle name="Обычный 28 2 4 2 2 7 2 3 3" xfId="8298" xr:uid="{00000000-0005-0000-0000-0000F12A0000}"/>
    <cellStyle name="Обычный 28 2 4 2 2 7 2 3 4" xfId="9284" xr:uid="{00000000-0005-0000-0000-0000F22A0000}"/>
    <cellStyle name="Обычный 28 2 4 2 2 7 2 3 5" xfId="10270" xr:uid="{00000000-0005-0000-0000-0000F32A0000}"/>
    <cellStyle name="Обычный 28 2 4 2 2 7 2 3 6" xfId="11256" xr:uid="{00000000-0005-0000-0000-0000F42A0000}"/>
    <cellStyle name="Обычный 28 2 4 2 2 7 2 3 7" xfId="12242" xr:uid="{00000000-0005-0000-0000-0000F52A0000}"/>
    <cellStyle name="Обычный 28 2 4 2 2 7 2 3 8" xfId="13228" xr:uid="{00000000-0005-0000-0000-0000F62A0000}"/>
    <cellStyle name="Обычный 28 2 4 2 2 7 2 3 9" xfId="14228" xr:uid="{00000000-0005-0000-0000-0000F72A0000}"/>
    <cellStyle name="Обычный 28 2 4 2 2 7 2 4" xfId="6308" xr:uid="{00000000-0005-0000-0000-0000F82A0000}"/>
    <cellStyle name="Обычный 28 2 4 2 2 7 2 4 10" xfId="14241" xr:uid="{00000000-0005-0000-0000-0000F92A0000}"/>
    <cellStyle name="Обычный 28 2 4 2 2 7 2 4 11" xfId="15227" xr:uid="{00000000-0005-0000-0000-0000FA2A0000}"/>
    <cellStyle name="Обычный 28 2 4 2 2 7 2 4 2" xfId="6327" xr:uid="{00000000-0005-0000-0000-0000FB2A0000}"/>
    <cellStyle name="Обычный 28 2 4 2 2 7 2 4 2 10" xfId="14260" xr:uid="{00000000-0005-0000-0000-0000FC2A0000}"/>
    <cellStyle name="Обычный 28 2 4 2 2 7 2 4 2 11" xfId="15246" xr:uid="{00000000-0005-0000-0000-0000FD2A0000}"/>
    <cellStyle name="Обычный 28 2 4 2 2 7 2 4 2 2" xfId="6341" xr:uid="{00000000-0005-0000-0000-0000FE2A0000}"/>
    <cellStyle name="Обычный 28 2 4 2 2 7 2 4 2 2 10" xfId="14274" xr:uid="{00000000-0005-0000-0000-0000FF2A0000}"/>
    <cellStyle name="Обычный 28 2 4 2 2 7 2 4 2 2 11" xfId="15260" xr:uid="{00000000-0005-0000-0000-0000002B0000}"/>
    <cellStyle name="Обычный 28 2 4 2 2 7 2 4 2 2 2" xfId="6359" xr:uid="{00000000-0005-0000-0000-0000012B0000}"/>
    <cellStyle name="Обычный 28 2 4 2 2 7 2 4 2 2 2 10" xfId="14292" xr:uid="{00000000-0005-0000-0000-0000022B0000}"/>
    <cellStyle name="Обычный 28 2 4 2 2 7 2 4 2 2 2 11" xfId="15278" xr:uid="{00000000-0005-0000-0000-0000032B0000}"/>
    <cellStyle name="Обычный 28 2 4 2 2 7 2 4 2 2 2 2" xfId="6374" xr:uid="{00000000-0005-0000-0000-0000042B0000}"/>
    <cellStyle name="Обычный 28 2 4 2 2 7 2 4 2 2 2 2 10" xfId="14307" xr:uid="{00000000-0005-0000-0000-0000052B0000}"/>
    <cellStyle name="Обычный 28 2 4 2 2 7 2 4 2 2 2 2 11" xfId="15293" xr:uid="{00000000-0005-0000-0000-0000062B0000}"/>
    <cellStyle name="Обычный 28 2 4 2 2 7 2 4 2 2 2 2 2" xfId="6389" xr:uid="{00000000-0005-0000-0000-0000072B0000}"/>
    <cellStyle name="Обычный 28 2 4 2 2 7 2 4 2 2 2 2 2 10" xfId="15308" xr:uid="{00000000-0005-0000-0000-0000082B0000}"/>
    <cellStyle name="Обычный 28 2 4 2 2 7 2 4 2 2 2 2 2 2" xfId="7386" xr:uid="{00000000-0005-0000-0000-0000092B0000}"/>
    <cellStyle name="Обычный 28 2 4 2 2 7 2 4 2 2 2 2 2 3" xfId="8392" xr:uid="{00000000-0005-0000-0000-00000A2B0000}"/>
    <cellStyle name="Обычный 28 2 4 2 2 7 2 4 2 2 2 2 2 4" xfId="9378" xr:uid="{00000000-0005-0000-0000-00000B2B0000}"/>
    <cellStyle name="Обычный 28 2 4 2 2 7 2 4 2 2 2 2 2 5" xfId="10364" xr:uid="{00000000-0005-0000-0000-00000C2B0000}"/>
    <cellStyle name="Обычный 28 2 4 2 2 7 2 4 2 2 2 2 2 6" xfId="11350" xr:uid="{00000000-0005-0000-0000-00000D2B0000}"/>
    <cellStyle name="Обычный 28 2 4 2 2 7 2 4 2 2 2 2 2 7" xfId="12336" xr:uid="{00000000-0005-0000-0000-00000E2B0000}"/>
    <cellStyle name="Обычный 28 2 4 2 2 7 2 4 2 2 2 2 2 8" xfId="13322" xr:uid="{00000000-0005-0000-0000-00000F2B0000}"/>
    <cellStyle name="Обычный 28 2 4 2 2 7 2 4 2 2 2 2 2 9" xfId="14322" xr:uid="{00000000-0005-0000-0000-0000102B0000}"/>
    <cellStyle name="Обычный 28 2 4 2 2 7 2 4 2 2 2 2 3" xfId="7371" xr:uid="{00000000-0005-0000-0000-0000112B0000}"/>
    <cellStyle name="Обычный 28 2 4 2 2 7 2 4 2 2 2 2 4" xfId="8377" xr:uid="{00000000-0005-0000-0000-0000122B0000}"/>
    <cellStyle name="Обычный 28 2 4 2 2 7 2 4 2 2 2 2 5" xfId="9363" xr:uid="{00000000-0005-0000-0000-0000132B0000}"/>
    <cellStyle name="Обычный 28 2 4 2 2 7 2 4 2 2 2 2 6" xfId="10349" xr:uid="{00000000-0005-0000-0000-0000142B0000}"/>
    <cellStyle name="Обычный 28 2 4 2 2 7 2 4 2 2 2 2 7" xfId="11335" xr:uid="{00000000-0005-0000-0000-0000152B0000}"/>
    <cellStyle name="Обычный 28 2 4 2 2 7 2 4 2 2 2 2 8" xfId="12321" xr:uid="{00000000-0005-0000-0000-0000162B0000}"/>
    <cellStyle name="Обычный 28 2 4 2 2 7 2 4 2 2 2 2 9" xfId="13307" xr:uid="{00000000-0005-0000-0000-0000172B0000}"/>
    <cellStyle name="Обычный 28 2 4 2 2 7 2 4 2 2 2 3" xfId="7356" xr:uid="{00000000-0005-0000-0000-0000182B0000}"/>
    <cellStyle name="Обычный 28 2 4 2 2 7 2 4 2 2 2 4" xfId="8362" xr:uid="{00000000-0005-0000-0000-0000192B0000}"/>
    <cellStyle name="Обычный 28 2 4 2 2 7 2 4 2 2 2 5" xfId="9348" xr:uid="{00000000-0005-0000-0000-00001A2B0000}"/>
    <cellStyle name="Обычный 28 2 4 2 2 7 2 4 2 2 2 6" xfId="10334" xr:uid="{00000000-0005-0000-0000-00001B2B0000}"/>
    <cellStyle name="Обычный 28 2 4 2 2 7 2 4 2 2 2 7" xfId="11320" xr:uid="{00000000-0005-0000-0000-00001C2B0000}"/>
    <cellStyle name="Обычный 28 2 4 2 2 7 2 4 2 2 2 8" xfId="12306" xr:uid="{00000000-0005-0000-0000-00001D2B0000}"/>
    <cellStyle name="Обычный 28 2 4 2 2 7 2 4 2 2 2 9" xfId="13292" xr:uid="{00000000-0005-0000-0000-00001E2B0000}"/>
    <cellStyle name="Обычный 28 2 4 2 2 7 2 4 2 2 3" xfId="7338" xr:uid="{00000000-0005-0000-0000-00001F2B0000}"/>
    <cellStyle name="Обычный 28 2 4 2 2 7 2 4 2 2 4" xfId="8344" xr:uid="{00000000-0005-0000-0000-0000202B0000}"/>
    <cellStyle name="Обычный 28 2 4 2 2 7 2 4 2 2 5" xfId="9330" xr:uid="{00000000-0005-0000-0000-0000212B0000}"/>
    <cellStyle name="Обычный 28 2 4 2 2 7 2 4 2 2 6" xfId="10316" xr:uid="{00000000-0005-0000-0000-0000222B0000}"/>
    <cellStyle name="Обычный 28 2 4 2 2 7 2 4 2 2 7" xfId="11302" xr:uid="{00000000-0005-0000-0000-0000232B0000}"/>
    <cellStyle name="Обычный 28 2 4 2 2 7 2 4 2 2 8" xfId="12288" xr:uid="{00000000-0005-0000-0000-0000242B0000}"/>
    <cellStyle name="Обычный 28 2 4 2 2 7 2 4 2 2 9" xfId="13274" xr:uid="{00000000-0005-0000-0000-0000252B0000}"/>
    <cellStyle name="Обычный 28 2 4 2 2 7 2 4 2 3" xfId="7324" xr:uid="{00000000-0005-0000-0000-0000262B0000}"/>
    <cellStyle name="Обычный 28 2 4 2 2 7 2 4 2 4" xfId="8330" xr:uid="{00000000-0005-0000-0000-0000272B0000}"/>
    <cellStyle name="Обычный 28 2 4 2 2 7 2 4 2 5" xfId="9316" xr:uid="{00000000-0005-0000-0000-0000282B0000}"/>
    <cellStyle name="Обычный 28 2 4 2 2 7 2 4 2 6" xfId="10302" xr:uid="{00000000-0005-0000-0000-0000292B0000}"/>
    <cellStyle name="Обычный 28 2 4 2 2 7 2 4 2 7" xfId="11288" xr:uid="{00000000-0005-0000-0000-00002A2B0000}"/>
    <cellStyle name="Обычный 28 2 4 2 2 7 2 4 2 8" xfId="12274" xr:uid="{00000000-0005-0000-0000-00002B2B0000}"/>
    <cellStyle name="Обычный 28 2 4 2 2 7 2 4 2 9" xfId="13260" xr:uid="{00000000-0005-0000-0000-00002C2B0000}"/>
    <cellStyle name="Обычный 28 2 4 2 2 7 2 4 3" xfId="7305" xr:uid="{00000000-0005-0000-0000-00002D2B0000}"/>
    <cellStyle name="Обычный 28 2 4 2 2 7 2 4 4" xfId="8311" xr:uid="{00000000-0005-0000-0000-00002E2B0000}"/>
    <cellStyle name="Обычный 28 2 4 2 2 7 2 4 5" xfId="9297" xr:uid="{00000000-0005-0000-0000-00002F2B0000}"/>
    <cellStyle name="Обычный 28 2 4 2 2 7 2 4 6" xfId="10283" xr:uid="{00000000-0005-0000-0000-0000302B0000}"/>
    <cellStyle name="Обычный 28 2 4 2 2 7 2 4 7" xfId="11269" xr:uid="{00000000-0005-0000-0000-0000312B0000}"/>
    <cellStyle name="Обычный 28 2 4 2 2 7 2 4 8" xfId="12255" xr:uid="{00000000-0005-0000-0000-0000322B0000}"/>
    <cellStyle name="Обычный 28 2 4 2 2 7 2 4 9" xfId="13241" xr:uid="{00000000-0005-0000-0000-0000332B0000}"/>
    <cellStyle name="Обычный 28 2 4 2 2 7 2 5" xfId="7261" xr:uid="{00000000-0005-0000-0000-0000342B0000}"/>
    <cellStyle name="Обычный 28 2 4 2 2 7 2 6" xfId="8267" xr:uid="{00000000-0005-0000-0000-0000352B0000}"/>
    <cellStyle name="Обычный 28 2 4 2 2 7 2 7" xfId="9253" xr:uid="{00000000-0005-0000-0000-0000362B0000}"/>
    <cellStyle name="Обычный 28 2 4 2 2 7 2 8" xfId="10239" xr:uid="{00000000-0005-0000-0000-0000372B0000}"/>
    <cellStyle name="Обычный 28 2 4 2 2 7 2 9" xfId="11225" xr:uid="{00000000-0005-0000-0000-0000382B0000}"/>
    <cellStyle name="Обычный 28 2 4 2 2 8" xfId="13179" xr:uid="{00000000-0005-0000-0000-0000392B0000}"/>
    <cellStyle name="Обычный 28 2 4 2 2 9" xfId="14179" xr:uid="{00000000-0005-0000-0000-00003A2B0000}"/>
    <cellStyle name="Обычный 28 2 4 2 3" xfId="6682" xr:uid="{00000000-0005-0000-0000-00003B2B0000}"/>
    <cellStyle name="Обычный 28 2 4 2 3 10" xfId="15601" xr:uid="{00000000-0005-0000-0000-00003C2B0000}"/>
    <cellStyle name="Обычный 28 2 4 2 3 2" xfId="7679" xr:uid="{00000000-0005-0000-0000-00003D2B0000}"/>
    <cellStyle name="Обычный 28 2 4 2 3 3" xfId="8685" xr:uid="{00000000-0005-0000-0000-00003E2B0000}"/>
    <cellStyle name="Обычный 28 2 4 2 3 4" xfId="9671" xr:uid="{00000000-0005-0000-0000-00003F2B0000}"/>
    <cellStyle name="Обычный 28 2 4 2 3 5" xfId="10657" xr:uid="{00000000-0005-0000-0000-0000402B0000}"/>
    <cellStyle name="Обычный 28 2 4 2 3 6" xfId="11643" xr:uid="{00000000-0005-0000-0000-0000412B0000}"/>
    <cellStyle name="Обычный 28 2 4 2 3 7" xfId="12629" xr:uid="{00000000-0005-0000-0000-0000422B0000}"/>
    <cellStyle name="Обычный 28 2 4 2 3 8" xfId="13615" xr:uid="{00000000-0005-0000-0000-0000432B0000}"/>
    <cellStyle name="Обычный 28 2 4 2 3 9" xfId="14615" xr:uid="{00000000-0005-0000-0000-0000442B0000}"/>
    <cellStyle name="Обычный 28 2 4 2 4" xfId="6952" xr:uid="{00000000-0005-0000-0000-0000452B0000}"/>
    <cellStyle name="Обычный 28 2 4 2 4 10" xfId="15871" xr:uid="{00000000-0005-0000-0000-0000462B0000}"/>
    <cellStyle name="Обычный 28 2 4 2 4 2" xfId="7949" xr:uid="{00000000-0005-0000-0000-0000472B0000}"/>
    <cellStyle name="Обычный 28 2 4 2 4 3" xfId="8955" xr:uid="{00000000-0005-0000-0000-0000482B0000}"/>
    <cellStyle name="Обычный 28 2 4 2 4 4" xfId="9941" xr:uid="{00000000-0005-0000-0000-0000492B0000}"/>
    <cellStyle name="Обычный 28 2 4 2 4 5" xfId="10927" xr:uid="{00000000-0005-0000-0000-00004A2B0000}"/>
    <cellStyle name="Обычный 28 2 4 2 4 6" xfId="11913" xr:uid="{00000000-0005-0000-0000-00004B2B0000}"/>
    <cellStyle name="Обычный 28 2 4 2 4 7" xfId="12899" xr:uid="{00000000-0005-0000-0000-00004C2B0000}"/>
    <cellStyle name="Обычный 28 2 4 2 4 8" xfId="13885" xr:uid="{00000000-0005-0000-0000-00004D2B0000}"/>
    <cellStyle name="Обычный 28 2 4 2 4 9" xfId="14885" xr:uid="{00000000-0005-0000-0000-00004E2B0000}"/>
    <cellStyle name="Обычный 28 2 4 2 5" xfId="7235" xr:uid="{00000000-0005-0000-0000-00004F2B0000}"/>
    <cellStyle name="Обычный 28 2 4 2 6" xfId="8241" xr:uid="{00000000-0005-0000-0000-0000502B0000}"/>
    <cellStyle name="Обычный 28 2 4 2 7" xfId="9227" xr:uid="{00000000-0005-0000-0000-0000512B0000}"/>
    <cellStyle name="Обычный 28 2 4 2 8" xfId="10213" xr:uid="{00000000-0005-0000-0000-0000522B0000}"/>
    <cellStyle name="Обычный 28 2 4 2 9" xfId="11199" xr:uid="{00000000-0005-0000-0000-0000532B0000}"/>
    <cellStyle name="Обычный 28 2 4 3" xfId="6261" xr:uid="{00000000-0005-0000-0000-0000542B0000}"/>
    <cellStyle name="Обычный 28 2 4 3 10" xfId="12208" xr:uid="{00000000-0005-0000-0000-0000552B0000}"/>
    <cellStyle name="Обычный 28 2 4 3 11" xfId="13194" xr:uid="{00000000-0005-0000-0000-0000562B0000}"/>
    <cellStyle name="Обычный 28 2 4 3 12" xfId="14194" xr:uid="{00000000-0005-0000-0000-0000572B0000}"/>
    <cellStyle name="Обычный 28 2 4 3 13" xfId="15180" xr:uid="{00000000-0005-0000-0000-0000582B0000}"/>
    <cellStyle name="Обычный 28 2 4 3 2" xfId="6279" xr:uid="{00000000-0005-0000-0000-0000592B0000}"/>
    <cellStyle name="Обычный 28 2 4 3 2 10" xfId="15198" xr:uid="{00000000-0005-0000-0000-00005A2B0000}"/>
    <cellStyle name="Обычный 28 2 4 3 2 2" xfId="7276" xr:uid="{00000000-0005-0000-0000-00005B2B0000}"/>
    <cellStyle name="Обычный 28 2 4 3 2 3" xfId="8282" xr:uid="{00000000-0005-0000-0000-00005C2B0000}"/>
    <cellStyle name="Обычный 28 2 4 3 2 4" xfId="9268" xr:uid="{00000000-0005-0000-0000-00005D2B0000}"/>
    <cellStyle name="Обычный 28 2 4 3 2 5" xfId="10254" xr:uid="{00000000-0005-0000-0000-00005E2B0000}"/>
    <cellStyle name="Обычный 28 2 4 3 2 6" xfId="11240" xr:uid="{00000000-0005-0000-0000-00005F2B0000}"/>
    <cellStyle name="Обычный 28 2 4 3 2 7" xfId="12226" xr:uid="{00000000-0005-0000-0000-0000602B0000}"/>
    <cellStyle name="Обычный 28 2 4 3 2 8" xfId="13212" xr:uid="{00000000-0005-0000-0000-0000612B0000}"/>
    <cellStyle name="Обычный 28 2 4 3 2 9" xfId="14212" xr:uid="{00000000-0005-0000-0000-0000622B0000}"/>
    <cellStyle name="Обычный 28 2 4 3 3" xfId="6292" xr:uid="{00000000-0005-0000-0000-0000632B0000}"/>
    <cellStyle name="Обычный 28 2 4 3 3 10" xfId="15211" xr:uid="{00000000-0005-0000-0000-0000642B0000}"/>
    <cellStyle name="Обычный 28 2 4 3 3 2" xfId="7289" xr:uid="{00000000-0005-0000-0000-0000652B0000}"/>
    <cellStyle name="Обычный 28 2 4 3 3 2 2 2 2 2 2" xfId="6403" xr:uid="{00000000-0005-0000-0000-0000662B0000}"/>
    <cellStyle name="Обычный 28 2 4 3 3 2 2 2 2 2 2 10" xfId="14336" xr:uid="{00000000-0005-0000-0000-0000672B0000}"/>
    <cellStyle name="Обычный 28 2 4 3 3 2 2 2 2 2 2 11" xfId="15322" xr:uid="{00000000-0005-0000-0000-0000682B0000}"/>
    <cellStyle name="Обычный 28 2 4 3 3 2 2 2 2 2 2 2" xfId="6413" xr:uid="{00000000-0005-0000-0000-0000692B0000}"/>
    <cellStyle name="Обычный 28 2 4 3 3 2 2 2 2 2 2 2 10" xfId="15332" xr:uid="{00000000-0005-0000-0000-00006A2B0000}"/>
    <cellStyle name="Обычный 28 2 4 3 3 2 2 2 2 2 2 2 2" xfId="7410" xr:uid="{00000000-0005-0000-0000-00006B2B0000}"/>
    <cellStyle name="Обычный 28 2 4 3 3 2 2 2 2 2 2 2 3" xfId="8416" xr:uid="{00000000-0005-0000-0000-00006C2B0000}"/>
    <cellStyle name="Обычный 28 2 4 3 3 2 2 2 2 2 2 2 4" xfId="9402" xr:uid="{00000000-0005-0000-0000-00006D2B0000}"/>
    <cellStyle name="Обычный 28 2 4 3 3 2 2 2 2 2 2 2 5" xfId="10388" xr:uid="{00000000-0005-0000-0000-00006E2B0000}"/>
    <cellStyle name="Обычный 28 2 4 3 3 2 2 2 2 2 2 2 6" xfId="11374" xr:uid="{00000000-0005-0000-0000-00006F2B0000}"/>
    <cellStyle name="Обычный 28 2 4 3 3 2 2 2 2 2 2 2 7" xfId="12360" xr:uid="{00000000-0005-0000-0000-0000702B0000}"/>
    <cellStyle name="Обычный 28 2 4 3 3 2 2 2 2 2 2 2 8" xfId="13346" xr:uid="{00000000-0005-0000-0000-0000712B0000}"/>
    <cellStyle name="Обычный 28 2 4 3 3 2 2 2 2 2 2 2 9" xfId="14346" xr:uid="{00000000-0005-0000-0000-0000722B0000}"/>
    <cellStyle name="Обычный 28 2 4 3 3 2 2 2 2 2 2 3" xfId="7400" xr:uid="{00000000-0005-0000-0000-0000732B0000}"/>
    <cellStyle name="Обычный 28 2 4 3 3 2 2 2 2 2 2 4" xfId="8406" xr:uid="{00000000-0005-0000-0000-0000742B0000}"/>
    <cellStyle name="Обычный 28 2 4 3 3 2 2 2 2 2 2 5" xfId="9392" xr:uid="{00000000-0005-0000-0000-0000752B0000}"/>
    <cellStyle name="Обычный 28 2 4 3 3 2 2 2 2 2 2 6" xfId="10378" xr:uid="{00000000-0005-0000-0000-0000762B0000}"/>
    <cellStyle name="Обычный 28 2 4 3 3 2 2 2 2 2 2 7" xfId="11364" xr:uid="{00000000-0005-0000-0000-0000772B0000}"/>
    <cellStyle name="Обычный 28 2 4 3 3 2 2 2 2 2 2 8" xfId="12350" xr:uid="{00000000-0005-0000-0000-0000782B0000}"/>
    <cellStyle name="Обычный 28 2 4 3 3 2 2 2 2 2 2 9" xfId="13336" xr:uid="{00000000-0005-0000-0000-0000792B0000}"/>
    <cellStyle name="Обычный 28 2 4 3 3 3" xfId="8295" xr:uid="{00000000-0005-0000-0000-00007A2B0000}"/>
    <cellStyle name="Обычный 28 2 4 3 3 4" xfId="9281" xr:uid="{00000000-0005-0000-0000-00007B2B0000}"/>
    <cellStyle name="Обычный 28 2 4 3 3 5" xfId="10267" xr:uid="{00000000-0005-0000-0000-00007C2B0000}"/>
    <cellStyle name="Обычный 28 2 4 3 3 6" xfId="11253" xr:uid="{00000000-0005-0000-0000-00007D2B0000}"/>
    <cellStyle name="Обычный 28 2 4 3 3 7" xfId="12239" xr:uid="{00000000-0005-0000-0000-00007E2B0000}"/>
    <cellStyle name="Обычный 28 2 4 3 3 8" xfId="13225" xr:uid="{00000000-0005-0000-0000-00007F2B0000}"/>
    <cellStyle name="Обычный 28 2 4 3 3 9" xfId="14225" xr:uid="{00000000-0005-0000-0000-0000802B0000}"/>
    <cellStyle name="Обычный 28 2 4 3 4" xfId="6305" xr:uid="{00000000-0005-0000-0000-0000812B0000}"/>
    <cellStyle name="Обычный 28 2 4 3 4 10" xfId="14238" xr:uid="{00000000-0005-0000-0000-0000822B0000}"/>
    <cellStyle name="Обычный 28 2 4 3 4 11" xfId="15224" xr:uid="{00000000-0005-0000-0000-0000832B0000}"/>
    <cellStyle name="Обычный 28 2 4 3 4 2" xfId="6324" xr:uid="{00000000-0005-0000-0000-0000842B0000}"/>
    <cellStyle name="Обычный 28 2 4 3 4 2 10" xfId="14257" xr:uid="{00000000-0005-0000-0000-0000852B0000}"/>
    <cellStyle name="Обычный 28 2 4 3 4 2 11" xfId="15243" xr:uid="{00000000-0005-0000-0000-0000862B0000}"/>
    <cellStyle name="Обычный 28 2 4 3 4 2 2" xfId="6338" xr:uid="{00000000-0005-0000-0000-0000872B0000}"/>
    <cellStyle name="Обычный 28 2 4 3 4 2 2 10" xfId="14271" xr:uid="{00000000-0005-0000-0000-0000882B0000}"/>
    <cellStyle name="Обычный 28 2 4 3 4 2 2 11" xfId="15257" xr:uid="{00000000-0005-0000-0000-0000892B0000}"/>
    <cellStyle name="Обычный 28 2 4 3 4 2 2 2" xfId="6356" xr:uid="{00000000-0005-0000-0000-00008A2B0000}"/>
    <cellStyle name="Обычный 28 2 4 3 4 2 2 2 10" xfId="14289" xr:uid="{00000000-0005-0000-0000-00008B2B0000}"/>
    <cellStyle name="Обычный 28 2 4 3 4 2 2 2 11" xfId="15275" xr:uid="{00000000-0005-0000-0000-00008C2B0000}"/>
    <cellStyle name="Обычный 28 2 4 3 4 2 2 2 2" xfId="6370" xr:uid="{00000000-0005-0000-0000-00008D2B0000}"/>
    <cellStyle name="Обычный 28 2 4 3 4 2 2 2 2 10" xfId="14303" xr:uid="{00000000-0005-0000-0000-00008E2B0000}"/>
    <cellStyle name="Обычный 28 2 4 3 4 2 2 2 2 11" xfId="15289" xr:uid="{00000000-0005-0000-0000-00008F2B0000}"/>
    <cellStyle name="Обычный 28 2 4 3 4 2 2 2 2 2" xfId="6385" xr:uid="{00000000-0005-0000-0000-0000902B0000}"/>
    <cellStyle name="Обычный 28 2 4 3 4 2 2 2 2 2 10" xfId="15304" xr:uid="{00000000-0005-0000-0000-0000912B0000}"/>
    <cellStyle name="Обычный 28 2 4 3 4 2 2 2 2 2 2" xfId="7382" xr:uid="{00000000-0005-0000-0000-0000922B0000}"/>
    <cellStyle name="Обычный 28 2 4 3 4 2 2 2 2 2 3" xfId="8388" xr:uid="{00000000-0005-0000-0000-0000932B0000}"/>
    <cellStyle name="Обычный 28 2 4 3 4 2 2 2 2 2 4" xfId="9374" xr:uid="{00000000-0005-0000-0000-0000942B0000}"/>
    <cellStyle name="Обычный 28 2 4 3 4 2 2 2 2 2 5" xfId="10360" xr:uid="{00000000-0005-0000-0000-0000952B0000}"/>
    <cellStyle name="Обычный 28 2 4 3 4 2 2 2 2 2 6" xfId="11346" xr:uid="{00000000-0005-0000-0000-0000962B0000}"/>
    <cellStyle name="Обычный 28 2 4 3 4 2 2 2 2 2 7" xfId="12332" xr:uid="{00000000-0005-0000-0000-0000972B0000}"/>
    <cellStyle name="Обычный 28 2 4 3 4 2 2 2 2 2 8" xfId="13318" xr:uid="{00000000-0005-0000-0000-0000982B0000}"/>
    <cellStyle name="Обычный 28 2 4 3 4 2 2 2 2 2 9" xfId="14318" xr:uid="{00000000-0005-0000-0000-0000992B0000}"/>
    <cellStyle name="Обычный 28 2 4 3 4 2 2 2 2 3" xfId="7367" xr:uid="{00000000-0005-0000-0000-00009A2B0000}"/>
    <cellStyle name="Обычный 28 2 4 3 4 2 2 2 2 4" xfId="8373" xr:uid="{00000000-0005-0000-0000-00009B2B0000}"/>
    <cellStyle name="Обычный 28 2 4 3 4 2 2 2 2 5" xfId="9359" xr:uid="{00000000-0005-0000-0000-00009C2B0000}"/>
    <cellStyle name="Обычный 28 2 4 3 4 2 2 2 2 6" xfId="10345" xr:uid="{00000000-0005-0000-0000-00009D2B0000}"/>
    <cellStyle name="Обычный 28 2 4 3 4 2 2 2 2 7" xfId="11331" xr:uid="{00000000-0005-0000-0000-00009E2B0000}"/>
    <cellStyle name="Обычный 28 2 4 3 4 2 2 2 2 8" xfId="12317" xr:uid="{00000000-0005-0000-0000-00009F2B0000}"/>
    <cellStyle name="Обычный 28 2 4 3 4 2 2 2 2 9" xfId="13303" xr:uid="{00000000-0005-0000-0000-0000A02B0000}"/>
    <cellStyle name="Обычный 28 2 4 3 4 2 2 2 3" xfId="7353" xr:uid="{00000000-0005-0000-0000-0000A12B0000}"/>
    <cellStyle name="Обычный 28 2 4 3 4 2 2 2 4" xfId="8359" xr:uid="{00000000-0005-0000-0000-0000A22B0000}"/>
    <cellStyle name="Обычный 28 2 4 3 4 2 2 2 5" xfId="9345" xr:uid="{00000000-0005-0000-0000-0000A32B0000}"/>
    <cellStyle name="Обычный 28 2 4 3 4 2 2 2 6" xfId="10331" xr:uid="{00000000-0005-0000-0000-0000A42B0000}"/>
    <cellStyle name="Обычный 28 2 4 3 4 2 2 2 7" xfId="11317" xr:uid="{00000000-0005-0000-0000-0000A52B0000}"/>
    <cellStyle name="Обычный 28 2 4 3 4 2 2 2 8" xfId="12303" xr:uid="{00000000-0005-0000-0000-0000A62B0000}"/>
    <cellStyle name="Обычный 28 2 4 3 4 2 2 2 9" xfId="13289" xr:uid="{00000000-0005-0000-0000-0000A72B0000}"/>
    <cellStyle name="Обычный 28 2 4 3 4 2 2 3" xfId="7335" xr:uid="{00000000-0005-0000-0000-0000A82B0000}"/>
    <cellStyle name="Обычный 28 2 4 3 4 2 2 4" xfId="8341" xr:uid="{00000000-0005-0000-0000-0000A92B0000}"/>
    <cellStyle name="Обычный 28 2 4 3 4 2 2 5" xfId="9327" xr:uid="{00000000-0005-0000-0000-0000AA2B0000}"/>
    <cellStyle name="Обычный 28 2 4 3 4 2 2 6" xfId="10313" xr:uid="{00000000-0005-0000-0000-0000AB2B0000}"/>
    <cellStyle name="Обычный 28 2 4 3 4 2 2 7" xfId="11299" xr:uid="{00000000-0005-0000-0000-0000AC2B0000}"/>
    <cellStyle name="Обычный 28 2 4 3 4 2 2 8" xfId="12285" xr:uid="{00000000-0005-0000-0000-0000AD2B0000}"/>
    <cellStyle name="Обычный 28 2 4 3 4 2 2 9" xfId="13271" xr:uid="{00000000-0005-0000-0000-0000AE2B0000}"/>
    <cellStyle name="Обычный 28 2 4 3 4 2 3" xfId="7321" xr:uid="{00000000-0005-0000-0000-0000AF2B0000}"/>
    <cellStyle name="Обычный 28 2 4 3 4 2 4" xfId="8327" xr:uid="{00000000-0005-0000-0000-0000B02B0000}"/>
    <cellStyle name="Обычный 28 2 4 3 4 2 5" xfId="9313" xr:uid="{00000000-0005-0000-0000-0000B12B0000}"/>
    <cellStyle name="Обычный 28 2 4 3 4 2 6" xfId="10299" xr:uid="{00000000-0005-0000-0000-0000B22B0000}"/>
    <cellStyle name="Обычный 28 2 4 3 4 2 7" xfId="11285" xr:uid="{00000000-0005-0000-0000-0000B32B0000}"/>
    <cellStyle name="Обычный 28 2 4 3 4 2 8" xfId="12271" xr:uid="{00000000-0005-0000-0000-0000B42B0000}"/>
    <cellStyle name="Обычный 28 2 4 3 4 2 9" xfId="13257" xr:uid="{00000000-0005-0000-0000-0000B52B0000}"/>
    <cellStyle name="Обычный 28 2 4 3 4 3" xfId="7302" xr:uid="{00000000-0005-0000-0000-0000B62B0000}"/>
    <cellStyle name="Обычный 28 2 4 3 4 4" xfId="8308" xr:uid="{00000000-0005-0000-0000-0000B72B0000}"/>
    <cellStyle name="Обычный 28 2 4 3 4 5" xfId="9294" xr:uid="{00000000-0005-0000-0000-0000B82B0000}"/>
    <cellStyle name="Обычный 28 2 4 3 4 6" xfId="10280" xr:uid="{00000000-0005-0000-0000-0000B92B0000}"/>
    <cellStyle name="Обычный 28 2 4 3 4 7" xfId="11266" xr:uid="{00000000-0005-0000-0000-0000BA2B0000}"/>
    <cellStyle name="Обычный 28 2 4 3 4 8" xfId="12252" xr:uid="{00000000-0005-0000-0000-0000BB2B0000}"/>
    <cellStyle name="Обычный 28 2 4 3 4 9" xfId="13238" xr:uid="{00000000-0005-0000-0000-0000BC2B0000}"/>
    <cellStyle name="Обычный 28 2 4 3 5" xfId="7258" xr:uid="{00000000-0005-0000-0000-0000BD2B0000}"/>
    <cellStyle name="Обычный 28 2 4 3 6" xfId="8264" xr:uid="{00000000-0005-0000-0000-0000BE2B0000}"/>
    <cellStyle name="Обычный 28 2 4 3 7" xfId="9250" xr:uid="{00000000-0005-0000-0000-0000BF2B0000}"/>
    <cellStyle name="Обычный 28 2 4 3 8" xfId="10236" xr:uid="{00000000-0005-0000-0000-0000C02B0000}"/>
    <cellStyle name="Обычный 28 2 4 3 9" xfId="11222" xr:uid="{00000000-0005-0000-0000-0000C12B0000}"/>
    <cellStyle name="Обычный 28 2 4 4" xfId="6615" xr:uid="{00000000-0005-0000-0000-0000C22B0000}"/>
    <cellStyle name="Обычный 28 2 4 4 10" xfId="15534" xr:uid="{00000000-0005-0000-0000-0000C32B0000}"/>
    <cellStyle name="Обычный 28 2 4 4 2" xfId="7612" xr:uid="{00000000-0005-0000-0000-0000C42B0000}"/>
    <cellStyle name="Обычный 28 2 4 4 3" xfId="8618" xr:uid="{00000000-0005-0000-0000-0000C52B0000}"/>
    <cellStyle name="Обычный 28 2 4 4 4" xfId="9604" xr:uid="{00000000-0005-0000-0000-0000C62B0000}"/>
    <cellStyle name="Обычный 28 2 4 4 5" xfId="10590" xr:uid="{00000000-0005-0000-0000-0000C72B0000}"/>
    <cellStyle name="Обычный 28 2 4 4 6" xfId="11576" xr:uid="{00000000-0005-0000-0000-0000C82B0000}"/>
    <cellStyle name="Обычный 28 2 4 4 7" xfId="12562" xr:uid="{00000000-0005-0000-0000-0000C92B0000}"/>
    <cellStyle name="Обычный 28 2 4 4 8" xfId="13548" xr:uid="{00000000-0005-0000-0000-0000CA2B0000}"/>
    <cellStyle name="Обычный 28 2 4 4 9" xfId="14548" xr:uid="{00000000-0005-0000-0000-0000CB2B0000}"/>
    <cellStyle name="Обычный 28 2 4 5" xfId="6885" xr:uid="{00000000-0005-0000-0000-0000CC2B0000}"/>
    <cellStyle name="Обычный 28 2 4 5 10" xfId="15804" xr:uid="{00000000-0005-0000-0000-0000CD2B0000}"/>
    <cellStyle name="Обычный 28 2 4 5 2" xfId="7882" xr:uid="{00000000-0005-0000-0000-0000CE2B0000}"/>
    <cellStyle name="Обычный 28 2 4 5 3" xfId="8888" xr:uid="{00000000-0005-0000-0000-0000CF2B0000}"/>
    <cellStyle name="Обычный 28 2 4 5 4" xfId="9874" xr:uid="{00000000-0005-0000-0000-0000D02B0000}"/>
    <cellStyle name="Обычный 28 2 4 5 5" xfId="10860" xr:uid="{00000000-0005-0000-0000-0000D12B0000}"/>
    <cellStyle name="Обычный 28 2 4 5 6" xfId="11846" xr:uid="{00000000-0005-0000-0000-0000D22B0000}"/>
    <cellStyle name="Обычный 28 2 4 5 7" xfId="12832" xr:uid="{00000000-0005-0000-0000-0000D32B0000}"/>
    <cellStyle name="Обычный 28 2 4 5 8" xfId="13818" xr:uid="{00000000-0005-0000-0000-0000D42B0000}"/>
    <cellStyle name="Обычный 28 2 4 5 9" xfId="14818" xr:uid="{00000000-0005-0000-0000-0000D52B0000}"/>
    <cellStyle name="Обычный 28 2 4 6" xfId="7168" xr:uid="{00000000-0005-0000-0000-0000D62B0000}"/>
    <cellStyle name="Обычный 28 2 4 7" xfId="8174" xr:uid="{00000000-0005-0000-0000-0000D72B0000}"/>
    <cellStyle name="Обычный 28 2 4 8" xfId="9160" xr:uid="{00000000-0005-0000-0000-0000D82B0000}"/>
    <cellStyle name="Обычный 28 2 4 9" xfId="10146" xr:uid="{00000000-0005-0000-0000-0000D92B0000}"/>
    <cellStyle name="Обычный 28 2 5" xfId="6237" xr:uid="{00000000-0005-0000-0000-0000DA2B0000}"/>
    <cellStyle name="Обычный 28 2 5 10" xfId="12184" xr:uid="{00000000-0005-0000-0000-0000DB2B0000}"/>
    <cellStyle name="Обычный 28 2 5 11" xfId="13170" xr:uid="{00000000-0005-0000-0000-0000DC2B0000}"/>
    <cellStyle name="Обычный 28 2 5 12" xfId="14170" xr:uid="{00000000-0005-0000-0000-0000DD2B0000}"/>
    <cellStyle name="Обычный 28 2 5 13" xfId="15156" xr:uid="{00000000-0005-0000-0000-0000DE2B0000}"/>
    <cellStyle name="Обычный 28 2 5 2" xfId="6244" xr:uid="{00000000-0005-0000-0000-0000DF2B0000}"/>
    <cellStyle name="Обычный 28 2 5 2 10" xfId="11205" xr:uid="{00000000-0005-0000-0000-0000E02B0000}"/>
    <cellStyle name="Обычный 28 2 5 2 11" xfId="12191" xr:uid="{00000000-0005-0000-0000-0000E12B0000}"/>
    <cellStyle name="Обычный 28 2 5 2 12" xfId="13177" xr:uid="{00000000-0005-0000-0000-0000E22B0000}"/>
    <cellStyle name="Обычный 28 2 5 2 13" xfId="14177" xr:uid="{00000000-0005-0000-0000-0000E32B0000}"/>
    <cellStyle name="Обычный 28 2 5 2 14" xfId="15163" xr:uid="{00000000-0005-0000-0000-0000E42B0000}"/>
    <cellStyle name="Обычный 28 2 5 2 2" xfId="6258" xr:uid="{00000000-0005-0000-0000-0000E52B0000}"/>
    <cellStyle name="Обычный 28 2 5 2 2 10" xfId="15177" xr:uid="{00000000-0005-0000-0000-0000E62B0000}"/>
    <cellStyle name="Обычный 28 2 5 2 2 2" xfId="7255" xr:uid="{00000000-0005-0000-0000-0000E72B0000}"/>
    <cellStyle name="Обычный 28 2 5 2 2 3" xfId="8261" xr:uid="{00000000-0005-0000-0000-0000E82B0000}"/>
    <cellStyle name="Обычный 28 2 5 2 2 4" xfId="9247" xr:uid="{00000000-0005-0000-0000-0000E92B0000}"/>
    <cellStyle name="Обычный 28 2 5 2 2 5" xfId="10233" xr:uid="{00000000-0005-0000-0000-0000EA2B0000}"/>
    <cellStyle name="Обычный 28 2 5 2 2 6" xfId="11219" xr:uid="{00000000-0005-0000-0000-0000EB2B0000}"/>
    <cellStyle name="Обычный 28 2 5 2 2 7" xfId="12205" xr:uid="{00000000-0005-0000-0000-0000EC2B0000}"/>
    <cellStyle name="Обычный 28 2 5 2 2 8" xfId="13191" xr:uid="{00000000-0005-0000-0000-0000ED2B0000}"/>
    <cellStyle name="Обычный 28 2 5 2 2 9" xfId="14191" xr:uid="{00000000-0005-0000-0000-0000EE2B0000}"/>
    <cellStyle name="Обычный 28 2 5 2 3" xfId="6276" xr:uid="{00000000-0005-0000-0000-0000EF2B0000}"/>
    <cellStyle name="Обычный 28 2 5 2 3 10" xfId="15195" xr:uid="{00000000-0005-0000-0000-0000F02B0000}"/>
    <cellStyle name="Обычный 28 2 5 2 3 2" xfId="7273" xr:uid="{00000000-0005-0000-0000-0000F12B0000}"/>
    <cellStyle name="Обычный 28 2 5 2 3 3" xfId="8279" xr:uid="{00000000-0005-0000-0000-0000F22B0000}"/>
    <cellStyle name="Обычный 28 2 5 2 3 4" xfId="9265" xr:uid="{00000000-0005-0000-0000-0000F32B0000}"/>
    <cellStyle name="Обычный 28 2 5 2 3 5" xfId="10251" xr:uid="{00000000-0005-0000-0000-0000F42B0000}"/>
    <cellStyle name="Обычный 28 2 5 2 3 6" xfId="11237" xr:uid="{00000000-0005-0000-0000-0000F52B0000}"/>
    <cellStyle name="Обычный 28 2 5 2 3 7" xfId="12223" xr:uid="{00000000-0005-0000-0000-0000F62B0000}"/>
    <cellStyle name="Обычный 28 2 5 2 3 8" xfId="13209" xr:uid="{00000000-0005-0000-0000-0000F72B0000}"/>
    <cellStyle name="Обычный 28 2 5 2 3 9" xfId="14209" xr:uid="{00000000-0005-0000-0000-0000F82B0000}"/>
    <cellStyle name="Обычный 28 2 5 2 4" xfId="6289" xr:uid="{00000000-0005-0000-0000-0000F92B0000}"/>
    <cellStyle name="Обычный 28 2 5 2 4 10" xfId="15208" xr:uid="{00000000-0005-0000-0000-0000FA2B0000}"/>
    <cellStyle name="Обычный 28 2 5 2 4 2" xfId="7286" xr:uid="{00000000-0005-0000-0000-0000FB2B0000}"/>
    <cellStyle name="Обычный 28 2 5 2 4 3" xfId="8292" xr:uid="{00000000-0005-0000-0000-0000FC2B0000}"/>
    <cellStyle name="Обычный 28 2 5 2 4 4" xfId="9278" xr:uid="{00000000-0005-0000-0000-0000FD2B0000}"/>
    <cellStyle name="Обычный 28 2 5 2 4 5" xfId="10264" xr:uid="{00000000-0005-0000-0000-0000FE2B0000}"/>
    <cellStyle name="Обычный 28 2 5 2 4 6" xfId="11250" xr:uid="{00000000-0005-0000-0000-0000FF2B0000}"/>
    <cellStyle name="Обычный 28 2 5 2 4 7" xfId="12236" xr:uid="{00000000-0005-0000-0000-0000002C0000}"/>
    <cellStyle name="Обычный 28 2 5 2 4 8" xfId="13222" xr:uid="{00000000-0005-0000-0000-0000012C0000}"/>
    <cellStyle name="Обычный 28 2 5 2 4 9" xfId="14222" xr:uid="{00000000-0005-0000-0000-0000022C0000}"/>
    <cellStyle name="Обычный 28 2 5 2 5" xfId="6302" xr:uid="{00000000-0005-0000-0000-0000032C0000}"/>
    <cellStyle name="Обычный 28 2 5 2 5 10" xfId="14235" xr:uid="{00000000-0005-0000-0000-0000042C0000}"/>
    <cellStyle name="Обычный 28 2 5 2 5 11" xfId="15221" xr:uid="{00000000-0005-0000-0000-0000052C0000}"/>
    <cellStyle name="Обычный 28 2 5 2 5 2" xfId="6320" xr:uid="{00000000-0005-0000-0000-0000062C0000}"/>
    <cellStyle name="Обычный 28 2 5 2 5 2 10" xfId="14253" xr:uid="{00000000-0005-0000-0000-0000072C0000}"/>
    <cellStyle name="Обычный 28 2 5 2 5 2 11" xfId="15239" xr:uid="{00000000-0005-0000-0000-0000082C0000}"/>
    <cellStyle name="Обычный 28 2 5 2 5 2 2" xfId="6334" xr:uid="{00000000-0005-0000-0000-0000092C0000}"/>
    <cellStyle name="Обычный 28 2 5 2 5 2 2 10" xfId="14267" xr:uid="{00000000-0005-0000-0000-00000A2C0000}"/>
    <cellStyle name="Обычный 28 2 5 2 5 2 2 11" xfId="15253" xr:uid="{00000000-0005-0000-0000-00000B2C0000}"/>
    <cellStyle name="Обычный 28 2 5 2 5 2 2 2" xfId="6352" xr:uid="{00000000-0005-0000-0000-00000C2C0000}"/>
    <cellStyle name="Обычный 28 2 5 2 5 2 2 2 10" xfId="14285" xr:uid="{00000000-0005-0000-0000-00000D2C0000}"/>
    <cellStyle name="Обычный 28 2 5 2 5 2 2 2 11" xfId="15271" xr:uid="{00000000-0005-0000-0000-00000E2C0000}"/>
    <cellStyle name="Обычный 28 2 5 2 5 2 2 2 2" xfId="6366" xr:uid="{00000000-0005-0000-0000-00000F2C0000}"/>
    <cellStyle name="Обычный 28 2 5 2 5 2 2 2 2 10" xfId="14299" xr:uid="{00000000-0005-0000-0000-0000102C0000}"/>
    <cellStyle name="Обычный 28 2 5 2 5 2 2 2 2 11" xfId="15285" xr:uid="{00000000-0005-0000-0000-0000112C0000}"/>
    <cellStyle name="Обычный 28 2 5 2 5 2 2 2 2 2" xfId="6381" xr:uid="{00000000-0005-0000-0000-0000122C0000}"/>
    <cellStyle name="Обычный 28 2 5 2 5 2 2 2 2 2 10" xfId="14314" xr:uid="{00000000-0005-0000-0000-0000132C0000}"/>
    <cellStyle name="Обычный 28 2 5 2 5 2 2 2 2 2 11" xfId="15300" xr:uid="{00000000-0005-0000-0000-0000142C0000}"/>
    <cellStyle name="Обычный 28 2 5 2 5 2 2 2 2 2 2" xfId="6400" xr:uid="{00000000-0005-0000-0000-0000152C0000}"/>
    <cellStyle name="Обычный 28 2 5 2 5 2 2 2 2 2 2 10" xfId="14333" xr:uid="{00000000-0005-0000-0000-0000162C0000}"/>
    <cellStyle name="Обычный 28 2 5 2 5 2 2 2 2 2 2 11" xfId="15319" xr:uid="{00000000-0005-0000-0000-0000172C0000}"/>
    <cellStyle name="Обычный 28 2 5 2 5 2 2 2 2 2 2 2" xfId="6410" xr:uid="{00000000-0005-0000-0000-0000182C0000}"/>
    <cellStyle name="Обычный 28 2 5 2 5 2 2 2 2 2 2 2 10" xfId="15329" xr:uid="{00000000-0005-0000-0000-0000192C0000}"/>
    <cellStyle name="Обычный 28 2 5 2 5 2 2 2 2 2 2 2 2" xfId="7407" xr:uid="{00000000-0005-0000-0000-00001A2C0000}"/>
    <cellStyle name="Обычный 28 2 5 2 5 2 2 2 2 2 2 2 3" xfId="8413" xr:uid="{00000000-0005-0000-0000-00001B2C0000}"/>
    <cellStyle name="Обычный 28 2 5 2 5 2 2 2 2 2 2 2 4" xfId="9399" xr:uid="{00000000-0005-0000-0000-00001C2C0000}"/>
    <cellStyle name="Обычный 28 2 5 2 5 2 2 2 2 2 2 2 5" xfId="10385" xr:uid="{00000000-0005-0000-0000-00001D2C0000}"/>
    <cellStyle name="Обычный 28 2 5 2 5 2 2 2 2 2 2 2 6" xfId="11371" xr:uid="{00000000-0005-0000-0000-00001E2C0000}"/>
    <cellStyle name="Обычный 28 2 5 2 5 2 2 2 2 2 2 2 7" xfId="12357" xr:uid="{00000000-0005-0000-0000-00001F2C0000}"/>
    <cellStyle name="Обычный 28 2 5 2 5 2 2 2 2 2 2 2 8" xfId="13343" xr:uid="{00000000-0005-0000-0000-0000202C0000}"/>
    <cellStyle name="Обычный 28 2 5 2 5 2 2 2 2 2 2 2 9" xfId="14343" xr:uid="{00000000-0005-0000-0000-0000212C0000}"/>
    <cellStyle name="Обычный 28 2 5 2 5 2 2 2 2 2 2 3" xfId="7397" xr:uid="{00000000-0005-0000-0000-0000222C0000}"/>
    <cellStyle name="Обычный 28 2 5 2 5 2 2 2 2 2 2 4" xfId="8403" xr:uid="{00000000-0005-0000-0000-0000232C0000}"/>
    <cellStyle name="Обычный 28 2 5 2 5 2 2 2 2 2 2 4 2 2 2" xfId="6965" xr:uid="{00000000-0005-0000-0000-0000242C0000}"/>
    <cellStyle name="Обычный 28 2 5 2 5 2 2 2 2 2 2 4 2 2 2 2" xfId="6967" xr:uid="{00000000-0005-0000-0000-0000252C0000}"/>
    <cellStyle name="Обычный 28 2 5 2 5 2 2 2 2 2 2 4 2 2 2 2 2" xfId="7973" xr:uid="{00000000-0005-0000-0000-0000262C0000}"/>
    <cellStyle name="Обычный 28 2 5 2 5 2 2 2 2 2 2 4 2 2 2 2 2 2" xfId="13901" xr:uid="{00000000-0005-0000-0000-0000272C0000}"/>
    <cellStyle name="Обычный 28 2 5 2 5 2 2 2 2 2 2 4 2 2 2 2 2 2 2" xfId="15887" xr:uid="{00000000-0005-0000-0000-0000282C0000}"/>
    <cellStyle name="Обычный 28 2 5 2 5 2 2 2 2 2 2 4 2 2 2 2 2 2 3" xfId="15902" xr:uid="{00000000-0005-0000-0000-0000292C0000}"/>
    <cellStyle name="Обычный 28 2 5 2 5 2 2 2 2 2 2 4 2 2 2 2 2 3" xfId="15901" xr:uid="{00000000-0005-0000-0000-00002A2C0000}"/>
    <cellStyle name="Обычный 28 2 5 2 5 2 2 2 2 2 2 4 2 2 2 3" xfId="7971" xr:uid="{00000000-0005-0000-0000-00002B2C0000}"/>
    <cellStyle name="Обычный 28 2 5 2 5 2 2 2 2 2 2 4 2 2 2 3 2" xfId="13899" xr:uid="{00000000-0005-0000-0000-00002C2C0000}"/>
    <cellStyle name="Обычный 28 2 5 2 5 2 2 2 2 2 2 4 2 2 2 3 2 2" xfId="15885" xr:uid="{00000000-0005-0000-0000-00002D2C0000}"/>
    <cellStyle name="Обычный 28 2 5 2 5 2 2 2 2 2 2 4 2 2 2 3 2 3" xfId="15899" xr:uid="{00000000-0005-0000-0000-00002E2C0000}"/>
    <cellStyle name="Обычный 28 2 5 2 5 2 2 2 2 2 2 5" xfId="9389" xr:uid="{00000000-0005-0000-0000-00002F2C0000}"/>
    <cellStyle name="Обычный 28 2 5 2 5 2 2 2 2 2 2 6" xfId="10375" xr:uid="{00000000-0005-0000-0000-0000302C0000}"/>
    <cellStyle name="Обычный 28 2 5 2 5 2 2 2 2 2 2 7" xfId="11361" xr:uid="{00000000-0005-0000-0000-0000312C0000}"/>
    <cellStyle name="Обычный 28 2 5 2 5 2 2 2 2 2 2 8" xfId="12347" xr:uid="{00000000-0005-0000-0000-0000322C0000}"/>
    <cellStyle name="Обычный 28 2 5 2 5 2 2 2 2 2 2 9" xfId="13333" xr:uid="{00000000-0005-0000-0000-0000332C0000}"/>
    <cellStyle name="Обычный 28 2 5 2 5 2 2 2 2 2 3" xfId="7378" xr:uid="{00000000-0005-0000-0000-0000342C0000}"/>
    <cellStyle name="Обычный 28 2 5 2 5 2 2 2 2 2 4" xfId="8384" xr:uid="{00000000-0005-0000-0000-0000352C0000}"/>
    <cellStyle name="Обычный 28 2 5 2 5 2 2 2 2 2 5" xfId="9370" xr:uid="{00000000-0005-0000-0000-0000362C0000}"/>
    <cellStyle name="Обычный 28 2 5 2 5 2 2 2 2 2 6" xfId="10356" xr:uid="{00000000-0005-0000-0000-0000372C0000}"/>
    <cellStyle name="Обычный 28 2 5 2 5 2 2 2 2 2 7" xfId="11342" xr:uid="{00000000-0005-0000-0000-0000382C0000}"/>
    <cellStyle name="Обычный 28 2 5 2 5 2 2 2 2 2 8" xfId="12328" xr:uid="{00000000-0005-0000-0000-0000392C0000}"/>
    <cellStyle name="Обычный 28 2 5 2 5 2 2 2 2 2 9" xfId="13314" xr:uid="{00000000-0005-0000-0000-00003A2C0000}"/>
    <cellStyle name="Обычный 28 2 5 2 5 2 2 2 2 3" xfId="7363" xr:uid="{00000000-0005-0000-0000-00003B2C0000}"/>
    <cellStyle name="Обычный 28 2 5 2 5 2 2 2 2 4" xfId="8369" xr:uid="{00000000-0005-0000-0000-00003C2C0000}"/>
    <cellStyle name="Обычный 28 2 5 2 5 2 2 2 2 5" xfId="9355" xr:uid="{00000000-0005-0000-0000-00003D2C0000}"/>
    <cellStyle name="Обычный 28 2 5 2 5 2 2 2 2 6" xfId="10341" xr:uid="{00000000-0005-0000-0000-00003E2C0000}"/>
    <cellStyle name="Обычный 28 2 5 2 5 2 2 2 2 7" xfId="11327" xr:uid="{00000000-0005-0000-0000-00003F2C0000}"/>
    <cellStyle name="Обычный 28 2 5 2 5 2 2 2 2 8" xfId="12313" xr:uid="{00000000-0005-0000-0000-0000402C0000}"/>
    <cellStyle name="Обычный 28 2 5 2 5 2 2 2 2 9" xfId="13299" xr:uid="{00000000-0005-0000-0000-0000412C0000}"/>
    <cellStyle name="Обычный 28 2 5 2 5 2 2 2 3" xfId="7349" xr:uid="{00000000-0005-0000-0000-0000422C0000}"/>
    <cellStyle name="Обычный 28 2 5 2 5 2 2 2 4" xfId="8355" xr:uid="{00000000-0005-0000-0000-0000432C0000}"/>
    <cellStyle name="Обычный 28 2 5 2 5 2 2 2 5" xfId="9341" xr:uid="{00000000-0005-0000-0000-0000442C0000}"/>
    <cellStyle name="Обычный 28 2 5 2 5 2 2 2 6" xfId="10327" xr:uid="{00000000-0005-0000-0000-0000452C0000}"/>
    <cellStyle name="Обычный 28 2 5 2 5 2 2 2 7" xfId="11313" xr:uid="{00000000-0005-0000-0000-0000462C0000}"/>
    <cellStyle name="Обычный 28 2 5 2 5 2 2 2 8" xfId="12299" xr:uid="{00000000-0005-0000-0000-0000472C0000}"/>
    <cellStyle name="Обычный 28 2 5 2 5 2 2 2 9" xfId="13285" xr:uid="{00000000-0005-0000-0000-0000482C0000}"/>
    <cellStyle name="Обычный 28 2 5 2 5 2 2 3" xfId="7331" xr:uid="{00000000-0005-0000-0000-0000492C0000}"/>
    <cellStyle name="Обычный 28 2 5 2 5 2 2 4" xfId="8337" xr:uid="{00000000-0005-0000-0000-00004A2C0000}"/>
    <cellStyle name="Обычный 28 2 5 2 5 2 2 5" xfId="9323" xr:uid="{00000000-0005-0000-0000-00004B2C0000}"/>
    <cellStyle name="Обычный 28 2 5 2 5 2 2 6" xfId="10309" xr:uid="{00000000-0005-0000-0000-00004C2C0000}"/>
    <cellStyle name="Обычный 28 2 5 2 5 2 2 7" xfId="11295" xr:uid="{00000000-0005-0000-0000-00004D2C0000}"/>
    <cellStyle name="Обычный 28 2 5 2 5 2 2 8" xfId="12281" xr:uid="{00000000-0005-0000-0000-00004E2C0000}"/>
    <cellStyle name="Обычный 28 2 5 2 5 2 2 9" xfId="13267" xr:uid="{00000000-0005-0000-0000-00004F2C0000}"/>
    <cellStyle name="Обычный 28 2 5 2 5 2 3" xfId="7317" xr:uid="{00000000-0005-0000-0000-0000502C0000}"/>
    <cellStyle name="Обычный 28 2 5 2 5 2 4" xfId="8323" xr:uid="{00000000-0005-0000-0000-0000512C0000}"/>
    <cellStyle name="Обычный 28 2 5 2 5 2 5" xfId="9309" xr:uid="{00000000-0005-0000-0000-0000522C0000}"/>
    <cellStyle name="Обычный 28 2 5 2 5 2 6" xfId="10295" xr:uid="{00000000-0005-0000-0000-0000532C0000}"/>
    <cellStyle name="Обычный 28 2 5 2 5 2 7" xfId="11281" xr:uid="{00000000-0005-0000-0000-0000542C0000}"/>
    <cellStyle name="Обычный 28 2 5 2 5 2 8" xfId="12267" xr:uid="{00000000-0005-0000-0000-0000552C0000}"/>
    <cellStyle name="Обычный 28 2 5 2 5 2 9" xfId="13253" xr:uid="{00000000-0005-0000-0000-0000562C0000}"/>
    <cellStyle name="Обычный 28 2 5 2 5 3" xfId="7299" xr:uid="{00000000-0005-0000-0000-0000572C0000}"/>
    <cellStyle name="Обычный 28 2 5 2 5 4" xfId="8305" xr:uid="{00000000-0005-0000-0000-0000582C0000}"/>
    <cellStyle name="Обычный 28 2 5 2 5 5" xfId="9291" xr:uid="{00000000-0005-0000-0000-0000592C0000}"/>
    <cellStyle name="Обычный 28 2 5 2 5 6" xfId="10277" xr:uid="{00000000-0005-0000-0000-00005A2C0000}"/>
    <cellStyle name="Обычный 28 2 5 2 5 7" xfId="11263" xr:uid="{00000000-0005-0000-0000-00005B2C0000}"/>
    <cellStyle name="Обычный 28 2 5 2 5 8" xfId="12249" xr:uid="{00000000-0005-0000-0000-00005C2C0000}"/>
    <cellStyle name="Обычный 28 2 5 2 5 9" xfId="13235" xr:uid="{00000000-0005-0000-0000-00005D2C0000}"/>
    <cellStyle name="Обычный 28 2 5 2 6" xfId="7241" xr:uid="{00000000-0005-0000-0000-00005E2C0000}"/>
    <cellStyle name="Обычный 28 2 5 2 7" xfId="8247" xr:uid="{00000000-0005-0000-0000-00005F2C0000}"/>
    <cellStyle name="Обычный 28 2 5 2 8" xfId="9233" xr:uid="{00000000-0005-0000-0000-0000602C0000}"/>
    <cellStyle name="Обычный 28 2 5 2 9" xfId="10219" xr:uid="{00000000-0005-0000-0000-0000612C0000}"/>
    <cellStyle name="Обычный 28 2 5 3" xfId="6681" xr:uid="{00000000-0005-0000-0000-0000622C0000}"/>
    <cellStyle name="Обычный 28 2 5 3 10" xfId="15600" xr:uid="{00000000-0005-0000-0000-0000632C0000}"/>
    <cellStyle name="Обычный 28 2 5 3 2" xfId="7678" xr:uid="{00000000-0005-0000-0000-0000642C0000}"/>
    <cellStyle name="Обычный 28 2 5 3 3" xfId="8684" xr:uid="{00000000-0005-0000-0000-0000652C0000}"/>
    <cellStyle name="Обычный 28 2 5 3 4" xfId="9670" xr:uid="{00000000-0005-0000-0000-0000662C0000}"/>
    <cellStyle name="Обычный 28 2 5 3 5" xfId="10656" xr:uid="{00000000-0005-0000-0000-0000672C0000}"/>
    <cellStyle name="Обычный 28 2 5 3 6" xfId="11642" xr:uid="{00000000-0005-0000-0000-0000682C0000}"/>
    <cellStyle name="Обычный 28 2 5 3 7" xfId="12628" xr:uid="{00000000-0005-0000-0000-0000692C0000}"/>
    <cellStyle name="Обычный 28 2 5 3 8" xfId="13614" xr:uid="{00000000-0005-0000-0000-00006A2C0000}"/>
    <cellStyle name="Обычный 28 2 5 3 9" xfId="14614" xr:uid="{00000000-0005-0000-0000-00006B2C0000}"/>
    <cellStyle name="Обычный 28 2 5 4" xfId="6951" xr:uid="{00000000-0005-0000-0000-00006C2C0000}"/>
    <cellStyle name="Обычный 28 2 5 4 10" xfId="15870" xr:uid="{00000000-0005-0000-0000-00006D2C0000}"/>
    <cellStyle name="Обычный 28 2 5 4 2" xfId="7948" xr:uid="{00000000-0005-0000-0000-00006E2C0000}"/>
    <cellStyle name="Обычный 28 2 5 4 3" xfId="8954" xr:uid="{00000000-0005-0000-0000-00006F2C0000}"/>
    <cellStyle name="Обычный 28 2 5 4 4" xfId="9940" xr:uid="{00000000-0005-0000-0000-0000702C0000}"/>
    <cellStyle name="Обычный 28 2 5 4 5" xfId="10926" xr:uid="{00000000-0005-0000-0000-0000712C0000}"/>
    <cellStyle name="Обычный 28 2 5 4 6" xfId="11912" xr:uid="{00000000-0005-0000-0000-0000722C0000}"/>
    <cellStyle name="Обычный 28 2 5 4 7" xfId="12898" xr:uid="{00000000-0005-0000-0000-0000732C0000}"/>
    <cellStyle name="Обычный 28 2 5 4 8" xfId="13884" xr:uid="{00000000-0005-0000-0000-0000742C0000}"/>
    <cellStyle name="Обычный 28 2 5 4 9" xfId="14884" xr:uid="{00000000-0005-0000-0000-0000752C0000}"/>
    <cellStyle name="Обычный 28 2 5 5" xfId="7234" xr:uid="{00000000-0005-0000-0000-0000762C0000}"/>
    <cellStyle name="Обычный 28 2 5 6" xfId="8240" xr:uid="{00000000-0005-0000-0000-0000772C0000}"/>
    <cellStyle name="Обычный 28 2 5 7" xfId="9226" xr:uid="{00000000-0005-0000-0000-0000782C0000}"/>
    <cellStyle name="Обычный 28 2 5 7 2" xfId="6260" xr:uid="{00000000-0005-0000-0000-0000792C0000}"/>
    <cellStyle name="Обычный 28 2 5 7 2 10" xfId="12207" xr:uid="{00000000-0005-0000-0000-00007A2C0000}"/>
    <cellStyle name="Обычный 28 2 5 7 2 11" xfId="13193" xr:uid="{00000000-0005-0000-0000-00007B2C0000}"/>
    <cellStyle name="Обычный 28 2 5 7 2 12" xfId="14193" xr:uid="{00000000-0005-0000-0000-00007C2C0000}"/>
    <cellStyle name="Обычный 28 2 5 7 2 13" xfId="15179" xr:uid="{00000000-0005-0000-0000-00007D2C0000}"/>
    <cellStyle name="Обычный 28 2 5 7 2 2" xfId="6278" xr:uid="{00000000-0005-0000-0000-00007E2C0000}"/>
    <cellStyle name="Обычный 28 2 5 7 2 2 10" xfId="15197" xr:uid="{00000000-0005-0000-0000-00007F2C0000}"/>
    <cellStyle name="Обычный 28 2 5 7 2 2 2" xfId="7275" xr:uid="{00000000-0005-0000-0000-0000802C0000}"/>
    <cellStyle name="Обычный 28 2 5 7 2 2 3" xfId="8281" xr:uid="{00000000-0005-0000-0000-0000812C0000}"/>
    <cellStyle name="Обычный 28 2 5 7 2 2 4" xfId="9267" xr:uid="{00000000-0005-0000-0000-0000822C0000}"/>
    <cellStyle name="Обычный 28 2 5 7 2 2 5" xfId="10253" xr:uid="{00000000-0005-0000-0000-0000832C0000}"/>
    <cellStyle name="Обычный 28 2 5 7 2 2 6" xfId="11239" xr:uid="{00000000-0005-0000-0000-0000842C0000}"/>
    <cellStyle name="Обычный 28 2 5 7 2 2 7" xfId="12225" xr:uid="{00000000-0005-0000-0000-0000852C0000}"/>
    <cellStyle name="Обычный 28 2 5 7 2 2 8" xfId="13211" xr:uid="{00000000-0005-0000-0000-0000862C0000}"/>
    <cellStyle name="Обычный 28 2 5 7 2 2 9" xfId="14211" xr:uid="{00000000-0005-0000-0000-0000872C0000}"/>
    <cellStyle name="Обычный 28 2 5 7 2 3" xfId="6291" xr:uid="{00000000-0005-0000-0000-0000882C0000}"/>
    <cellStyle name="Обычный 28 2 5 7 2 3 10" xfId="15210" xr:uid="{00000000-0005-0000-0000-0000892C0000}"/>
    <cellStyle name="Обычный 28 2 5 7 2 3 2" xfId="7288" xr:uid="{00000000-0005-0000-0000-00008A2C0000}"/>
    <cellStyle name="Обычный 28 2 5 7 2 3 2 2 2" xfId="6372" xr:uid="{00000000-0005-0000-0000-00008B2C0000}"/>
    <cellStyle name="Обычный 28 2 5 7 2 3 2 2 2 10" xfId="14305" xr:uid="{00000000-0005-0000-0000-00008C2C0000}"/>
    <cellStyle name="Обычный 28 2 5 7 2 3 2 2 2 11" xfId="15291" xr:uid="{00000000-0005-0000-0000-00008D2C0000}"/>
    <cellStyle name="Обычный 28 2 5 7 2 3 2 2 2 2" xfId="6387" xr:uid="{00000000-0005-0000-0000-00008E2C0000}"/>
    <cellStyle name="Обычный 28 2 5 7 2 3 2 2 2 2 10" xfId="15306" xr:uid="{00000000-0005-0000-0000-00008F2C0000}"/>
    <cellStyle name="Обычный 28 2 5 7 2 3 2 2 2 2 2" xfId="7384" xr:uid="{00000000-0005-0000-0000-0000902C0000}"/>
    <cellStyle name="Обычный 28 2 5 7 2 3 2 2 2 2 2 2" xfId="6402" xr:uid="{00000000-0005-0000-0000-0000912C0000}"/>
    <cellStyle name="Обычный 28 2 5 7 2 3 2 2 2 2 2 2 10" xfId="14335" xr:uid="{00000000-0005-0000-0000-0000922C0000}"/>
    <cellStyle name="Обычный 28 2 5 7 2 3 2 2 2 2 2 2 11" xfId="15321" xr:uid="{00000000-0005-0000-0000-0000932C0000}"/>
    <cellStyle name="Обычный 28 2 5 7 2 3 2 2 2 2 2 2 2" xfId="6412" xr:uid="{00000000-0005-0000-0000-0000942C0000}"/>
    <cellStyle name="Обычный 28 2 5 7 2 3 2 2 2 2 2 2 2 10" xfId="15331" xr:uid="{00000000-0005-0000-0000-0000952C0000}"/>
    <cellStyle name="Обычный 28 2 5 7 2 3 2 2 2 2 2 2 2 2" xfId="7409" xr:uid="{00000000-0005-0000-0000-0000962C0000}"/>
    <cellStyle name="Обычный 28 2 5 7 2 3 2 2 2 2 2 2 2 3" xfId="8415" xr:uid="{00000000-0005-0000-0000-0000972C0000}"/>
    <cellStyle name="Обычный 28 2 5 7 2 3 2 2 2 2 2 2 2 4" xfId="9401" xr:uid="{00000000-0005-0000-0000-0000982C0000}"/>
    <cellStyle name="Обычный 28 2 5 7 2 3 2 2 2 2 2 2 2 5" xfId="10387" xr:uid="{00000000-0005-0000-0000-0000992C0000}"/>
    <cellStyle name="Обычный 28 2 5 7 2 3 2 2 2 2 2 2 2 6" xfId="11373" xr:uid="{00000000-0005-0000-0000-00009A2C0000}"/>
    <cellStyle name="Обычный 28 2 5 7 2 3 2 2 2 2 2 2 2 7" xfId="12359" xr:uid="{00000000-0005-0000-0000-00009B2C0000}"/>
    <cellStyle name="Обычный 28 2 5 7 2 3 2 2 2 2 2 2 2 8" xfId="13345" xr:uid="{00000000-0005-0000-0000-00009C2C0000}"/>
    <cellStyle name="Обычный 28 2 5 7 2 3 2 2 2 2 2 2 2 9" xfId="14345" xr:uid="{00000000-0005-0000-0000-00009D2C0000}"/>
    <cellStyle name="Обычный 28 2 5 7 2 3 2 2 2 2 2 2 3" xfId="7399" xr:uid="{00000000-0005-0000-0000-00009E2C0000}"/>
    <cellStyle name="Обычный 28 2 5 7 2 3 2 2 2 2 2 2 4" xfId="8405" xr:uid="{00000000-0005-0000-0000-00009F2C0000}"/>
    <cellStyle name="Обычный 28 2 5 7 2 3 2 2 2 2 2 2 4 2 2 2 2" xfId="6969" xr:uid="{00000000-0005-0000-0000-0000A02C0000}"/>
    <cellStyle name="Обычный 28 2 5 7 2 3 2 2 2 2 2 2 4 2 2 2 2 2" xfId="7975" xr:uid="{00000000-0005-0000-0000-0000A12C0000}"/>
    <cellStyle name="Обычный 28 2 5 7 2 3 2 2 2 2 2 2 4 2 2 2 2 2 2" xfId="13903" xr:uid="{00000000-0005-0000-0000-0000A22C0000}"/>
    <cellStyle name="Обычный 28 2 5 7 2 3 2 2 2 2 2 2 4 2 2 2 2 2 2 2" xfId="15888" xr:uid="{00000000-0005-0000-0000-0000A32C0000}"/>
    <cellStyle name="Обычный 28 2 5 7 2 3 2 2 2 2 2 2 4 2 2 2 2 2 2 3" xfId="15903" xr:uid="{00000000-0005-0000-0000-0000A42C0000}"/>
    <cellStyle name="Обычный 28 2 5 7 2 3 2 2 2 2 2 2 5" xfId="9391" xr:uid="{00000000-0005-0000-0000-0000A52C0000}"/>
    <cellStyle name="Обычный 28 2 5 7 2 3 2 2 2 2 2 2 6" xfId="10377" xr:uid="{00000000-0005-0000-0000-0000A62C0000}"/>
    <cellStyle name="Обычный 28 2 5 7 2 3 2 2 2 2 2 2 7" xfId="11363" xr:uid="{00000000-0005-0000-0000-0000A72C0000}"/>
    <cellStyle name="Обычный 28 2 5 7 2 3 2 2 2 2 2 2 8" xfId="12349" xr:uid="{00000000-0005-0000-0000-0000A82C0000}"/>
    <cellStyle name="Обычный 28 2 5 7 2 3 2 2 2 2 2 2 9" xfId="13335" xr:uid="{00000000-0005-0000-0000-0000A92C0000}"/>
    <cellStyle name="Обычный 28 2 5 7 2 3 2 2 2 2 3" xfId="8390" xr:uid="{00000000-0005-0000-0000-0000AA2C0000}"/>
    <cellStyle name="Обычный 28 2 5 7 2 3 2 2 2 2 4" xfId="9376" xr:uid="{00000000-0005-0000-0000-0000AB2C0000}"/>
    <cellStyle name="Обычный 28 2 5 7 2 3 2 2 2 2 5" xfId="10362" xr:uid="{00000000-0005-0000-0000-0000AC2C0000}"/>
    <cellStyle name="Обычный 28 2 5 7 2 3 2 2 2 2 6" xfId="11348" xr:uid="{00000000-0005-0000-0000-0000AD2C0000}"/>
    <cellStyle name="Обычный 28 2 5 7 2 3 2 2 2 2 7" xfId="12334" xr:uid="{00000000-0005-0000-0000-0000AE2C0000}"/>
    <cellStyle name="Обычный 28 2 5 7 2 3 2 2 2 2 8" xfId="13320" xr:uid="{00000000-0005-0000-0000-0000AF2C0000}"/>
    <cellStyle name="Обычный 28 2 5 7 2 3 2 2 2 2 9" xfId="14320" xr:uid="{00000000-0005-0000-0000-0000B02C0000}"/>
    <cellStyle name="Обычный 28 2 5 7 2 3 2 2 2 3" xfId="7369" xr:uid="{00000000-0005-0000-0000-0000B12C0000}"/>
    <cellStyle name="Обычный 28 2 5 7 2 3 2 2 2 4" xfId="8375" xr:uid="{00000000-0005-0000-0000-0000B22C0000}"/>
    <cellStyle name="Обычный 28 2 5 7 2 3 2 2 2 5" xfId="9361" xr:uid="{00000000-0005-0000-0000-0000B32C0000}"/>
    <cellStyle name="Обычный 28 2 5 7 2 3 2 2 2 6" xfId="10347" xr:uid="{00000000-0005-0000-0000-0000B42C0000}"/>
    <cellStyle name="Обычный 28 2 5 7 2 3 2 2 2 7" xfId="11333" xr:uid="{00000000-0005-0000-0000-0000B52C0000}"/>
    <cellStyle name="Обычный 28 2 5 7 2 3 2 2 2 8" xfId="12319" xr:uid="{00000000-0005-0000-0000-0000B62C0000}"/>
    <cellStyle name="Обычный 28 2 5 7 2 3 2 2 2 9" xfId="13305" xr:uid="{00000000-0005-0000-0000-0000B72C0000}"/>
    <cellStyle name="Обычный 28 2 5 7 2 3 3" xfId="8294" xr:uid="{00000000-0005-0000-0000-0000B82C0000}"/>
    <cellStyle name="Обычный 28 2 5 7 2 3 4" xfId="9280" xr:uid="{00000000-0005-0000-0000-0000B92C0000}"/>
    <cellStyle name="Обычный 28 2 5 7 2 3 5" xfId="10266" xr:uid="{00000000-0005-0000-0000-0000BA2C0000}"/>
    <cellStyle name="Обычный 28 2 5 7 2 3 6" xfId="11252" xr:uid="{00000000-0005-0000-0000-0000BB2C0000}"/>
    <cellStyle name="Обычный 28 2 5 7 2 3 7" xfId="12238" xr:uid="{00000000-0005-0000-0000-0000BC2C0000}"/>
    <cellStyle name="Обычный 28 2 5 7 2 3 8" xfId="13224" xr:uid="{00000000-0005-0000-0000-0000BD2C0000}"/>
    <cellStyle name="Обычный 28 2 5 7 2 3 9" xfId="14224" xr:uid="{00000000-0005-0000-0000-0000BE2C0000}"/>
    <cellStyle name="Обычный 28 2 5 7 2 4" xfId="6304" xr:uid="{00000000-0005-0000-0000-0000BF2C0000}"/>
    <cellStyle name="Обычный 28 2 5 7 2 4 10" xfId="14237" xr:uid="{00000000-0005-0000-0000-0000C02C0000}"/>
    <cellStyle name="Обычный 28 2 5 7 2 4 11" xfId="15223" xr:uid="{00000000-0005-0000-0000-0000C12C0000}"/>
    <cellStyle name="Обычный 28 2 5 7 2 4 2" xfId="6323" xr:uid="{00000000-0005-0000-0000-0000C22C0000}"/>
    <cellStyle name="Обычный 28 2 5 7 2 4 2 10" xfId="14256" xr:uid="{00000000-0005-0000-0000-0000C32C0000}"/>
    <cellStyle name="Обычный 28 2 5 7 2 4 2 11" xfId="15242" xr:uid="{00000000-0005-0000-0000-0000C42C0000}"/>
    <cellStyle name="Обычный 28 2 5 7 2 4 2 2" xfId="6337" xr:uid="{00000000-0005-0000-0000-0000C52C0000}"/>
    <cellStyle name="Обычный 28 2 5 7 2 4 2 2 10" xfId="14270" xr:uid="{00000000-0005-0000-0000-0000C62C0000}"/>
    <cellStyle name="Обычный 28 2 5 7 2 4 2 2 11" xfId="15256" xr:uid="{00000000-0005-0000-0000-0000C72C0000}"/>
    <cellStyle name="Обычный 28 2 5 7 2 4 2 2 2" xfId="6355" xr:uid="{00000000-0005-0000-0000-0000C82C0000}"/>
    <cellStyle name="Обычный 28 2 5 7 2 4 2 2 2 10" xfId="14288" xr:uid="{00000000-0005-0000-0000-0000C92C0000}"/>
    <cellStyle name="Обычный 28 2 5 7 2 4 2 2 2 11" xfId="15274" xr:uid="{00000000-0005-0000-0000-0000CA2C0000}"/>
    <cellStyle name="Обычный 28 2 5 7 2 4 2 2 2 2" xfId="6369" xr:uid="{00000000-0005-0000-0000-0000CB2C0000}"/>
    <cellStyle name="Обычный 28 2 5 7 2 4 2 2 2 2 10" xfId="14302" xr:uid="{00000000-0005-0000-0000-0000CC2C0000}"/>
    <cellStyle name="Обычный 28 2 5 7 2 4 2 2 2 2 11" xfId="15288" xr:uid="{00000000-0005-0000-0000-0000CD2C0000}"/>
    <cellStyle name="Обычный 28 2 5 7 2 4 2 2 2 2 2" xfId="6384" xr:uid="{00000000-0005-0000-0000-0000CE2C0000}"/>
    <cellStyle name="Обычный 28 2 5 7 2 4 2 2 2 2 2 10" xfId="15303" xr:uid="{00000000-0005-0000-0000-0000CF2C0000}"/>
    <cellStyle name="Обычный 28 2 5 7 2 4 2 2 2 2 2 2" xfId="7381" xr:uid="{00000000-0005-0000-0000-0000D02C0000}"/>
    <cellStyle name="Обычный 28 2 5 7 2 4 2 2 2 2 2 3" xfId="8387" xr:uid="{00000000-0005-0000-0000-0000D12C0000}"/>
    <cellStyle name="Обычный 28 2 5 7 2 4 2 2 2 2 2 4" xfId="9373" xr:uid="{00000000-0005-0000-0000-0000D22C0000}"/>
    <cellStyle name="Обычный 28 2 5 7 2 4 2 2 2 2 2 5" xfId="10359" xr:uid="{00000000-0005-0000-0000-0000D32C0000}"/>
    <cellStyle name="Обычный 28 2 5 7 2 4 2 2 2 2 2 6" xfId="11345" xr:uid="{00000000-0005-0000-0000-0000D42C0000}"/>
    <cellStyle name="Обычный 28 2 5 7 2 4 2 2 2 2 2 7" xfId="12331" xr:uid="{00000000-0005-0000-0000-0000D52C0000}"/>
    <cellStyle name="Обычный 28 2 5 7 2 4 2 2 2 2 2 8" xfId="13317" xr:uid="{00000000-0005-0000-0000-0000D62C0000}"/>
    <cellStyle name="Обычный 28 2 5 7 2 4 2 2 2 2 2 9" xfId="14317" xr:uid="{00000000-0005-0000-0000-0000D72C0000}"/>
    <cellStyle name="Обычный 28 2 5 7 2 4 2 2 2 2 3" xfId="7366" xr:uid="{00000000-0005-0000-0000-0000D82C0000}"/>
    <cellStyle name="Обычный 28 2 5 7 2 4 2 2 2 2 4" xfId="8372" xr:uid="{00000000-0005-0000-0000-0000D92C0000}"/>
    <cellStyle name="Обычный 28 2 5 7 2 4 2 2 2 2 5" xfId="9358" xr:uid="{00000000-0005-0000-0000-0000DA2C0000}"/>
    <cellStyle name="Обычный 28 2 5 7 2 4 2 2 2 2 6" xfId="10344" xr:uid="{00000000-0005-0000-0000-0000DB2C0000}"/>
    <cellStyle name="Обычный 28 2 5 7 2 4 2 2 2 2 7" xfId="11330" xr:uid="{00000000-0005-0000-0000-0000DC2C0000}"/>
    <cellStyle name="Обычный 28 2 5 7 2 4 2 2 2 2 8" xfId="12316" xr:uid="{00000000-0005-0000-0000-0000DD2C0000}"/>
    <cellStyle name="Обычный 28 2 5 7 2 4 2 2 2 2 9" xfId="13302" xr:uid="{00000000-0005-0000-0000-0000DE2C0000}"/>
    <cellStyle name="Обычный 28 2 5 7 2 4 2 2 2 3" xfId="7352" xr:uid="{00000000-0005-0000-0000-0000DF2C0000}"/>
    <cellStyle name="Обычный 28 2 5 7 2 4 2 2 2 4" xfId="8358" xr:uid="{00000000-0005-0000-0000-0000E02C0000}"/>
    <cellStyle name="Обычный 28 2 5 7 2 4 2 2 2 5" xfId="9344" xr:uid="{00000000-0005-0000-0000-0000E12C0000}"/>
    <cellStyle name="Обычный 28 2 5 7 2 4 2 2 2 6" xfId="10330" xr:uid="{00000000-0005-0000-0000-0000E22C0000}"/>
    <cellStyle name="Обычный 28 2 5 7 2 4 2 2 2 7" xfId="11316" xr:uid="{00000000-0005-0000-0000-0000E32C0000}"/>
    <cellStyle name="Обычный 28 2 5 7 2 4 2 2 2 8" xfId="12302" xr:uid="{00000000-0005-0000-0000-0000E42C0000}"/>
    <cellStyle name="Обычный 28 2 5 7 2 4 2 2 2 9" xfId="13288" xr:uid="{00000000-0005-0000-0000-0000E52C0000}"/>
    <cellStyle name="Обычный 28 2 5 7 2 4 2 2 3" xfId="7334" xr:uid="{00000000-0005-0000-0000-0000E62C0000}"/>
    <cellStyle name="Обычный 28 2 5 7 2 4 2 2 4" xfId="8340" xr:uid="{00000000-0005-0000-0000-0000E72C0000}"/>
    <cellStyle name="Обычный 28 2 5 7 2 4 2 2 5" xfId="9326" xr:uid="{00000000-0005-0000-0000-0000E82C0000}"/>
    <cellStyle name="Обычный 28 2 5 7 2 4 2 2 6" xfId="10312" xr:uid="{00000000-0005-0000-0000-0000E92C0000}"/>
    <cellStyle name="Обычный 28 2 5 7 2 4 2 2 7" xfId="11298" xr:uid="{00000000-0005-0000-0000-0000EA2C0000}"/>
    <cellStyle name="Обычный 28 2 5 7 2 4 2 2 8" xfId="12284" xr:uid="{00000000-0005-0000-0000-0000EB2C0000}"/>
    <cellStyle name="Обычный 28 2 5 7 2 4 2 2 9" xfId="13270" xr:uid="{00000000-0005-0000-0000-0000EC2C0000}"/>
    <cellStyle name="Обычный 28 2 5 7 2 4 2 3" xfId="7320" xr:uid="{00000000-0005-0000-0000-0000ED2C0000}"/>
    <cellStyle name="Обычный 28 2 5 7 2 4 2 4" xfId="8326" xr:uid="{00000000-0005-0000-0000-0000EE2C0000}"/>
    <cellStyle name="Обычный 28 2 5 7 2 4 2 5" xfId="9312" xr:uid="{00000000-0005-0000-0000-0000EF2C0000}"/>
    <cellStyle name="Обычный 28 2 5 7 2 4 2 6" xfId="10298" xr:uid="{00000000-0005-0000-0000-0000F02C0000}"/>
    <cellStyle name="Обычный 28 2 5 7 2 4 2 7" xfId="11284" xr:uid="{00000000-0005-0000-0000-0000F12C0000}"/>
    <cellStyle name="Обычный 28 2 5 7 2 4 2 8" xfId="12270" xr:uid="{00000000-0005-0000-0000-0000F22C0000}"/>
    <cellStyle name="Обычный 28 2 5 7 2 4 2 9" xfId="13256" xr:uid="{00000000-0005-0000-0000-0000F32C0000}"/>
    <cellStyle name="Обычный 28 2 5 7 2 4 3" xfId="7301" xr:uid="{00000000-0005-0000-0000-0000F42C0000}"/>
    <cellStyle name="Обычный 28 2 5 7 2 4 4" xfId="8307" xr:uid="{00000000-0005-0000-0000-0000F52C0000}"/>
    <cellStyle name="Обычный 28 2 5 7 2 4 5" xfId="9293" xr:uid="{00000000-0005-0000-0000-0000F62C0000}"/>
    <cellStyle name="Обычный 28 2 5 7 2 4 6" xfId="10279" xr:uid="{00000000-0005-0000-0000-0000F72C0000}"/>
    <cellStyle name="Обычный 28 2 5 7 2 4 7" xfId="11265" xr:uid="{00000000-0005-0000-0000-0000F82C0000}"/>
    <cellStyle name="Обычный 28 2 5 7 2 4 8" xfId="12251" xr:uid="{00000000-0005-0000-0000-0000F92C0000}"/>
    <cellStyle name="Обычный 28 2 5 7 2 4 9" xfId="13237" xr:uid="{00000000-0005-0000-0000-0000FA2C0000}"/>
    <cellStyle name="Обычный 28 2 5 7 2 5" xfId="7257" xr:uid="{00000000-0005-0000-0000-0000FB2C0000}"/>
    <cellStyle name="Обычный 28 2 5 7 2 6" xfId="8263" xr:uid="{00000000-0005-0000-0000-0000FC2C0000}"/>
    <cellStyle name="Обычный 28 2 5 7 2 7" xfId="9249" xr:uid="{00000000-0005-0000-0000-0000FD2C0000}"/>
    <cellStyle name="Обычный 28 2 5 7 2 8" xfId="10235" xr:uid="{00000000-0005-0000-0000-0000FE2C0000}"/>
    <cellStyle name="Обычный 28 2 5 7 2 9" xfId="11221" xr:uid="{00000000-0005-0000-0000-0000FF2C0000}"/>
    <cellStyle name="Обычный 28 2 5 8" xfId="10212" xr:uid="{00000000-0005-0000-0000-0000002D0000}"/>
    <cellStyle name="Обычный 28 2 5 9" xfId="11198" xr:uid="{00000000-0005-0000-0000-0000012D0000}"/>
    <cellStyle name="Обычный 28 2 6" xfId="6243" xr:uid="{00000000-0005-0000-0000-0000022D0000}"/>
    <cellStyle name="Обычный 28 2 6 10" xfId="15162" xr:uid="{00000000-0005-0000-0000-0000032D0000}"/>
    <cellStyle name="Обычный 28 2 6 2" xfId="7240" xr:uid="{00000000-0005-0000-0000-0000042D0000}"/>
    <cellStyle name="Обычный 28 2 6 3" xfId="8246" xr:uid="{00000000-0005-0000-0000-0000052D0000}"/>
    <cellStyle name="Обычный 28 2 6 4" xfId="9232" xr:uid="{00000000-0005-0000-0000-0000062D0000}"/>
    <cellStyle name="Обычный 28 2 6 5" xfId="10218" xr:uid="{00000000-0005-0000-0000-0000072D0000}"/>
    <cellStyle name="Обычный 28 2 6 6" xfId="11204" xr:uid="{00000000-0005-0000-0000-0000082D0000}"/>
    <cellStyle name="Обычный 28 2 6 7" xfId="12190" xr:uid="{00000000-0005-0000-0000-0000092D0000}"/>
    <cellStyle name="Обычный 28 2 6 8" xfId="13176" xr:uid="{00000000-0005-0000-0000-00000A2D0000}"/>
    <cellStyle name="Обычный 28 2 6 9" xfId="14176" xr:uid="{00000000-0005-0000-0000-00000B2D0000}"/>
    <cellStyle name="Обычный 28 2 7" xfId="6605" xr:uid="{00000000-0005-0000-0000-00000C2D0000}"/>
    <cellStyle name="Обычный 28 2 7 10" xfId="15524" xr:uid="{00000000-0005-0000-0000-00000D2D0000}"/>
    <cellStyle name="Обычный 28 2 7 2" xfId="7602" xr:uid="{00000000-0005-0000-0000-00000E2D0000}"/>
    <cellStyle name="Обычный 28 2 7 3" xfId="8608" xr:uid="{00000000-0005-0000-0000-00000F2D0000}"/>
    <cellStyle name="Обычный 28 2 7 4" xfId="9594" xr:uid="{00000000-0005-0000-0000-0000102D0000}"/>
    <cellStyle name="Обычный 28 2 7 5" xfId="10580" xr:uid="{00000000-0005-0000-0000-0000112D0000}"/>
    <cellStyle name="Обычный 28 2 7 6" xfId="11566" xr:uid="{00000000-0005-0000-0000-0000122D0000}"/>
    <cellStyle name="Обычный 28 2 7 7" xfId="12552" xr:uid="{00000000-0005-0000-0000-0000132D0000}"/>
    <cellStyle name="Обычный 28 2 7 8" xfId="13538" xr:uid="{00000000-0005-0000-0000-0000142D0000}"/>
    <cellStyle name="Обычный 28 2 7 9" xfId="14538" xr:uid="{00000000-0005-0000-0000-0000152D0000}"/>
    <cellStyle name="Обычный 28 2 8" xfId="6875" xr:uid="{00000000-0005-0000-0000-0000162D0000}"/>
    <cellStyle name="Обычный 28 2 8 10" xfId="15794" xr:uid="{00000000-0005-0000-0000-0000172D0000}"/>
    <cellStyle name="Обычный 28 2 8 2" xfId="7872" xr:uid="{00000000-0005-0000-0000-0000182D0000}"/>
    <cellStyle name="Обычный 28 2 8 3" xfId="8878" xr:uid="{00000000-0005-0000-0000-0000192D0000}"/>
    <cellStyle name="Обычный 28 2 8 4" xfId="9864" xr:uid="{00000000-0005-0000-0000-00001A2D0000}"/>
    <cellStyle name="Обычный 28 2 8 5" xfId="10850" xr:uid="{00000000-0005-0000-0000-00001B2D0000}"/>
    <cellStyle name="Обычный 28 2 8 6" xfId="11836" xr:uid="{00000000-0005-0000-0000-00001C2D0000}"/>
    <cellStyle name="Обычный 28 2 8 7" xfId="12822" xr:uid="{00000000-0005-0000-0000-00001D2D0000}"/>
    <cellStyle name="Обычный 28 2 8 8" xfId="13808" xr:uid="{00000000-0005-0000-0000-00001E2D0000}"/>
    <cellStyle name="Обычный 28 2 8 9" xfId="14808" xr:uid="{00000000-0005-0000-0000-00001F2D0000}"/>
    <cellStyle name="Обычный 28 2 9" xfId="7158" xr:uid="{00000000-0005-0000-0000-0000202D0000}"/>
    <cellStyle name="Обычный 28 3" xfId="6601" xr:uid="{00000000-0005-0000-0000-0000212D0000}"/>
    <cellStyle name="Обычный 28 3 10" xfId="15520" xr:uid="{00000000-0005-0000-0000-0000222D0000}"/>
    <cellStyle name="Обычный 28 3 2" xfId="7598" xr:uid="{00000000-0005-0000-0000-0000232D0000}"/>
    <cellStyle name="Обычный 28 3 3" xfId="8604" xr:uid="{00000000-0005-0000-0000-0000242D0000}"/>
    <cellStyle name="Обычный 28 3 4" xfId="9590" xr:uid="{00000000-0005-0000-0000-0000252D0000}"/>
    <cellStyle name="Обычный 28 3 5" xfId="10576" xr:uid="{00000000-0005-0000-0000-0000262D0000}"/>
    <cellStyle name="Обычный 28 3 6" xfId="11562" xr:uid="{00000000-0005-0000-0000-0000272D0000}"/>
    <cellStyle name="Обычный 28 3 7" xfId="12548" xr:uid="{00000000-0005-0000-0000-0000282D0000}"/>
    <cellStyle name="Обычный 28 3 8" xfId="13534" xr:uid="{00000000-0005-0000-0000-0000292D0000}"/>
    <cellStyle name="Обычный 28 3 9" xfId="14534" xr:uid="{00000000-0005-0000-0000-00002A2D0000}"/>
    <cellStyle name="Обычный 28 4" xfId="6871" xr:uid="{00000000-0005-0000-0000-00002B2D0000}"/>
    <cellStyle name="Обычный 28 4 10" xfId="15790" xr:uid="{00000000-0005-0000-0000-00002C2D0000}"/>
    <cellStyle name="Обычный 28 4 2" xfId="7868" xr:uid="{00000000-0005-0000-0000-00002D2D0000}"/>
    <cellStyle name="Обычный 28 4 3" xfId="8874" xr:uid="{00000000-0005-0000-0000-00002E2D0000}"/>
    <cellStyle name="Обычный 28 4 4" xfId="9860" xr:uid="{00000000-0005-0000-0000-00002F2D0000}"/>
    <cellStyle name="Обычный 28 4 5" xfId="10846" xr:uid="{00000000-0005-0000-0000-0000302D0000}"/>
    <cellStyle name="Обычный 28 4 6" xfId="11832" xr:uid="{00000000-0005-0000-0000-0000312D0000}"/>
    <cellStyle name="Обычный 28 4 7" xfId="12818" xr:uid="{00000000-0005-0000-0000-0000322D0000}"/>
    <cellStyle name="Обычный 28 4 8" xfId="13804" xr:uid="{00000000-0005-0000-0000-0000332D0000}"/>
    <cellStyle name="Обычный 28 4 9" xfId="14804" xr:uid="{00000000-0005-0000-0000-0000342D0000}"/>
    <cellStyle name="Обычный 28 5" xfId="7154" xr:uid="{00000000-0005-0000-0000-0000352D0000}"/>
    <cellStyle name="Обычный 28 6" xfId="8160" xr:uid="{00000000-0005-0000-0000-0000362D0000}"/>
    <cellStyle name="Обычный 28 7" xfId="9146" xr:uid="{00000000-0005-0000-0000-0000372D0000}"/>
    <cellStyle name="Обычный 28 8" xfId="10132" xr:uid="{00000000-0005-0000-0000-0000382D0000}"/>
    <cellStyle name="Обычный 28 9" xfId="11118" xr:uid="{00000000-0005-0000-0000-0000392D0000}"/>
    <cellStyle name="Обычный 29" xfId="6171" xr:uid="{00000000-0005-0000-0000-00003A2D0000}"/>
    <cellStyle name="Обычный 29 10" xfId="13115" xr:uid="{00000000-0005-0000-0000-00003B2D0000}"/>
    <cellStyle name="Обычный 29 11" xfId="14115" xr:uid="{00000000-0005-0000-0000-00003C2D0000}"/>
    <cellStyle name="Обычный 29 12" xfId="15101" xr:uid="{00000000-0005-0000-0000-00003D2D0000}"/>
    <cellStyle name="Обычный 29 2" xfId="6626" xr:uid="{00000000-0005-0000-0000-00003E2D0000}"/>
    <cellStyle name="Обычный 29 2 10" xfId="15545" xr:uid="{00000000-0005-0000-0000-00003F2D0000}"/>
    <cellStyle name="Обычный 29 2 2" xfId="7623" xr:uid="{00000000-0005-0000-0000-0000402D0000}"/>
    <cellStyle name="Обычный 29 2 3" xfId="8629" xr:uid="{00000000-0005-0000-0000-0000412D0000}"/>
    <cellStyle name="Обычный 29 2 4" xfId="9615" xr:uid="{00000000-0005-0000-0000-0000422D0000}"/>
    <cellStyle name="Обычный 29 2 5" xfId="10601" xr:uid="{00000000-0005-0000-0000-0000432D0000}"/>
    <cellStyle name="Обычный 29 2 6" xfId="11587" xr:uid="{00000000-0005-0000-0000-0000442D0000}"/>
    <cellStyle name="Обычный 29 2 7" xfId="12573" xr:uid="{00000000-0005-0000-0000-0000452D0000}"/>
    <cellStyle name="Обычный 29 2 8" xfId="13559" xr:uid="{00000000-0005-0000-0000-0000462D0000}"/>
    <cellStyle name="Обычный 29 2 9" xfId="14559" xr:uid="{00000000-0005-0000-0000-0000472D0000}"/>
    <cellStyle name="Обычный 29 3" xfId="6896" xr:uid="{00000000-0005-0000-0000-0000482D0000}"/>
    <cellStyle name="Обычный 29 3 10" xfId="15815" xr:uid="{00000000-0005-0000-0000-0000492D0000}"/>
    <cellStyle name="Обычный 29 3 2" xfId="7893" xr:uid="{00000000-0005-0000-0000-00004A2D0000}"/>
    <cellStyle name="Обычный 29 3 3" xfId="8899" xr:uid="{00000000-0005-0000-0000-00004B2D0000}"/>
    <cellStyle name="Обычный 29 3 4" xfId="9885" xr:uid="{00000000-0005-0000-0000-00004C2D0000}"/>
    <cellStyle name="Обычный 29 3 5" xfId="10871" xr:uid="{00000000-0005-0000-0000-00004D2D0000}"/>
    <cellStyle name="Обычный 29 3 6" xfId="11857" xr:uid="{00000000-0005-0000-0000-00004E2D0000}"/>
    <cellStyle name="Обычный 29 3 7" xfId="12843" xr:uid="{00000000-0005-0000-0000-00004F2D0000}"/>
    <cellStyle name="Обычный 29 3 8" xfId="13829" xr:uid="{00000000-0005-0000-0000-0000502D0000}"/>
    <cellStyle name="Обычный 29 3 9" xfId="14829" xr:uid="{00000000-0005-0000-0000-0000512D0000}"/>
    <cellStyle name="Обычный 29 4" xfId="7179" xr:uid="{00000000-0005-0000-0000-0000522D0000}"/>
    <cellStyle name="Обычный 29 5" xfId="8185" xr:uid="{00000000-0005-0000-0000-0000532D0000}"/>
    <cellStyle name="Обычный 29 6" xfId="9171" xr:uid="{00000000-0005-0000-0000-0000542D0000}"/>
    <cellStyle name="Обычный 29 7" xfId="10157" xr:uid="{00000000-0005-0000-0000-0000552D0000}"/>
    <cellStyle name="Обычный 29 8" xfId="11143" xr:uid="{00000000-0005-0000-0000-0000562D0000}"/>
    <cellStyle name="Обычный 29 9" xfId="12129" xr:uid="{00000000-0005-0000-0000-0000572D0000}"/>
    <cellStyle name="Обычный 3" xfId="2625" xr:uid="{00000000-0005-0000-0000-0000582D0000}"/>
    <cellStyle name="Обычный 3 2" xfId="2626" xr:uid="{00000000-0005-0000-0000-0000592D0000}"/>
    <cellStyle name="Обычный 3 2 2" xfId="3385" xr:uid="{00000000-0005-0000-0000-00005A2D0000}"/>
    <cellStyle name="Обычный 3 2 3" xfId="6172" xr:uid="{00000000-0005-0000-0000-00005B2D0000}"/>
    <cellStyle name="Обычный 3 2 3 2" xfId="6173" xr:uid="{00000000-0005-0000-0000-00005C2D0000}"/>
    <cellStyle name="Обычный 3 2 3 2 10" xfId="12130" xr:uid="{00000000-0005-0000-0000-00005D2D0000}"/>
    <cellStyle name="Обычный 3 2 3 2 11" xfId="13116" xr:uid="{00000000-0005-0000-0000-00005E2D0000}"/>
    <cellStyle name="Обычный 3 2 3 2 12" xfId="14116" xr:uid="{00000000-0005-0000-0000-00005F2D0000}"/>
    <cellStyle name="Обычный 3 2 3 2 13" xfId="15102" xr:uid="{00000000-0005-0000-0000-0000602D0000}"/>
    <cellStyle name="Обычный 3 2 3 2 2" xfId="6174" xr:uid="{00000000-0005-0000-0000-0000612D0000}"/>
    <cellStyle name="Обычный 3 2 3 2 2 10" xfId="12131" xr:uid="{00000000-0005-0000-0000-0000622D0000}"/>
    <cellStyle name="Обычный 3 2 3 2 2 11" xfId="13117" xr:uid="{00000000-0005-0000-0000-0000632D0000}"/>
    <cellStyle name="Обычный 3 2 3 2 2 12" xfId="14117" xr:uid="{00000000-0005-0000-0000-0000642D0000}"/>
    <cellStyle name="Обычный 3 2 3 2 2 13" xfId="15103" xr:uid="{00000000-0005-0000-0000-0000652D0000}"/>
    <cellStyle name="Обычный 3 2 3 2 2 2" xfId="6175" xr:uid="{00000000-0005-0000-0000-0000662D0000}"/>
    <cellStyle name="Обычный 3 2 3 2 2 2 10" xfId="13118" xr:uid="{00000000-0005-0000-0000-0000672D0000}"/>
    <cellStyle name="Обычный 3 2 3 2 2 2 11" xfId="14118" xr:uid="{00000000-0005-0000-0000-0000682D0000}"/>
    <cellStyle name="Обычный 3 2 3 2 2 2 12" xfId="15104" xr:uid="{00000000-0005-0000-0000-0000692D0000}"/>
    <cellStyle name="Обычный 3 2 3 2 2 2 2" xfId="6629" xr:uid="{00000000-0005-0000-0000-00006A2D0000}"/>
    <cellStyle name="Обычный 3 2 3 2 2 2 2 10" xfId="15548" xr:uid="{00000000-0005-0000-0000-00006B2D0000}"/>
    <cellStyle name="Обычный 3 2 3 2 2 2 2 2" xfId="7626" xr:uid="{00000000-0005-0000-0000-00006C2D0000}"/>
    <cellStyle name="Обычный 3 2 3 2 2 2 2 3" xfId="8632" xr:uid="{00000000-0005-0000-0000-00006D2D0000}"/>
    <cellStyle name="Обычный 3 2 3 2 2 2 2 4" xfId="9618" xr:uid="{00000000-0005-0000-0000-00006E2D0000}"/>
    <cellStyle name="Обычный 3 2 3 2 2 2 2 5" xfId="10604" xr:uid="{00000000-0005-0000-0000-00006F2D0000}"/>
    <cellStyle name="Обычный 3 2 3 2 2 2 2 6" xfId="11590" xr:uid="{00000000-0005-0000-0000-0000702D0000}"/>
    <cellStyle name="Обычный 3 2 3 2 2 2 2 7" xfId="12576" xr:uid="{00000000-0005-0000-0000-0000712D0000}"/>
    <cellStyle name="Обычный 3 2 3 2 2 2 2 8" xfId="13562" xr:uid="{00000000-0005-0000-0000-0000722D0000}"/>
    <cellStyle name="Обычный 3 2 3 2 2 2 2 9" xfId="14562" xr:uid="{00000000-0005-0000-0000-0000732D0000}"/>
    <cellStyle name="Обычный 3 2 3 2 2 2 3" xfId="6899" xr:uid="{00000000-0005-0000-0000-0000742D0000}"/>
    <cellStyle name="Обычный 3 2 3 2 2 2 3 10" xfId="15818" xr:uid="{00000000-0005-0000-0000-0000752D0000}"/>
    <cellStyle name="Обычный 3 2 3 2 2 2 3 2" xfId="7896" xr:uid="{00000000-0005-0000-0000-0000762D0000}"/>
    <cellStyle name="Обычный 3 2 3 2 2 2 3 3" xfId="8902" xr:uid="{00000000-0005-0000-0000-0000772D0000}"/>
    <cellStyle name="Обычный 3 2 3 2 2 2 3 4" xfId="9888" xr:uid="{00000000-0005-0000-0000-0000782D0000}"/>
    <cellStyle name="Обычный 3 2 3 2 2 2 3 5" xfId="10874" xr:uid="{00000000-0005-0000-0000-0000792D0000}"/>
    <cellStyle name="Обычный 3 2 3 2 2 2 3 6" xfId="11860" xr:uid="{00000000-0005-0000-0000-00007A2D0000}"/>
    <cellStyle name="Обычный 3 2 3 2 2 2 3 7" xfId="12846" xr:uid="{00000000-0005-0000-0000-00007B2D0000}"/>
    <cellStyle name="Обычный 3 2 3 2 2 2 3 8" xfId="13832" xr:uid="{00000000-0005-0000-0000-00007C2D0000}"/>
    <cellStyle name="Обычный 3 2 3 2 2 2 3 9" xfId="14832" xr:uid="{00000000-0005-0000-0000-00007D2D0000}"/>
    <cellStyle name="Обычный 3 2 3 2 2 2 4" xfId="7182" xr:uid="{00000000-0005-0000-0000-00007E2D0000}"/>
    <cellStyle name="Обычный 3 2 3 2 2 2 5" xfId="8188" xr:uid="{00000000-0005-0000-0000-00007F2D0000}"/>
    <cellStyle name="Обычный 3 2 3 2 2 2 6" xfId="9174" xr:uid="{00000000-0005-0000-0000-0000802D0000}"/>
    <cellStyle name="Обычный 3 2 3 2 2 2 7" xfId="10160" xr:uid="{00000000-0005-0000-0000-0000812D0000}"/>
    <cellStyle name="Обычный 3 2 3 2 2 2 8" xfId="11146" xr:uid="{00000000-0005-0000-0000-0000822D0000}"/>
    <cellStyle name="Обычный 3 2 3 2 2 2 9" xfId="12132" xr:uid="{00000000-0005-0000-0000-0000832D0000}"/>
    <cellStyle name="Обычный 3 2 3 2 2 3" xfId="6628" xr:uid="{00000000-0005-0000-0000-0000842D0000}"/>
    <cellStyle name="Обычный 3 2 3 2 2 3 10" xfId="15547" xr:uid="{00000000-0005-0000-0000-0000852D0000}"/>
    <cellStyle name="Обычный 3 2 3 2 2 3 2" xfId="7625" xr:uid="{00000000-0005-0000-0000-0000862D0000}"/>
    <cellStyle name="Обычный 3 2 3 2 2 3 3" xfId="8631" xr:uid="{00000000-0005-0000-0000-0000872D0000}"/>
    <cellStyle name="Обычный 3 2 3 2 2 3 4" xfId="9617" xr:uid="{00000000-0005-0000-0000-0000882D0000}"/>
    <cellStyle name="Обычный 3 2 3 2 2 3 5" xfId="10603" xr:uid="{00000000-0005-0000-0000-0000892D0000}"/>
    <cellStyle name="Обычный 3 2 3 2 2 3 6" xfId="11589" xr:uid="{00000000-0005-0000-0000-00008A2D0000}"/>
    <cellStyle name="Обычный 3 2 3 2 2 3 7" xfId="12575" xr:uid="{00000000-0005-0000-0000-00008B2D0000}"/>
    <cellStyle name="Обычный 3 2 3 2 2 3 8" xfId="13561" xr:uid="{00000000-0005-0000-0000-00008C2D0000}"/>
    <cellStyle name="Обычный 3 2 3 2 2 3 9" xfId="14561" xr:uid="{00000000-0005-0000-0000-00008D2D0000}"/>
    <cellStyle name="Обычный 3 2 3 2 2 4" xfId="6898" xr:uid="{00000000-0005-0000-0000-00008E2D0000}"/>
    <cellStyle name="Обычный 3 2 3 2 2 4 10" xfId="15817" xr:uid="{00000000-0005-0000-0000-00008F2D0000}"/>
    <cellStyle name="Обычный 3 2 3 2 2 4 2" xfId="7895" xr:uid="{00000000-0005-0000-0000-0000902D0000}"/>
    <cellStyle name="Обычный 3 2 3 2 2 4 3" xfId="8901" xr:uid="{00000000-0005-0000-0000-0000912D0000}"/>
    <cellStyle name="Обычный 3 2 3 2 2 4 4" xfId="9887" xr:uid="{00000000-0005-0000-0000-0000922D0000}"/>
    <cellStyle name="Обычный 3 2 3 2 2 4 5" xfId="10873" xr:uid="{00000000-0005-0000-0000-0000932D0000}"/>
    <cellStyle name="Обычный 3 2 3 2 2 4 6" xfId="11859" xr:uid="{00000000-0005-0000-0000-0000942D0000}"/>
    <cellStyle name="Обычный 3 2 3 2 2 4 7" xfId="12845" xr:uid="{00000000-0005-0000-0000-0000952D0000}"/>
    <cellStyle name="Обычный 3 2 3 2 2 4 8" xfId="13831" xr:uid="{00000000-0005-0000-0000-0000962D0000}"/>
    <cellStyle name="Обычный 3 2 3 2 2 4 9" xfId="14831" xr:uid="{00000000-0005-0000-0000-0000972D0000}"/>
    <cellStyle name="Обычный 3 2 3 2 2 5" xfId="7181" xr:uid="{00000000-0005-0000-0000-0000982D0000}"/>
    <cellStyle name="Обычный 3 2 3 2 2 6" xfId="8187" xr:uid="{00000000-0005-0000-0000-0000992D0000}"/>
    <cellStyle name="Обычный 3 2 3 2 2 7" xfId="9173" xr:uid="{00000000-0005-0000-0000-00009A2D0000}"/>
    <cellStyle name="Обычный 3 2 3 2 2 8" xfId="10159" xr:uid="{00000000-0005-0000-0000-00009B2D0000}"/>
    <cellStyle name="Обычный 3 2 3 2 2 9" xfId="11145" xr:uid="{00000000-0005-0000-0000-00009C2D0000}"/>
    <cellStyle name="Обычный 3 2 3 2 3" xfId="6627" xr:uid="{00000000-0005-0000-0000-00009D2D0000}"/>
    <cellStyle name="Обычный 3 2 3 2 3 10" xfId="15546" xr:uid="{00000000-0005-0000-0000-00009E2D0000}"/>
    <cellStyle name="Обычный 3 2 3 2 3 2" xfId="7624" xr:uid="{00000000-0005-0000-0000-00009F2D0000}"/>
    <cellStyle name="Обычный 3 2 3 2 3 3" xfId="8630" xr:uid="{00000000-0005-0000-0000-0000A02D0000}"/>
    <cellStyle name="Обычный 3 2 3 2 3 4" xfId="9616" xr:uid="{00000000-0005-0000-0000-0000A12D0000}"/>
    <cellStyle name="Обычный 3 2 3 2 3 5" xfId="10602" xr:uid="{00000000-0005-0000-0000-0000A22D0000}"/>
    <cellStyle name="Обычный 3 2 3 2 3 6" xfId="11588" xr:uid="{00000000-0005-0000-0000-0000A32D0000}"/>
    <cellStyle name="Обычный 3 2 3 2 3 7" xfId="12574" xr:uid="{00000000-0005-0000-0000-0000A42D0000}"/>
    <cellStyle name="Обычный 3 2 3 2 3 8" xfId="13560" xr:uid="{00000000-0005-0000-0000-0000A52D0000}"/>
    <cellStyle name="Обычный 3 2 3 2 3 9" xfId="14560" xr:uid="{00000000-0005-0000-0000-0000A62D0000}"/>
    <cellStyle name="Обычный 3 2 3 2 4" xfId="6897" xr:uid="{00000000-0005-0000-0000-0000A72D0000}"/>
    <cellStyle name="Обычный 3 2 3 2 4 10" xfId="15816" xr:uid="{00000000-0005-0000-0000-0000A82D0000}"/>
    <cellStyle name="Обычный 3 2 3 2 4 2" xfId="7894" xr:uid="{00000000-0005-0000-0000-0000A92D0000}"/>
    <cellStyle name="Обычный 3 2 3 2 4 3" xfId="8900" xr:uid="{00000000-0005-0000-0000-0000AA2D0000}"/>
    <cellStyle name="Обычный 3 2 3 2 4 4" xfId="9886" xr:uid="{00000000-0005-0000-0000-0000AB2D0000}"/>
    <cellStyle name="Обычный 3 2 3 2 4 5" xfId="10872" xr:uid="{00000000-0005-0000-0000-0000AC2D0000}"/>
    <cellStyle name="Обычный 3 2 3 2 4 6" xfId="11858" xr:uid="{00000000-0005-0000-0000-0000AD2D0000}"/>
    <cellStyle name="Обычный 3 2 3 2 4 7" xfId="12844" xr:uid="{00000000-0005-0000-0000-0000AE2D0000}"/>
    <cellStyle name="Обычный 3 2 3 2 4 8" xfId="13830" xr:uid="{00000000-0005-0000-0000-0000AF2D0000}"/>
    <cellStyle name="Обычный 3 2 3 2 4 9" xfId="14830" xr:uid="{00000000-0005-0000-0000-0000B02D0000}"/>
    <cellStyle name="Обычный 3 2 3 2 5" xfId="7180" xr:uid="{00000000-0005-0000-0000-0000B12D0000}"/>
    <cellStyle name="Обычный 3 2 3 2 6" xfId="8186" xr:uid="{00000000-0005-0000-0000-0000B22D0000}"/>
    <cellStyle name="Обычный 3 2 3 2 7" xfId="9172" xr:uid="{00000000-0005-0000-0000-0000B32D0000}"/>
    <cellStyle name="Обычный 3 2 3 2 8" xfId="10158" xr:uid="{00000000-0005-0000-0000-0000B42D0000}"/>
    <cellStyle name="Обычный 3 2 3 2 9" xfId="11144" xr:uid="{00000000-0005-0000-0000-0000B52D0000}"/>
    <cellStyle name="Обычный 3 3" xfId="3434" xr:uid="{00000000-0005-0000-0000-0000B62D0000}"/>
    <cellStyle name="Обычный 3 4" xfId="6176" xr:uid="{00000000-0005-0000-0000-0000B72D0000}"/>
    <cellStyle name="Обычный 3 5" xfId="7968" xr:uid="{00000000-0005-0000-0000-0000B82D0000}"/>
    <cellStyle name="Обычный 3_1. Образование - 2012" xfId="2627" xr:uid="{00000000-0005-0000-0000-0000B92D0000}"/>
    <cellStyle name="Обычный 30" xfId="6154" xr:uid="{00000000-0005-0000-0000-0000BA2D0000}"/>
    <cellStyle name="Обычный 30 10" xfId="12115" xr:uid="{00000000-0005-0000-0000-0000BB2D0000}"/>
    <cellStyle name="Обычный 30 11" xfId="13101" xr:uid="{00000000-0005-0000-0000-0000BC2D0000}"/>
    <cellStyle name="Обычный 30 12" xfId="14101" xr:uid="{00000000-0005-0000-0000-0000BD2D0000}"/>
    <cellStyle name="Обычный 30 13" xfId="15087" xr:uid="{00000000-0005-0000-0000-0000BE2D0000}"/>
    <cellStyle name="Обычный 30 2" xfId="6177" xr:uid="{00000000-0005-0000-0000-0000BF2D0000}"/>
    <cellStyle name="Обычный 30 2 10" xfId="13119" xr:uid="{00000000-0005-0000-0000-0000C02D0000}"/>
    <cellStyle name="Обычный 30 2 11" xfId="14119" xr:uid="{00000000-0005-0000-0000-0000C12D0000}"/>
    <cellStyle name="Обычный 30 2 12" xfId="15105" xr:uid="{00000000-0005-0000-0000-0000C22D0000}"/>
    <cellStyle name="Обычный 30 2 2" xfId="6630" xr:uid="{00000000-0005-0000-0000-0000C32D0000}"/>
    <cellStyle name="Обычный 30 2 2 10" xfId="15549" xr:uid="{00000000-0005-0000-0000-0000C42D0000}"/>
    <cellStyle name="Обычный 30 2 2 2" xfId="7627" xr:uid="{00000000-0005-0000-0000-0000C52D0000}"/>
    <cellStyle name="Обычный 30 2 2 3" xfId="8633" xr:uid="{00000000-0005-0000-0000-0000C62D0000}"/>
    <cellStyle name="Обычный 30 2 2 4" xfId="9619" xr:uid="{00000000-0005-0000-0000-0000C72D0000}"/>
    <cellStyle name="Обычный 30 2 2 5" xfId="10605" xr:uid="{00000000-0005-0000-0000-0000C82D0000}"/>
    <cellStyle name="Обычный 30 2 2 6" xfId="11591" xr:uid="{00000000-0005-0000-0000-0000C92D0000}"/>
    <cellStyle name="Обычный 30 2 2 7" xfId="12577" xr:uid="{00000000-0005-0000-0000-0000CA2D0000}"/>
    <cellStyle name="Обычный 30 2 2 8" xfId="13563" xr:uid="{00000000-0005-0000-0000-0000CB2D0000}"/>
    <cellStyle name="Обычный 30 2 2 9" xfId="14563" xr:uid="{00000000-0005-0000-0000-0000CC2D0000}"/>
    <cellStyle name="Обычный 30 2 3" xfId="6900" xr:uid="{00000000-0005-0000-0000-0000CD2D0000}"/>
    <cellStyle name="Обычный 30 2 3 10" xfId="15819" xr:uid="{00000000-0005-0000-0000-0000CE2D0000}"/>
    <cellStyle name="Обычный 30 2 3 2" xfId="7897" xr:uid="{00000000-0005-0000-0000-0000CF2D0000}"/>
    <cellStyle name="Обычный 30 2 3 3" xfId="8903" xr:uid="{00000000-0005-0000-0000-0000D02D0000}"/>
    <cellStyle name="Обычный 30 2 3 4" xfId="9889" xr:uid="{00000000-0005-0000-0000-0000D12D0000}"/>
    <cellStyle name="Обычный 30 2 3 5" xfId="10875" xr:uid="{00000000-0005-0000-0000-0000D22D0000}"/>
    <cellStyle name="Обычный 30 2 3 6" xfId="11861" xr:uid="{00000000-0005-0000-0000-0000D32D0000}"/>
    <cellStyle name="Обычный 30 2 3 7" xfId="12847" xr:uid="{00000000-0005-0000-0000-0000D42D0000}"/>
    <cellStyle name="Обычный 30 2 3 8" xfId="13833" xr:uid="{00000000-0005-0000-0000-0000D52D0000}"/>
    <cellStyle name="Обычный 30 2 3 9" xfId="14833" xr:uid="{00000000-0005-0000-0000-0000D62D0000}"/>
    <cellStyle name="Обычный 30 2 4" xfId="7183" xr:uid="{00000000-0005-0000-0000-0000D72D0000}"/>
    <cellStyle name="Обычный 30 2 5" xfId="8189" xr:uid="{00000000-0005-0000-0000-0000D82D0000}"/>
    <cellStyle name="Обычный 30 2 6" xfId="9175" xr:uid="{00000000-0005-0000-0000-0000D92D0000}"/>
    <cellStyle name="Обычный 30 2 7" xfId="10161" xr:uid="{00000000-0005-0000-0000-0000DA2D0000}"/>
    <cellStyle name="Обычный 30 2 8" xfId="11147" xr:uid="{00000000-0005-0000-0000-0000DB2D0000}"/>
    <cellStyle name="Обычный 30 2 9" xfId="12133" xr:uid="{00000000-0005-0000-0000-0000DC2D0000}"/>
    <cellStyle name="Обычный 30 3" xfId="6612" xr:uid="{00000000-0005-0000-0000-0000DD2D0000}"/>
    <cellStyle name="Обычный 30 3 10" xfId="15531" xr:uid="{00000000-0005-0000-0000-0000DE2D0000}"/>
    <cellStyle name="Обычный 30 3 2" xfId="7609" xr:uid="{00000000-0005-0000-0000-0000DF2D0000}"/>
    <cellStyle name="Обычный 30 3 3" xfId="8615" xr:uid="{00000000-0005-0000-0000-0000E02D0000}"/>
    <cellStyle name="Обычный 30 3 4" xfId="9601" xr:uid="{00000000-0005-0000-0000-0000E12D0000}"/>
    <cellStyle name="Обычный 30 3 5" xfId="10587" xr:uid="{00000000-0005-0000-0000-0000E22D0000}"/>
    <cellStyle name="Обычный 30 3 6" xfId="11573" xr:uid="{00000000-0005-0000-0000-0000E32D0000}"/>
    <cellStyle name="Обычный 30 3 7" xfId="12559" xr:uid="{00000000-0005-0000-0000-0000E42D0000}"/>
    <cellStyle name="Обычный 30 3 8" xfId="13545" xr:uid="{00000000-0005-0000-0000-0000E52D0000}"/>
    <cellStyle name="Обычный 30 3 9" xfId="14545" xr:uid="{00000000-0005-0000-0000-0000E62D0000}"/>
    <cellStyle name="Обычный 30 4" xfId="6882" xr:uid="{00000000-0005-0000-0000-0000E72D0000}"/>
    <cellStyle name="Обычный 30 4 10" xfId="15801" xr:uid="{00000000-0005-0000-0000-0000E82D0000}"/>
    <cellStyle name="Обычный 30 4 2" xfId="7879" xr:uid="{00000000-0005-0000-0000-0000E92D0000}"/>
    <cellStyle name="Обычный 30 4 3" xfId="8885" xr:uid="{00000000-0005-0000-0000-0000EA2D0000}"/>
    <cellStyle name="Обычный 30 4 4" xfId="9871" xr:uid="{00000000-0005-0000-0000-0000EB2D0000}"/>
    <cellStyle name="Обычный 30 4 5" xfId="10857" xr:uid="{00000000-0005-0000-0000-0000EC2D0000}"/>
    <cellStyle name="Обычный 30 4 6" xfId="11843" xr:uid="{00000000-0005-0000-0000-0000ED2D0000}"/>
    <cellStyle name="Обычный 30 4 7" xfId="12829" xr:uid="{00000000-0005-0000-0000-0000EE2D0000}"/>
    <cellStyle name="Обычный 30 4 8" xfId="13815" xr:uid="{00000000-0005-0000-0000-0000EF2D0000}"/>
    <cellStyle name="Обычный 30 4 9" xfId="14815" xr:uid="{00000000-0005-0000-0000-0000F02D0000}"/>
    <cellStyle name="Обычный 30 5" xfId="7165" xr:uid="{00000000-0005-0000-0000-0000F12D0000}"/>
    <cellStyle name="Обычный 30 6" xfId="8171" xr:uid="{00000000-0005-0000-0000-0000F22D0000}"/>
    <cellStyle name="Обычный 30 7" xfId="9157" xr:uid="{00000000-0005-0000-0000-0000F32D0000}"/>
    <cellStyle name="Обычный 30 8" xfId="10143" xr:uid="{00000000-0005-0000-0000-0000F42D0000}"/>
    <cellStyle name="Обычный 30 9" xfId="11129" xr:uid="{00000000-0005-0000-0000-0000F52D0000}"/>
    <cellStyle name="Обычный 4" xfId="2628" xr:uid="{00000000-0005-0000-0000-0000F62D0000}"/>
    <cellStyle name="Обычный 4 2" xfId="2629" xr:uid="{00000000-0005-0000-0000-0000F72D0000}"/>
    <cellStyle name="Обычный 4 3" xfId="2630" xr:uid="{00000000-0005-0000-0000-0000F82D0000}"/>
    <cellStyle name="Обычный 4 3 2" xfId="6178" xr:uid="{00000000-0005-0000-0000-0000F92D0000}"/>
    <cellStyle name="Обычный 4 4" xfId="3386" xr:uid="{00000000-0005-0000-0000-0000FA2D0000}"/>
    <cellStyle name="Обычный 4_Приложение_2010-2012 каз 04.08.10_ДК-2020" xfId="2631" xr:uid="{00000000-0005-0000-0000-0000FB2D0000}"/>
    <cellStyle name="Обычный 5" xfId="2632" xr:uid="{00000000-0005-0000-0000-0000FC2D0000}"/>
    <cellStyle name="Обычный 5 2" xfId="2633" xr:uid="{00000000-0005-0000-0000-0000FD2D0000}"/>
    <cellStyle name="Обычный 5 2 2" xfId="2634" xr:uid="{00000000-0005-0000-0000-0000FE2D0000}"/>
    <cellStyle name="Обычный 5 2 2 2" xfId="6012" xr:uid="{00000000-0005-0000-0000-0000FF2D0000}"/>
    <cellStyle name="Обычный 5 2 3" xfId="6011" xr:uid="{00000000-0005-0000-0000-0000002E0000}"/>
    <cellStyle name="Обычный 5 2 4" xfId="6179" xr:uid="{00000000-0005-0000-0000-0000012E0000}"/>
    <cellStyle name="Обычный 5 3" xfId="2635" xr:uid="{00000000-0005-0000-0000-0000022E0000}"/>
    <cellStyle name="Обычный 5 3 2" xfId="6013" xr:uid="{00000000-0005-0000-0000-0000032E0000}"/>
    <cellStyle name="Обычный 5 4" xfId="2636" xr:uid="{00000000-0005-0000-0000-0000042E0000}"/>
    <cellStyle name="Обычный 5 4 10" xfId="6075" xr:uid="{00000000-0005-0000-0000-0000052E0000}"/>
    <cellStyle name="Обычный 5 4 10 10" xfId="13025" xr:uid="{00000000-0005-0000-0000-0000062E0000}"/>
    <cellStyle name="Обычный 5 4 10 11" xfId="14025" xr:uid="{00000000-0005-0000-0000-0000072E0000}"/>
    <cellStyle name="Обычный 5 4 10 12" xfId="15011" xr:uid="{00000000-0005-0000-0000-0000082E0000}"/>
    <cellStyle name="Обычный 5 4 10 2" xfId="6536" xr:uid="{00000000-0005-0000-0000-0000092E0000}"/>
    <cellStyle name="Обычный 5 4 10 2 10" xfId="15455" xr:uid="{00000000-0005-0000-0000-00000A2E0000}"/>
    <cellStyle name="Обычный 5 4 10 2 2" xfId="7533" xr:uid="{00000000-0005-0000-0000-00000B2E0000}"/>
    <cellStyle name="Обычный 5 4 10 2 3" xfId="8539" xr:uid="{00000000-0005-0000-0000-00000C2E0000}"/>
    <cellStyle name="Обычный 5 4 10 2 4" xfId="9525" xr:uid="{00000000-0005-0000-0000-00000D2E0000}"/>
    <cellStyle name="Обычный 5 4 10 2 5" xfId="10511" xr:uid="{00000000-0005-0000-0000-00000E2E0000}"/>
    <cellStyle name="Обычный 5 4 10 2 6" xfId="11497" xr:uid="{00000000-0005-0000-0000-00000F2E0000}"/>
    <cellStyle name="Обычный 5 4 10 2 7" xfId="12483" xr:uid="{00000000-0005-0000-0000-0000102E0000}"/>
    <cellStyle name="Обычный 5 4 10 2 8" xfId="13469" xr:uid="{00000000-0005-0000-0000-0000112E0000}"/>
    <cellStyle name="Обычный 5 4 10 2 9" xfId="14469" xr:uid="{00000000-0005-0000-0000-0000122E0000}"/>
    <cellStyle name="Обычный 5 4 10 3" xfId="6806" xr:uid="{00000000-0005-0000-0000-0000132E0000}"/>
    <cellStyle name="Обычный 5 4 10 3 10" xfId="15725" xr:uid="{00000000-0005-0000-0000-0000142E0000}"/>
    <cellStyle name="Обычный 5 4 10 3 2" xfId="7803" xr:uid="{00000000-0005-0000-0000-0000152E0000}"/>
    <cellStyle name="Обычный 5 4 10 3 3" xfId="8809" xr:uid="{00000000-0005-0000-0000-0000162E0000}"/>
    <cellStyle name="Обычный 5 4 10 3 4" xfId="9795" xr:uid="{00000000-0005-0000-0000-0000172E0000}"/>
    <cellStyle name="Обычный 5 4 10 3 5" xfId="10781" xr:uid="{00000000-0005-0000-0000-0000182E0000}"/>
    <cellStyle name="Обычный 5 4 10 3 6" xfId="11767" xr:uid="{00000000-0005-0000-0000-0000192E0000}"/>
    <cellStyle name="Обычный 5 4 10 3 7" xfId="12753" xr:uid="{00000000-0005-0000-0000-00001A2E0000}"/>
    <cellStyle name="Обычный 5 4 10 3 8" xfId="13739" xr:uid="{00000000-0005-0000-0000-00001B2E0000}"/>
    <cellStyle name="Обычный 5 4 10 3 9" xfId="14739" xr:uid="{00000000-0005-0000-0000-00001C2E0000}"/>
    <cellStyle name="Обычный 5 4 10 4" xfId="7089" xr:uid="{00000000-0005-0000-0000-00001D2E0000}"/>
    <cellStyle name="Обычный 5 4 10 5" xfId="8095" xr:uid="{00000000-0005-0000-0000-00001E2E0000}"/>
    <cellStyle name="Обычный 5 4 10 6" xfId="9081" xr:uid="{00000000-0005-0000-0000-00001F2E0000}"/>
    <cellStyle name="Обычный 5 4 10 7" xfId="10067" xr:uid="{00000000-0005-0000-0000-0000202E0000}"/>
    <cellStyle name="Обычный 5 4 10 8" xfId="11053" xr:uid="{00000000-0005-0000-0000-0000212E0000}"/>
    <cellStyle name="Обычный 5 4 10 9" xfId="12039" xr:uid="{00000000-0005-0000-0000-0000222E0000}"/>
    <cellStyle name="Обычный 5 4 11" xfId="6424" xr:uid="{00000000-0005-0000-0000-0000232E0000}"/>
    <cellStyle name="Обычный 5 4 11 10" xfId="15343" xr:uid="{00000000-0005-0000-0000-0000242E0000}"/>
    <cellStyle name="Обычный 5 4 11 2" xfId="7421" xr:uid="{00000000-0005-0000-0000-0000252E0000}"/>
    <cellStyle name="Обычный 5 4 11 3" xfId="8427" xr:uid="{00000000-0005-0000-0000-0000262E0000}"/>
    <cellStyle name="Обычный 5 4 11 4" xfId="9413" xr:uid="{00000000-0005-0000-0000-0000272E0000}"/>
    <cellStyle name="Обычный 5 4 11 5" xfId="10399" xr:uid="{00000000-0005-0000-0000-0000282E0000}"/>
    <cellStyle name="Обычный 5 4 11 6" xfId="11385" xr:uid="{00000000-0005-0000-0000-0000292E0000}"/>
    <cellStyle name="Обычный 5 4 11 7" xfId="12371" xr:uid="{00000000-0005-0000-0000-00002A2E0000}"/>
    <cellStyle name="Обычный 5 4 11 8" xfId="13357" xr:uid="{00000000-0005-0000-0000-00002B2E0000}"/>
    <cellStyle name="Обычный 5 4 11 9" xfId="14357" xr:uid="{00000000-0005-0000-0000-00002C2E0000}"/>
    <cellStyle name="Обычный 5 4 12" xfId="6694" xr:uid="{00000000-0005-0000-0000-00002D2E0000}"/>
    <cellStyle name="Обычный 5 4 12 10" xfId="15613" xr:uid="{00000000-0005-0000-0000-00002E2E0000}"/>
    <cellStyle name="Обычный 5 4 12 2" xfId="7691" xr:uid="{00000000-0005-0000-0000-00002F2E0000}"/>
    <cellStyle name="Обычный 5 4 12 3" xfId="8697" xr:uid="{00000000-0005-0000-0000-0000302E0000}"/>
    <cellStyle name="Обычный 5 4 12 4" xfId="9683" xr:uid="{00000000-0005-0000-0000-0000312E0000}"/>
    <cellStyle name="Обычный 5 4 12 5" xfId="10669" xr:uid="{00000000-0005-0000-0000-0000322E0000}"/>
    <cellStyle name="Обычный 5 4 12 6" xfId="11655" xr:uid="{00000000-0005-0000-0000-0000332E0000}"/>
    <cellStyle name="Обычный 5 4 12 7" xfId="12641" xr:uid="{00000000-0005-0000-0000-0000342E0000}"/>
    <cellStyle name="Обычный 5 4 12 8" xfId="13627" xr:uid="{00000000-0005-0000-0000-0000352E0000}"/>
    <cellStyle name="Обычный 5 4 12 9" xfId="14627" xr:uid="{00000000-0005-0000-0000-0000362E0000}"/>
    <cellStyle name="Обычный 5 4 13" xfId="6977" xr:uid="{00000000-0005-0000-0000-0000372E0000}"/>
    <cellStyle name="Обычный 5 4 14" xfId="7983" xr:uid="{00000000-0005-0000-0000-0000382E0000}"/>
    <cellStyle name="Обычный 5 4 15" xfId="8969" xr:uid="{00000000-0005-0000-0000-0000392E0000}"/>
    <cellStyle name="Обычный 5 4 16" xfId="9955" xr:uid="{00000000-0005-0000-0000-00003A2E0000}"/>
    <cellStyle name="Обычный 5 4 17" xfId="10941" xr:uid="{00000000-0005-0000-0000-00003B2E0000}"/>
    <cellStyle name="Обычный 5 4 18" xfId="11927" xr:uid="{00000000-0005-0000-0000-00003C2E0000}"/>
    <cellStyle name="Обычный 5 4 19" xfId="12913" xr:uid="{00000000-0005-0000-0000-00003D2E0000}"/>
    <cellStyle name="Обычный 5 4 2" xfId="3387" xr:uid="{00000000-0005-0000-0000-00003E2E0000}"/>
    <cellStyle name="Обычный 5 4 2 10" xfId="10967" xr:uid="{00000000-0005-0000-0000-00003F2E0000}"/>
    <cellStyle name="Обычный 5 4 2 11" xfId="11953" xr:uid="{00000000-0005-0000-0000-0000402E0000}"/>
    <cellStyle name="Обычный 5 4 2 12" xfId="12939" xr:uid="{00000000-0005-0000-0000-0000412E0000}"/>
    <cellStyle name="Обычный 5 4 2 13" xfId="13939" xr:uid="{00000000-0005-0000-0000-0000422E0000}"/>
    <cellStyle name="Обычный 5 4 2 14" xfId="14925" xr:uid="{00000000-0005-0000-0000-0000432E0000}"/>
    <cellStyle name="Обычный 5 4 2 2" xfId="6044" xr:uid="{00000000-0005-0000-0000-0000442E0000}"/>
    <cellStyle name="Обычный 5 4 2 2 10" xfId="12998" xr:uid="{00000000-0005-0000-0000-0000452E0000}"/>
    <cellStyle name="Обычный 5 4 2 2 11" xfId="13998" xr:uid="{00000000-0005-0000-0000-0000462E0000}"/>
    <cellStyle name="Обычный 5 4 2 2 12" xfId="14984" xr:uid="{00000000-0005-0000-0000-0000472E0000}"/>
    <cellStyle name="Обычный 5 4 2 2 2" xfId="6509" xr:uid="{00000000-0005-0000-0000-0000482E0000}"/>
    <cellStyle name="Обычный 5 4 2 2 2 10" xfId="15428" xr:uid="{00000000-0005-0000-0000-0000492E0000}"/>
    <cellStyle name="Обычный 5 4 2 2 2 2" xfId="7506" xr:uid="{00000000-0005-0000-0000-00004A2E0000}"/>
    <cellStyle name="Обычный 5 4 2 2 2 3" xfId="8512" xr:uid="{00000000-0005-0000-0000-00004B2E0000}"/>
    <cellStyle name="Обычный 5 4 2 2 2 4" xfId="9498" xr:uid="{00000000-0005-0000-0000-00004C2E0000}"/>
    <cellStyle name="Обычный 5 4 2 2 2 5" xfId="10484" xr:uid="{00000000-0005-0000-0000-00004D2E0000}"/>
    <cellStyle name="Обычный 5 4 2 2 2 6" xfId="11470" xr:uid="{00000000-0005-0000-0000-00004E2E0000}"/>
    <cellStyle name="Обычный 5 4 2 2 2 7" xfId="12456" xr:uid="{00000000-0005-0000-0000-00004F2E0000}"/>
    <cellStyle name="Обычный 5 4 2 2 2 8" xfId="13442" xr:uid="{00000000-0005-0000-0000-0000502E0000}"/>
    <cellStyle name="Обычный 5 4 2 2 2 9" xfId="14442" xr:uid="{00000000-0005-0000-0000-0000512E0000}"/>
    <cellStyle name="Обычный 5 4 2 2 3" xfId="6779" xr:uid="{00000000-0005-0000-0000-0000522E0000}"/>
    <cellStyle name="Обычный 5 4 2 2 3 10" xfId="15698" xr:uid="{00000000-0005-0000-0000-0000532E0000}"/>
    <cellStyle name="Обычный 5 4 2 2 3 2" xfId="7776" xr:uid="{00000000-0005-0000-0000-0000542E0000}"/>
    <cellStyle name="Обычный 5 4 2 2 3 3" xfId="8782" xr:uid="{00000000-0005-0000-0000-0000552E0000}"/>
    <cellStyle name="Обычный 5 4 2 2 3 4" xfId="9768" xr:uid="{00000000-0005-0000-0000-0000562E0000}"/>
    <cellStyle name="Обычный 5 4 2 2 3 5" xfId="10754" xr:uid="{00000000-0005-0000-0000-0000572E0000}"/>
    <cellStyle name="Обычный 5 4 2 2 3 6" xfId="11740" xr:uid="{00000000-0005-0000-0000-0000582E0000}"/>
    <cellStyle name="Обычный 5 4 2 2 3 7" xfId="12726" xr:uid="{00000000-0005-0000-0000-0000592E0000}"/>
    <cellStyle name="Обычный 5 4 2 2 3 8" xfId="13712" xr:uid="{00000000-0005-0000-0000-00005A2E0000}"/>
    <cellStyle name="Обычный 5 4 2 2 3 9" xfId="14712" xr:uid="{00000000-0005-0000-0000-00005B2E0000}"/>
    <cellStyle name="Обычный 5 4 2 2 4" xfId="7062" xr:uid="{00000000-0005-0000-0000-00005C2E0000}"/>
    <cellStyle name="Обычный 5 4 2 2 5" xfId="8068" xr:uid="{00000000-0005-0000-0000-00005D2E0000}"/>
    <cellStyle name="Обычный 5 4 2 2 6" xfId="9054" xr:uid="{00000000-0005-0000-0000-00005E2E0000}"/>
    <cellStyle name="Обычный 5 4 2 2 7" xfId="10040" xr:uid="{00000000-0005-0000-0000-00005F2E0000}"/>
    <cellStyle name="Обычный 5 4 2 2 8" xfId="11026" xr:uid="{00000000-0005-0000-0000-0000602E0000}"/>
    <cellStyle name="Обычный 5 4 2 2 9" xfId="12012" xr:uid="{00000000-0005-0000-0000-0000612E0000}"/>
    <cellStyle name="Обычный 5 4 2 3" xfId="6101" xr:uid="{00000000-0005-0000-0000-0000622E0000}"/>
    <cellStyle name="Обычный 5 4 2 3 10" xfId="13051" xr:uid="{00000000-0005-0000-0000-0000632E0000}"/>
    <cellStyle name="Обычный 5 4 2 3 11" xfId="14051" xr:uid="{00000000-0005-0000-0000-0000642E0000}"/>
    <cellStyle name="Обычный 5 4 2 3 12" xfId="15037" xr:uid="{00000000-0005-0000-0000-0000652E0000}"/>
    <cellStyle name="Обычный 5 4 2 3 2" xfId="6562" xr:uid="{00000000-0005-0000-0000-0000662E0000}"/>
    <cellStyle name="Обычный 5 4 2 3 2 10" xfId="15481" xr:uid="{00000000-0005-0000-0000-0000672E0000}"/>
    <cellStyle name="Обычный 5 4 2 3 2 2" xfId="7559" xr:uid="{00000000-0005-0000-0000-0000682E0000}"/>
    <cellStyle name="Обычный 5 4 2 3 2 3" xfId="8565" xr:uid="{00000000-0005-0000-0000-0000692E0000}"/>
    <cellStyle name="Обычный 5 4 2 3 2 4" xfId="9551" xr:uid="{00000000-0005-0000-0000-00006A2E0000}"/>
    <cellStyle name="Обычный 5 4 2 3 2 5" xfId="10537" xr:uid="{00000000-0005-0000-0000-00006B2E0000}"/>
    <cellStyle name="Обычный 5 4 2 3 2 6" xfId="11523" xr:uid="{00000000-0005-0000-0000-00006C2E0000}"/>
    <cellStyle name="Обычный 5 4 2 3 2 7" xfId="12509" xr:uid="{00000000-0005-0000-0000-00006D2E0000}"/>
    <cellStyle name="Обычный 5 4 2 3 2 8" xfId="13495" xr:uid="{00000000-0005-0000-0000-00006E2E0000}"/>
    <cellStyle name="Обычный 5 4 2 3 2 9" xfId="14495" xr:uid="{00000000-0005-0000-0000-00006F2E0000}"/>
    <cellStyle name="Обычный 5 4 2 3 3" xfId="6832" xr:uid="{00000000-0005-0000-0000-0000702E0000}"/>
    <cellStyle name="Обычный 5 4 2 3 3 10" xfId="15751" xr:uid="{00000000-0005-0000-0000-0000712E0000}"/>
    <cellStyle name="Обычный 5 4 2 3 3 2" xfId="7829" xr:uid="{00000000-0005-0000-0000-0000722E0000}"/>
    <cellStyle name="Обычный 5 4 2 3 3 3" xfId="8835" xr:uid="{00000000-0005-0000-0000-0000732E0000}"/>
    <cellStyle name="Обычный 5 4 2 3 3 4" xfId="9821" xr:uid="{00000000-0005-0000-0000-0000742E0000}"/>
    <cellStyle name="Обычный 5 4 2 3 3 5" xfId="10807" xr:uid="{00000000-0005-0000-0000-0000752E0000}"/>
    <cellStyle name="Обычный 5 4 2 3 3 6" xfId="11793" xr:uid="{00000000-0005-0000-0000-0000762E0000}"/>
    <cellStyle name="Обычный 5 4 2 3 3 7" xfId="12779" xr:uid="{00000000-0005-0000-0000-0000772E0000}"/>
    <cellStyle name="Обычный 5 4 2 3 3 8" xfId="13765" xr:uid="{00000000-0005-0000-0000-0000782E0000}"/>
    <cellStyle name="Обычный 5 4 2 3 3 9" xfId="14765" xr:uid="{00000000-0005-0000-0000-0000792E0000}"/>
    <cellStyle name="Обычный 5 4 2 3 4" xfId="7115" xr:uid="{00000000-0005-0000-0000-00007A2E0000}"/>
    <cellStyle name="Обычный 5 4 2 3 5" xfId="8121" xr:uid="{00000000-0005-0000-0000-00007B2E0000}"/>
    <cellStyle name="Обычный 5 4 2 3 6" xfId="9107" xr:uid="{00000000-0005-0000-0000-00007C2E0000}"/>
    <cellStyle name="Обычный 5 4 2 3 7" xfId="10093" xr:uid="{00000000-0005-0000-0000-00007D2E0000}"/>
    <cellStyle name="Обычный 5 4 2 3 8" xfId="11079" xr:uid="{00000000-0005-0000-0000-00007E2E0000}"/>
    <cellStyle name="Обычный 5 4 2 3 9" xfId="12065" xr:uid="{00000000-0005-0000-0000-00007F2E0000}"/>
    <cellStyle name="Обычный 5 4 2 4" xfId="6450" xr:uid="{00000000-0005-0000-0000-0000802E0000}"/>
    <cellStyle name="Обычный 5 4 2 4 10" xfId="15369" xr:uid="{00000000-0005-0000-0000-0000812E0000}"/>
    <cellStyle name="Обычный 5 4 2 4 2" xfId="7447" xr:uid="{00000000-0005-0000-0000-0000822E0000}"/>
    <cellStyle name="Обычный 5 4 2 4 3" xfId="8453" xr:uid="{00000000-0005-0000-0000-0000832E0000}"/>
    <cellStyle name="Обычный 5 4 2 4 4" xfId="9439" xr:uid="{00000000-0005-0000-0000-0000842E0000}"/>
    <cellStyle name="Обычный 5 4 2 4 5" xfId="10425" xr:uid="{00000000-0005-0000-0000-0000852E0000}"/>
    <cellStyle name="Обычный 5 4 2 4 6" xfId="11411" xr:uid="{00000000-0005-0000-0000-0000862E0000}"/>
    <cellStyle name="Обычный 5 4 2 4 7" xfId="12397" xr:uid="{00000000-0005-0000-0000-0000872E0000}"/>
    <cellStyle name="Обычный 5 4 2 4 8" xfId="13383" xr:uid="{00000000-0005-0000-0000-0000882E0000}"/>
    <cellStyle name="Обычный 5 4 2 4 9" xfId="14383" xr:uid="{00000000-0005-0000-0000-0000892E0000}"/>
    <cellStyle name="Обычный 5 4 2 5" xfId="6720" xr:uid="{00000000-0005-0000-0000-00008A2E0000}"/>
    <cellStyle name="Обычный 5 4 2 5 10" xfId="15639" xr:uid="{00000000-0005-0000-0000-00008B2E0000}"/>
    <cellStyle name="Обычный 5 4 2 5 2" xfId="7717" xr:uid="{00000000-0005-0000-0000-00008C2E0000}"/>
    <cellStyle name="Обычный 5 4 2 5 3" xfId="8723" xr:uid="{00000000-0005-0000-0000-00008D2E0000}"/>
    <cellStyle name="Обычный 5 4 2 5 4" xfId="9709" xr:uid="{00000000-0005-0000-0000-00008E2E0000}"/>
    <cellStyle name="Обычный 5 4 2 5 5" xfId="10695" xr:uid="{00000000-0005-0000-0000-00008F2E0000}"/>
    <cellStyle name="Обычный 5 4 2 5 6" xfId="11681" xr:uid="{00000000-0005-0000-0000-0000902E0000}"/>
    <cellStyle name="Обычный 5 4 2 5 7" xfId="12667" xr:uid="{00000000-0005-0000-0000-0000912E0000}"/>
    <cellStyle name="Обычный 5 4 2 5 8" xfId="13653" xr:uid="{00000000-0005-0000-0000-0000922E0000}"/>
    <cellStyle name="Обычный 5 4 2 5 9" xfId="14653" xr:uid="{00000000-0005-0000-0000-0000932E0000}"/>
    <cellStyle name="Обычный 5 4 2 6" xfId="7003" xr:uid="{00000000-0005-0000-0000-0000942E0000}"/>
    <cellStyle name="Обычный 5 4 2 7" xfId="8009" xr:uid="{00000000-0005-0000-0000-0000952E0000}"/>
    <cellStyle name="Обычный 5 4 2 8" xfId="8995" xr:uid="{00000000-0005-0000-0000-0000962E0000}"/>
    <cellStyle name="Обычный 5 4 2 9" xfId="9981" xr:uid="{00000000-0005-0000-0000-0000972E0000}"/>
    <cellStyle name="Обычный 5 4 20" xfId="13913" xr:uid="{00000000-0005-0000-0000-0000982E0000}"/>
    <cellStyle name="Обычный 5 4 21" xfId="14899" xr:uid="{00000000-0005-0000-0000-0000992E0000}"/>
    <cellStyle name="Обычный 5 4 3" xfId="3388" xr:uid="{00000000-0005-0000-0000-00009A2E0000}"/>
    <cellStyle name="Обычный 5 4 3 10" xfId="10968" xr:uid="{00000000-0005-0000-0000-00009B2E0000}"/>
    <cellStyle name="Обычный 5 4 3 11" xfId="11954" xr:uid="{00000000-0005-0000-0000-00009C2E0000}"/>
    <cellStyle name="Обычный 5 4 3 12" xfId="12940" xr:uid="{00000000-0005-0000-0000-00009D2E0000}"/>
    <cellStyle name="Обычный 5 4 3 13" xfId="13940" xr:uid="{00000000-0005-0000-0000-00009E2E0000}"/>
    <cellStyle name="Обычный 5 4 3 14" xfId="14926" xr:uid="{00000000-0005-0000-0000-00009F2E0000}"/>
    <cellStyle name="Обычный 5 4 3 2" xfId="6045" xr:uid="{00000000-0005-0000-0000-0000A02E0000}"/>
    <cellStyle name="Обычный 5 4 3 2 10" xfId="12999" xr:uid="{00000000-0005-0000-0000-0000A12E0000}"/>
    <cellStyle name="Обычный 5 4 3 2 11" xfId="13999" xr:uid="{00000000-0005-0000-0000-0000A22E0000}"/>
    <cellStyle name="Обычный 5 4 3 2 12" xfId="14985" xr:uid="{00000000-0005-0000-0000-0000A32E0000}"/>
    <cellStyle name="Обычный 5 4 3 2 2" xfId="6510" xr:uid="{00000000-0005-0000-0000-0000A42E0000}"/>
    <cellStyle name="Обычный 5 4 3 2 2 10" xfId="15429" xr:uid="{00000000-0005-0000-0000-0000A52E0000}"/>
    <cellStyle name="Обычный 5 4 3 2 2 2" xfId="7507" xr:uid="{00000000-0005-0000-0000-0000A62E0000}"/>
    <cellStyle name="Обычный 5 4 3 2 2 3" xfId="8513" xr:uid="{00000000-0005-0000-0000-0000A72E0000}"/>
    <cellStyle name="Обычный 5 4 3 2 2 4" xfId="9499" xr:uid="{00000000-0005-0000-0000-0000A82E0000}"/>
    <cellStyle name="Обычный 5 4 3 2 2 5" xfId="10485" xr:uid="{00000000-0005-0000-0000-0000A92E0000}"/>
    <cellStyle name="Обычный 5 4 3 2 2 6" xfId="11471" xr:uid="{00000000-0005-0000-0000-0000AA2E0000}"/>
    <cellStyle name="Обычный 5 4 3 2 2 7" xfId="12457" xr:uid="{00000000-0005-0000-0000-0000AB2E0000}"/>
    <cellStyle name="Обычный 5 4 3 2 2 8" xfId="13443" xr:uid="{00000000-0005-0000-0000-0000AC2E0000}"/>
    <cellStyle name="Обычный 5 4 3 2 2 9" xfId="14443" xr:uid="{00000000-0005-0000-0000-0000AD2E0000}"/>
    <cellStyle name="Обычный 5 4 3 2 3" xfId="6780" xr:uid="{00000000-0005-0000-0000-0000AE2E0000}"/>
    <cellStyle name="Обычный 5 4 3 2 3 10" xfId="15699" xr:uid="{00000000-0005-0000-0000-0000AF2E0000}"/>
    <cellStyle name="Обычный 5 4 3 2 3 2" xfId="7777" xr:uid="{00000000-0005-0000-0000-0000B02E0000}"/>
    <cellStyle name="Обычный 5 4 3 2 3 3" xfId="8783" xr:uid="{00000000-0005-0000-0000-0000B12E0000}"/>
    <cellStyle name="Обычный 5 4 3 2 3 4" xfId="9769" xr:uid="{00000000-0005-0000-0000-0000B22E0000}"/>
    <cellStyle name="Обычный 5 4 3 2 3 5" xfId="10755" xr:uid="{00000000-0005-0000-0000-0000B32E0000}"/>
    <cellStyle name="Обычный 5 4 3 2 3 6" xfId="11741" xr:uid="{00000000-0005-0000-0000-0000B42E0000}"/>
    <cellStyle name="Обычный 5 4 3 2 3 7" xfId="12727" xr:uid="{00000000-0005-0000-0000-0000B52E0000}"/>
    <cellStyle name="Обычный 5 4 3 2 3 8" xfId="13713" xr:uid="{00000000-0005-0000-0000-0000B62E0000}"/>
    <cellStyle name="Обычный 5 4 3 2 3 9" xfId="14713" xr:uid="{00000000-0005-0000-0000-0000B72E0000}"/>
    <cellStyle name="Обычный 5 4 3 2 4" xfId="7063" xr:uid="{00000000-0005-0000-0000-0000B82E0000}"/>
    <cellStyle name="Обычный 5 4 3 2 5" xfId="8069" xr:uid="{00000000-0005-0000-0000-0000B92E0000}"/>
    <cellStyle name="Обычный 5 4 3 2 6" xfId="9055" xr:uid="{00000000-0005-0000-0000-0000BA2E0000}"/>
    <cellStyle name="Обычный 5 4 3 2 7" xfId="10041" xr:uid="{00000000-0005-0000-0000-0000BB2E0000}"/>
    <cellStyle name="Обычный 5 4 3 2 8" xfId="11027" xr:uid="{00000000-0005-0000-0000-0000BC2E0000}"/>
    <cellStyle name="Обычный 5 4 3 2 9" xfId="12013" xr:uid="{00000000-0005-0000-0000-0000BD2E0000}"/>
    <cellStyle name="Обычный 5 4 3 3" xfId="6102" xr:uid="{00000000-0005-0000-0000-0000BE2E0000}"/>
    <cellStyle name="Обычный 5 4 3 3 10" xfId="13052" xr:uid="{00000000-0005-0000-0000-0000BF2E0000}"/>
    <cellStyle name="Обычный 5 4 3 3 11" xfId="14052" xr:uid="{00000000-0005-0000-0000-0000C02E0000}"/>
    <cellStyle name="Обычный 5 4 3 3 12" xfId="15038" xr:uid="{00000000-0005-0000-0000-0000C12E0000}"/>
    <cellStyle name="Обычный 5 4 3 3 2" xfId="6563" xr:uid="{00000000-0005-0000-0000-0000C22E0000}"/>
    <cellStyle name="Обычный 5 4 3 3 2 10" xfId="15482" xr:uid="{00000000-0005-0000-0000-0000C32E0000}"/>
    <cellStyle name="Обычный 5 4 3 3 2 2" xfId="7560" xr:uid="{00000000-0005-0000-0000-0000C42E0000}"/>
    <cellStyle name="Обычный 5 4 3 3 2 3" xfId="8566" xr:uid="{00000000-0005-0000-0000-0000C52E0000}"/>
    <cellStyle name="Обычный 5 4 3 3 2 4" xfId="9552" xr:uid="{00000000-0005-0000-0000-0000C62E0000}"/>
    <cellStyle name="Обычный 5 4 3 3 2 5" xfId="10538" xr:uid="{00000000-0005-0000-0000-0000C72E0000}"/>
    <cellStyle name="Обычный 5 4 3 3 2 6" xfId="11524" xr:uid="{00000000-0005-0000-0000-0000C82E0000}"/>
    <cellStyle name="Обычный 5 4 3 3 2 7" xfId="12510" xr:uid="{00000000-0005-0000-0000-0000C92E0000}"/>
    <cellStyle name="Обычный 5 4 3 3 2 8" xfId="13496" xr:uid="{00000000-0005-0000-0000-0000CA2E0000}"/>
    <cellStyle name="Обычный 5 4 3 3 2 9" xfId="14496" xr:uid="{00000000-0005-0000-0000-0000CB2E0000}"/>
    <cellStyle name="Обычный 5 4 3 3 3" xfId="6833" xr:uid="{00000000-0005-0000-0000-0000CC2E0000}"/>
    <cellStyle name="Обычный 5 4 3 3 3 10" xfId="15752" xr:uid="{00000000-0005-0000-0000-0000CD2E0000}"/>
    <cellStyle name="Обычный 5 4 3 3 3 2" xfId="7830" xr:uid="{00000000-0005-0000-0000-0000CE2E0000}"/>
    <cellStyle name="Обычный 5 4 3 3 3 3" xfId="8836" xr:uid="{00000000-0005-0000-0000-0000CF2E0000}"/>
    <cellStyle name="Обычный 5 4 3 3 3 4" xfId="9822" xr:uid="{00000000-0005-0000-0000-0000D02E0000}"/>
    <cellStyle name="Обычный 5 4 3 3 3 5" xfId="10808" xr:uid="{00000000-0005-0000-0000-0000D12E0000}"/>
    <cellStyle name="Обычный 5 4 3 3 3 6" xfId="11794" xr:uid="{00000000-0005-0000-0000-0000D22E0000}"/>
    <cellStyle name="Обычный 5 4 3 3 3 7" xfId="12780" xr:uid="{00000000-0005-0000-0000-0000D32E0000}"/>
    <cellStyle name="Обычный 5 4 3 3 3 8" xfId="13766" xr:uid="{00000000-0005-0000-0000-0000D42E0000}"/>
    <cellStyle name="Обычный 5 4 3 3 3 9" xfId="14766" xr:uid="{00000000-0005-0000-0000-0000D52E0000}"/>
    <cellStyle name="Обычный 5 4 3 3 4" xfId="7116" xr:uid="{00000000-0005-0000-0000-0000D62E0000}"/>
    <cellStyle name="Обычный 5 4 3 3 5" xfId="8122" xr:uid="{00000000-0005-0000-0000-0000D72E0000}"/>
    <cellStyle name="Обычный 5 4 3 3 6" xfId="9108" xr:uid="{00000000-0005-0000-0000-0000D82E0000}"/>
    <cellStyle name="Обычный 5 4 3 3 7" xfId="10094" xr:uid="{00000000-0005-0000-0000-0000D92E0000}"/>
    <cellStyle name="Обычный 5 4 3 3 8" xfId="11080" xr:uid="{00000000-0005-0000-0000-0000DA2E0000}"/>
    <cellStyle name="Обычный 5 4 3 3 9" xfId="12066" xr:uid="{00000000-0005-0000-0000-0000DB2E0000}"/>
    <cellStyle name="Обычный 5 4 3 4" xfId="6451" xr:uid="{00000000-0005-0000-0000-0000DC2E0000}"/>
    <cellStyle name="Обычный 5 4 3 4 10" xfId="15370" xr:uid="{00000000-0005-0000-0000-0000DD2E0000}"/>
    <cellStyle name="Обычный 5 4 3 4 2" xfId="7448" xr:uid="{00000000-0005-0000-0000-0000DE2E0000}"/>
    <cellStyle name="Обычный 5 4 3 4 3" xfId="8454" xr:uid="{00000000-0005-0000-0000-0000DF2E0000}"/>
    <cellStyle name="Обычный 5 4 3 4 4" xfId="9440" xr:uid="{00000000-0005-0000-0000-0000E02E0000}"/>
    <cellStyle name="Обычный 5 4 3 4 5" xfId="10426" xr:uid="{00000000-0005-0000-0000-0000E12E0000}"/>
    <cellStyle name="Обычный 5 4 3 4 6" xfId="11412" xr:uid="{00000000-0005-0000-0000-0000E22E0000}"/>
    <cellStyle name="Обычный 5 4 3 4 7" xfId="12398" xr:uid="{00000000-0005-0000-0000-0000E32E0000}"/>
    <cellStyle name="Обычный 5 4 3 4 8" xfId="13384" xr:uid="{00000000-0005-0000-0000-0000E42E0000}"/>
    <cellStyle name="Обычный 5 4 3 4 9" xfId="14384" xr:uid="{00000000-0005-0000-0000-0000E52E0000}"/>
    <cellStyle name="Обычный 5 4 3 5" xfId="6721" xr:uid="{00000000-0005-0000-0000-0000E62E0000}"/>
    <cellStyle name="Обычный 5 4 3 5 10" xfId="15640" xr:uid="{00000000-0005-0000-0000-0000E72E0000}"/>
    <cellStyle name="Обычный 5 4 3 5 2" xfId="7718" xr:uid="{00000000-0005-0000-0000-0000E82E0000}"/>
    <cellStyle name="Обычный 5 4 3 5 3" xfId="8724" xr:uid="{00000000-0005-0000-0000-0000E92E0000}"/>
    <cellStyle name="Обычный 5 4 3 5 4" xfId="9710" xr:uid="{00000000-0005-0000-0000-0000EA2E0000}"/>
    <cellStyle name="Обычный 5 4 3 5 5" xfId="10696" xr:uid="{00000000-0005-0000-0000-0000EB2E0000}"/>
    <cellStyle name="Обычный 5 4 3 5 6" xfId="11682" xr:uid="{00000000-0005-0000-0000-0000EC2E0000}"/>
    <cellStyle name="Обычный 5 4 3 5 7" xfId="12668" xr:uid="{00000000-0005-0000-0000-0000ED2E0000}"/>
    <cellStyle name="Обычный 5 4 3 5 8" xfId="13654" xr:uid="{00000000-0005-0000-0000-0000EE2E0000}"/>
    <cellStyle name="Обычный 5 4 3 5 9" xfId="14654" xr:uid="{00000000-0005-0000-0000-0000EF2E0000}"/>
    <cellStyle name="Обычный 5 4 3 6" xfId="7004" xr:uid="{00000000-0005-0000-0000-0000F02E0000}"/>
    <cellStyle name="Обычный 5 4 3 7" xfId="8010" xr:uid="{00000000-0005-0000-0000-0000F12E0000}"/>
    <cellStyle name="Обычный 5 4 3 8" xfId="8996" xr:uid="{00000000-0005-0000-0000-0000F22E0000}"/>
    <cellStyle name="Обычный 5 4 3 9" xfId="9982" xr:uid="{00000000-0005-0000-0000-0000F32E0000}"/>
    <cellStyle name="Обычный 5 4 4" xfId="3389" xr:uid="{00000000-0005-0000-0000-0000F42E0000}"/>
    <cellStyle name="Обычный 5 4 4 10" xfId="10969" xr:uid="{00000000-0005-0000-0000-0000F52E0000}"/>
    <cellStyle name="Обычный 5 4 4 11" xfId="11955" xr:uid="{00000000-0005-0000-0000-0000F62E0000}"/>
    <cellStyle name="Обычный 5 4 4 12" xfId="12941" xr:uid="{00000000-0005-0000-0000-0000F72E0000}"/>
    <cellStyle name="Обычный 5 4 4 13" xfId="13941" xr:uid="{00000000-0005-0000-0000-0000F82E0000}"/>
    <cellStyle name="Обычный 5 4 4 14" xfId="14927" xr:uid="{00000000-0005-0000-0000-0000F92E0000}"/>
    <cellStyle name="Обычный 5 4 4 2" xfId="6046" xr:uid="{00000000-0005-0000-0000-0000FA2E0000}"/>
    <cellStyle name="Обычный 5 4 4 2 10" xfId="13000" xr:uid="{00000000-0005-0000-0000-0000FB2E0000}"/>
    <cellStyle name="Обычный 5 4 4 2 11" xfId="14000" xr:uid="{00000000-0005-0000-0000-0000FC2E0000}"/>
    <cellStyle name="Обычный 5 4 4 2 12" xfId="14986" xr:uid="{00000000-0005-0000-0000-0000FD2E0000}"/>
    <cellStyle name="Обычный 5 4 4 2 2" xfId="6511" xr:uid="{00000000-0005-0000-0000-0000FE2E0000}"/>
    <cellStyle name="Обычный 5 4 4 2 2 10" xfId="15430" xr:uid="{00000000-0005-0000-0000-0000FF2E0000}"/>
    <cellStyle name="Обычный 5 4 4 2 2 2" xfId="7508" xr:uid="{00000000-0005-0000-0000-0000002F0000}"/>
    <cellStyle name="Обычный 5 4 4 2 2 3" xfId="8514" xr:uid="{00000000-0005-0000-0000-0000012F0000}"/>
    <cellStyle name="Обычный 5 4 4 2 2 4" xfId="9500" xr:uid="{00000000-0005-0000-0000-0000022F0000}"/>
    <cellStyle name="Обычный 5 4 4 2 2 5" xfId="10486" xr:uid="{00000000-0005-0000-0000-0000032F0000}"/>
    <cellStyle name="Обычный 5 4 4 2 2 6" xfId="11472" xr:uid="{00000000-0005-0000-0000-0000042F0000}"/>
    <cellStyle name="Обычный 5 4 4 2 2 7" xfId="12458" xr:uid="{00000000-0005-0000-0000-0000052F0000}"/>
    <cellStyle name="Обычный 5 4 4 2 2 8" xfId="13444" xr:uid="{00000000-0005-0000-0000-0000062F0000}"/>
    <cellStyle name="Обычный 5 4 4 2 2 9" xfId="14444" xr:uid="{00000000-0005-0000-0000-0000072F0000}"/>
    <cellStyle name="Обычный 5 4 4 2 3" xfId="6781" xr:uid="{00000000-0005-0000-0000-0000082F0000}"/>
    <cellStyle name="Обычный 5 4 4 2 3 10" xfId="15700" xr:uid="{00000000-0005-0000-0000-0000092F0000}"/>
    <cellStyle name="Обычный 5 4 4 2 3 2" xfId="7778" xr:uid="{00000000-0005-0000-0000-00000A2F0000}"/>
    <cellStyle name="Обычный 5 4 4 2 3 3" xfId="8784" xr:uid="{00000000-0005-0000-0000-00000B2F0000}"/>
    <cellStyle name="Обычный 5 4 4 2 3 4" xfId="9770" xr:uid="{00000000-0005-0000-0000-00000C2F0000}"/>
    <cellStyle name="Обычный 5 4 4 2 3 5" xfId="10756" xr:uid="{00000000-0005-0000-0000-00000D2F0000}"/>
    <cellStyle name="Обычный 5 4 4 2 3 6" xfId="11742" xr:uid="{00000000-0005-0000-0000-00000E2F0000}"/>
    <cellStyle name="Обычный 5 4 4 2 3 7" xfId="12728" xr:uid="{00000000-0005-0000-0000-00000F2F0000}"/>
    <cellStyle name="Обычный 5 4 4 2 3 8" xfId="13714" xr:uid="{00000000-0005-0000-0000-0000102F0000}"/>
    <cellStyle name="Обычный 5 4 4 2 3 9" xfId="14714" xr:uid="{00000000-0005-0000-0000-0000112F0000}"/>
    <cellStyle name="Обычный 5 4 4 2 4" xfId="7064" xr:uid="{00000000-0005-0000-0000-0000122F0000}"/>
    <cellStyle name="Обычный 5 4 4 2 5" xfId="8070" xr:uid="{00000000-0005-0000-0000-0000132F0000}"/>
    <cellStyle name="Обычный 5 4 4 2 6" xfId="9056" xr:uid="{00000000-0005-0000-0000-0000142F0000}"/>
    <cellStyle name="Обычный 5 4 4 2 7" xfId="10042" xr:uid="{00000000-0005-0000-0000-0000152F0000}"/>
    <cellStyle name="Обычный 5 4 4 2 8" xfId="11028" xr:uid="{00000000-0005-0000-0000-0000162F0000}"/>
    <cellStyle name="Обычный 5 4 4 2 9" xfId="12014" xr:uid="{00000000-0005-0000-0000-0000172F0000}"/>
    <cellStyle name="Обычный 5 4 4 3" xfId="6103" xr:uid="{00000000-0005-0000-0000-0000182F0000}"/>
    <cellStyle name="Обычный 5 4 4 3 10" xfId="13053" xr:uid="{00000000-0005-0000-0000-0000192F0000}"/>
    <cellStyle name="Обычный 5 4 4 3 11" xfId="14053" xr:uid="{00000000-0005-0000-0000-00001A2F0000}"/>
    <cellStyle name="Обычный 5 4 4 3 12" xfId="15039" xr:uid="{00000000-0005-0000-0000-00001B2F0000}"/>
    <cellStyle name="Обычный 5 4 4 3 2" xfId="6564" xr:uid="{00000000-0005-0000-0000-00001C2F0000}"/>
    <cellStyle name="Обычный 5 4 4 3 2 10" xfId="15483" xr:uid="{00000000-0005-0000-0000-00001D2F0000}"/>
    <cellStyle name="Обычный 5 4 4 3 2 2" xfId="7561" xr:uid="{00000000-0005-0000-0000-00001E2F0000}"/>
    <cellStyle name="Обычный 5 4 4 3 2 3" xfId="8567" xr:uid="{00000000-0005-0000-0000-00001F2F0000}"/>
    <cellStyle name="Обычный 5 4 4 3 2 4" xfId="9553" xr:uid="{00000000-0005-0000-0000-0000202F0000}"/>
    <cellStyle name="Обычный 5 4 4 3 2 5" xfId="10539" xr:uid="{00000000-0005-0000-0000-0000212F0000}"/>
    <cellStyle name="Обычный 5 4 4 3 2 6" xfId="11525" xr:uid="{00000000-0005-0000-0000-0000222F0000}"/>
    <cellStyle name="Обычный 5 4 4 3 2 7" xfId="12511" xr:uid="{00000000-0005-0000-0000-0000232F0000}"/>
    <cellStyle name="Обычный 5 4 4 3 2 8" xfId="13497" xr:uid="{00000000-0005-0000-0000-0000242F0000}"/>
    <cellStyle name="Обычный 5 4 4 3 2 9" xfId="14497" xr:uid="{00000000-0005-0000-0000-0000252F0000}"/>
    <cellStyle name="Обычный 5 4 4 3 3" xfId="6834" xr:uid="{00000000-0005-0000-0000-0000262F0000}"/>
    <cellStyle name="Обычный 5 4 4 3 3 10" xfId="15753" xr:uid="{00000000-0005-0000-0000-0000272F0000}"/>
    <cellStyle name="Обычный 5 4 4 3 3 2" xfId="7831" xr:uid="{00000000-0005-0000-0000-0000282F0000}"/>
    <cellStyle name="Обычный 5 4 4 3 3 3" xfId="8837" xr:uid="{00000000-0005-0000-0000-0000292F0000}"/>
    <cellStyle name="Обычный 5 4 4 3 3 4" xfId="9823" xr:uid="{00000000-0005-0000-0000-00002A2F0000}"/>
    <cellStyle name="Обычный 5 4 4 3 3 5" xfId="10809" xr:uid="{00000000-0005-0000-0000-00002B2F0000}"/>
    <cellStyle name="Обычный 5 4 4 3 3 6" xfId="11795" xr:uid="{00000000-0005-0000-0000-00002C2F0000}"/>
    <cellStyle name="Обычный 5 4 4 3 3 7" xfId="12781" xr:uid="{00000000-0005-0000-0000-00002D2F0000}"/>
    <cellStyle name="Обычный 5 4 4 3 3 8" xfId="13767" xr:uid="{00000000-0005-0000-0000-00002E2F0000}"/>
    <cellStyle name="Обычный 5 4 4 3 3 9" xfId="14767" xr:uid="{00000000-0005-0000-0000-00002F2F0000}"/>
    <cellStyle name="Обычный 5 4 4 3 4" xfId="7117" xr:uid="{00000000-0005-0000-0000-0000302F0000}"/>
    <cellStyle name="Обычный 5 4 4 3 5" xfId="8123" xr:uid="{00000000-0005-0000-0000-0000312F0000}"/>
    <cellStyle name="Обычный 5 4 4 3 6" xfId="9109" xr:uid="{00000000-0005-0000-0000-0000322F0000}"/>
    <cellStyle name="Обычный 5 4 4 3 7" xfId="10095" xr:uid="{00000000-0005-0000-0000-0000332F0000}"/>
    <cellStyle name="Обычный 5 4 4 3 8" xfId="11081" xr:uid="{00000000-0005-0000-0000-0000342F0000}"/>
    <cellStyle name="Обычный 5 4 4 3 9" xfId="12067" xr:uid="{00000000-0005-0000-0000-0000352F0000}"/>
    <cellStyle name="Обычный 5 4 4 4" xfId="6452" xr:uid="{00000000-0005-0000-0000-0000362F0000}"/>
    <cellStyle name="Обычный 5 4 4 4 10" xfId="15371" xr:uid="{00000000-0005-0000-0000-0000372F0000}"/>
    <cellStyle name="Обычный 5 4 4 4 2" xfId="7449" xr:uid="{00000000-0005-0000-0000-0000382F0000}"/>
    <cellStyle name="Обычный 5 4 4 4 3" xfId="8455" xr:uid="{00000000-0005-0000-0000-0000392F0000}"/>
    <cellStyle name="Обычный 5 4 4 4 4" xfId="9441" xr:uid="{00000000-0005-0000-0000-00003A2F0000}"/>
    <cellStyle name="Обычный 5 4 4 4 5" xfId="10427" xr:uid="{00000000-0005-0000-0000-00003B2F0000}"/>
    <cellStyle name="Обычный 5 4 4 4 6" xfId="11413" xr:uid="{00000000-0005-0000-0000-00003C2F0000}"/>
    <cellStyle name="Обычный 5 4 4 4 7" xfId="12399" xr:uid="{00000000-0005-0000-0000-00003D2F0000}"/>
    <cellStyle name="Обычный 5 4 4 4 8" xfId="13385" xr:uid="{00000000-0005-0000-0000-00003E2F0000}"/>
    <cellStyle name="Обычный 5 4 4 4 9" xfId="14385" xr:uid="{00000000-0005-0000-0000-00003F2F0000}"/>
    <cellStyle name="Обычный 5 4 4 5" xfId="6722" xr:uid="{00000000-0005-0000-0000-0000402F0000}"/>
    <cellStyle name="Обычный 5 4 4 5 10" xfId="15641" xr:uid="{00000000-0005-0000-0000-0000412F0000}"/>
    <cellStyle name="Обычный 5 4 4 5 2" xfId="7719" xr:uid="{00000000-0005-0000-0000-0000422F0000}"/>
    <cellStyle name="Обычный 5 4 4 5 3" xfId="8725" xr:uid="{00000000-0005-0000-0000-0000432F0000}"/>
    <cellStyle name="Обычный 5 4 4 5 4" xfId="9711" xr:uid="{00000000-0005-0000-0000-0000442F0000}"/>
    <cellStyle name="Обычный 5 4 4 5 5" xfId="10697" xr:uid="{00000000-0005-0000-0000-0000452F0000}"/>
    <cellStyle name="Обычный 5 4 4 5 6" xfId="11683" xr:uid="{00000000-0005-0000-0000-0000462F0000}"/>
    <cellStyle name="Обычный 5 4 4 5 7" xfId="12669" xr:uid="{00000000-0005-0000-0000-0000472F0000}"/>
    <cellStyle name="Обычный 5 4 4 5 8" xfId="13655" xr:uid="{00000000-0005-0000-0000-0000482F0000}"/>
    <cellStyle name="Обычный 5 4 4 5 9" xfId="14655" xr:uid="{00000000-0005-0000-0000-0000492F0000}"/>
    <cellStyle name="Обычный 5 4 4 6" xfId="7005" xr:uid="{00000000-0005-0000-0000-00004A2F0000}"/>
    <cellStyle name="Обычный 5 4 4 7" xfId="8011" xr:uid="{00000000-0005-0000-0000-00004B2F0000}"/>
    <cellStyle name="Обычный 5 4 4 8" xfId="8997" xr:uid="{00000000-0005-0000-0000-00004C2F0000}"/>
    <cellStyle name="Обычный 5 4 4 9" xfId="9983" xr:uid="{00000000-0005-0000-0000-00004D2F0000}"/>
    <cellStyle name="Обычный 5 4 5" xfId="3390" xr:uid="{00000000-0005-0000-0000-00004E2F0000}"/>
    <cellStyle name="Обычный 5 4 5 10" xfId="10970" xr:uid="{00000000-0005-0000-0000-00004F2F0000}"/>
    <cellStyle name="Обычный 5 4 5 11" xfId="11956" xr:uid="{00000000-0005-0000-0000-0000502F0000}"/>
    <cellStyle name="Обычный 5 4 5 12" xfId="12942" xr:uid="{00000000-0005-0000-0000-0000512F0000}"/>
    <cellStyle name="Обычный 5 4 5 13" xfId="13942" xr:uid="{00000000-0005-0000-0000-0000522F0000}"/>
    <cellStyle name="Обычный 5 4 5 14" xfId="14928" xr:uid="{00000000-0005-0000-0000-0000532F0000}"/>
    <cellStyle name="Обычный 5 4 5 2" xfId="6047" xr:uid="{00000000-0005-0000-0000-0000542F0000}"/>
    <cellStyle name="Обычный 5 4 5 2 10" xfId="13001" xr:uid="{00000000-0005-0000-0000-0000552F0000}"/>
    <cellStyle name="Обычный 5 4 5 2 11" xfId="14001" xr:uid="{00000000-0005-0000-0000-0000562F0000}"/>
    <cellStyle name="Обычный 5 4 5 2 12" xfId="14987" xr:uid="{00000000-0005-0000-0000-0000572F0000}"/>
    <cellStyle name="Обычный 5 4 5 2 2" xfId="6512" xr:uid="{00000000-0005-0000-0000-0000582F0000}"/>
    <cellStyle name="Обычный 5 4 5 2 2 10" xfId="15431" xr:uid="{00000000-0005-0000-0000-0000592F0000}"/>
    <cellStyle name="Обычный 5 4 5 2 2 2" xfId="7509" xr:uid="{00000000-0005-0000-0000-00005A2F0000}"/>
    <cellStyle name="Обычный 5 4 5 2 2 3" xfId="8515" xr:uid="{00000000-0005-0000-0000-00005B2F0000}"/>
    <cellStyle name="Обычный 5 4 5 2 2 4" xfId="9501" xr:uid="{00000000-0005-0000-0000-00005C2F0000}"/>
    <cellStyle name="Обычный 5 4 5 2 2 5" xfId="10487" xr:uid="{00000000-0005-0000-0000-00005D2F0000}"/>
    <cellStyle name="Обычный 5 4 5 2 2 6" xfId="11473" xr:uid="{00000000-0005-0000-0000-00005E2F0000}"/>
    <cellStyle name="Обычный 5 4 5 2 2 7" xfId="12459" xr:uid="{00000000-0005-0000-0000-00005F2F0000}"/>
    <cellStyle name="Обычный 5 4 5 2 2 8" xfId="13445" xr:uid="{00000000-0005-0000-0000-0000602F0000}"/>
    <cellStyle name="Обычный 5 4 5 2 2 9" xfId="14445" xr:uid="{00000000-0005-0000-0000-0000612F0000}"/>
    <cellStyle name="Обычный 5 4 5 2 3" xfId="6782" xr:uid="{00000000-0005-0000-0000-0000622F0000}"/>
    <cellStyle name="Обычный 5 4 5 2 3 10" xfId="15701" xr:uid="{00000000-0005-0000-0000-0000632F0000}"/>
    <cellStyle name="Обычный 5 4 5 2 3 2" xfId="7779" xr:uid="{00000000-0005-0000-0000-0000642F0000}"/>
    <cellStyle name="Обычный 5 4 5 2 3 3" xfId="8785" xr:uid="{00000000-0005-0000-0000-0000652F0000}"/>
    <cellStyle name="Обычный 5 4 5 2 3 4" xfId="9771" xr:uid="{00000000-0005-0000-0000-0000662F0000}"/>
    <cellStyle name="Обычный 5 4 5 2 3 5" xfId="10757" xr:uid="{00000000-0005-0000-0000-0000672F0000}"/>
    <cellStyle name="Обычный 5 4 5 2 3 6" xfId="11743" xr:uid="{00000000-0005-0000-0000-0000682F0000}"/>
    <cellStyle name="Обычный 5 4 5 2 3 7" xfId="12729" xr:uid="{00000000-0005-0000-0000-0000692F0000}"/>
    <cellStyle name="Обычный 5 4 5 2 3 8" xfId="13715" xr:uid="{00000000-0005-0000-0000-00006A2F0000}"/>
    <cellStyle name="Обычный 5 4 5 2 3 9" xfId="14715" xr:uid="{00000000-0005-0000-0000-00006B2F0000}"/>
    <cellStyle name="Обычный 5 4 5 2 4" xfId="7065" xr:uid="{00000000-0005-0000-0000-00006C2F0000}"/>
    <cellStyle name="Обычный 5 4 5 2 5" xfId="8071" xr:uid="{00000000-0005-0000-0000-00006D2F0000}"/>
    <cellStyle name="Обычный 5 4 5 2 6" xfId="9057" xr:uid="{00000000-0005-0000-0000-00006E2F0000}"/>
    <cellStyle name="Обычный 5 4 5 2 7" xfId="10043" xr:uid="{00000000-0005-0000-0000-00006F2F0000}"/>
    <cellStyle name="Обычный 5 4 5 2 8" xfId="11029" xr:uid="{00000000-0005-0000-0000-0000702F0000}"/>
    <cellStyle name="Обычный 5 4 5 2 9" xfId="12015" xr:uid="{00000000-0005-0000-0000-0000712F0000}"/>
    <cellStyle name="Обычный 5 4 5 3" xfId="6104" xr:uid="{00000000-0005-0000-0000-0000722F0000}"/>
    <cellStyle name="Обычный 5 4 5 3 10" xfId="13054" xr:uid="{00000000-0005-0000-0000-0000732F0000}"/>
    <cellStyle name="Обычный 5 4 5 3 11" xfId="14054" xr:uid="{00000000-0005-0000-0000-0000742F0000}"/>
    <cellStyle name="Обычный 5 4 5 3 12" xfId="15040" xr:uid="{00000000-0005-0000-0000-0000752F0000}"/>
    <cellStyle name="Обычный 5 4 5 3 2" xfId="6565" xr:uid="{00000000-0005-0000-0000-0000762F0000}"/>
    <cellStyle name="Обычный 5 4 5 3 2 10" xfId="15484" xr:uid="{00000000-0005-0000-0000-0000772F0000}"/>
    <cellStyle name="Обычный 5 4 5 3 2 2" xfId="7562" xr:uid="{00000000-0005-0000-0000-0000782F0000}"/>
    <cellStyle name="Обычный 5 4 5 3 2 3" xfId="8568" xr:uid="{00000000-0005-0000-0000-0000792F0000}"/>
    <cellStyle name="Обычный 5 4 5 3 2 4" xfId="9554" xr:uid="{00000000-0005-0000-0000-00007A2F0000}"/>
    <cellStyle name="Обычный 5 4 5 3 2 5" xfId="10540" xr:uid="{00000000-0005-0000-0000-00007B2F0000}"/>
    <cellStyle name="Обычный 5 4 5 3 2 6" xfId="11526" xr:uid="{00000000-0005-0000-0000-00007C2F0000}"/>
    <cellStyle name="Обычный 5 4 5 3 2 7" xfId="12512" xr:uid="{00000000-0005-0000-0000-00007D2F0000}"/>
    <cellStyle name="Обычный 5 4 5 3 2 8" xfId="13498" xr:uid="{00000000-0005-0000-0000-00007E2F0000}"/>
    <cellStyle name="Обычный 5 4 5 3 2 9" xfId="14498" xr:uid="{00000000-0005-0000-0000-00007F2F0000}"/>
    <cellStyle name="Обычный 5 4 5 3 3" xfId="6835" xr:uid="{00000000-0005-0000-0000-0000802F0000}"/>
    <cellStyle name="Обычный 5 4 5 3 3 10" xfId="15754" xr:uid="{00000000-0005-0000-0000-0000812F0000}"/>
    <cellStyle name="Обычный 5 4 5 3 3 2" xfId="7832" xr:uid="{00000000-0005-0000-0000-0000822F0000}"/>
    <cellStyle name="Обычный 5 4 5 3 3 3" xfId="8838" xr:uid="{00000000-0005-0000-0000-0000832F0000}"/>
    <cellStyle name="Обычный 5 4 5 3 3 4" xfId="9824" xr:uid="{00000000-0005-0000-0000-0000842F0000}"/>
    <cellStyle name="Обычный 5 4 5 3 3 5" xfId="10810" xr:uid="{00000000-0005-0000-0000-0000852F0000}"/>
    <cellStyle name="Обычный 5 4 5 3 3 6" xfId="11796" xr:uid="{00000000-0005-0000-0000-0000862F0000}"/>
    <cellStyle name="Обычный 5 4 5 3 3 7" xfId="12782" xr:uid="{00000000-0005-0000-0000-0000872F0000}"/>
    <cellStyle name="Обычный 5 4 5 3 3 8" xfId="13768" xr:uid="{00000000-0005-0000-0000-0000882F0000}"/>
    <cellStyle name="Обычный 5 4 5 3 3 9" xfId="14768" xr:uid="{00000000-0005-0000-0000-0000892F0000}"/>
    <cellStyle name="Обычный 5 4 5 3 4" xfId="7118" xr:uid="{00000000-0005-0000-0000-00008A2F0000}"/>
    <cellStyle name="Обычный 5 4 5 3 5" xfId="8124" xr:uid="{00000000-0005-0000-0000-00008B2F0000}"/>
    <cellStyle name="Обычный 5 4 5 3 6" xfId="9110" xr:uid="{00000000-0005-0000-0000-00008C2F0000}"/>
    <cellStyle name="Обычный 5 4 5 3 7" xfId="10096" xr:uid="{00000000-0005-0000-0000-00008D2F0000}"/>
    <cellStyle name="Обычный 5 4 5 3 8" xfId="11082" xr:uid="{00000000-0005-0000-0000-00008E2F0000}"/>
    <cellStyle name="Обычный 5 4 5 3 9" xfId="12068" xr:uid="{00000000-0005-0000-0000-00008F2F0000}"/>
    <cellStyle name="Обычный 5 4 5 4" xfId="6453" xr:uid="{00000000-0005-0000-0000-0000902F0000}"/>
    <cellStyle name="Обычный 5 4 5 4 10" xfId="15372" xr:uid="{00000000-0005-0000-0000-0000912F0000}"/>
    <cellStyle name="Обычный 5 4 5 4 2" xfId="7450" xr:uid="{00000000-0005-0000-0000-0000922F0000}"/>
    <cellStyle name="Обычный 5 4 5 4 3" xfId="8456" xr:uid="{00000000-0005-0000-0000-0000932F0000}"/>
    <cellStyle name="Обычный 5 4 5 4 4" xfId="9442" xr:uid="{00000000-0005-0000-0000-0000942F0000}"/>
    <cellStyle name="Обычный 5 4 5 4 5" xfId="10428" xr:uid="{00000000-0005-0000-0000-0000952F0000}"/>
    <cellStyle name="Обычный 5 4 5 4 6" xfId="11414" xr:uid="{00000000-0005-0000-0000-0000962F0000}"/>
    <cellStyle name="Обычный 5 4 5 4 7" xfId="12400" xr:uid="{00000000-0005-0000-0000-0000972F0000}"/>
    <cellStyle name="Обычный 5 4 5 4 8" xfId="13386" xr:uid="{00000000-0005-0000-0000-0000982F0000}"/>
    <cellStyle name="Обычный 5 4 5 4 9" xfId="14386" xr:uid="{00000000-0005-0000-0000-0000992F0000}"/>
    <cellStyle name="Обычный 5 4 5 5" xfId="6723" xr:uid="{00000000-0005-0000-0000-00009A2F0000}"/>
    <cellStyle name="Обычный 5 4 5 5 10" xfId="15642" xr:uid="{00000000-0005-0000-0000-00009B2F0000}"/>
    <cellStyle name="Обычный 5 4 5 5 2" xfId="7720" xr:uid="{00000000-0005-0000-0000-00009C2F0000}"/>
    <cellStyle name="Обычный 5 4 5 5 3" xfId="8726" xr:uid="{00000000-0005-0000-0000-00009D2F0000}"/>
    <cellStyle name="Обычный 5 4 5 5 4" xfId="9712" xr:uid="{00000000-0005-0000-0000-00009E2F0000}"/>
    <cellStyle name="Обычный 5 4 5 5 5" xfId="10698" xr:uid="{00000000-0005-0000-0000-00009F2F0000}"/>
    <cellStyle name="Обычный 5 4 5 5 6" xfId="11684" xr:uid="{00000000-0005-0000-0000-0000A02F0000}"/>
    <cellStyle name="Обычный 5 4 5 5 7" xfId="12670" xr:uid="{00000000-0005-0000-0000-0000A12F0000}"/>
    <cellStyle name="Обычный 5 4 5 5 8" xfId="13656" xr:uid="{00000000-0005-0000-0000-0000A22F0000}"/>
    <cellStyle name="Обычный 5 4 5 5 9" xfId="14656" xr:uid="{00000000-0005-0000-0000-0000A32F0000}"/>
    <cellStyle name="Обычный 5 4 5 6" xfId="7006" xr:uid="{00000000-0005-0000-0000-0000A42F0000}"/>
    <cellStyle name="Обычный 5 4 5 7" xfId="8012" xr:uid="{00000000-0005-0000-0000-0000A52F0000}"/>
    <cellStyle name="Обычный 5 4 5 8" xfId="8998" xr:uid="{00000000-0005-0000-0000-0000A62F0000}"/>
    <cellStyle name="Обычный 5 4 5 9" xfId="9984" xr:uid="{00000000-0005-0000-0000-0000A72F0000}"/>
    <cellStyle name="Обычный 5 4 6" xfId="3391" xr:uid="{00000000-0005-0000-0000-0000A82F0000}"/>
    <cellStyle name="Обычный 5 4 6 10" xfId="10971" xr:uid="{00000000-0005-0000-0000-0000A92F0000}"/>
    <cellStyle name="Обычный 5 4 6 11" xfId="11957" xr:uid="{00000000-0005-0000-0000-0000AA2F0000}"/>
    <cellStyle name="Обычный 5 4 6 12" xfId="12943" xr:uid="{00000000-0005-0000-0000-0000AB2F0000}"/>
    <cellStyle name="Обычный 5 4 6 13" xfId="13943" xr:uid="{00000000-0005-0000-0000-0000AC2F0000}"/>
    <cellStyle name="Обычный 5 4 6 14" xfId="14929" xr:uid="{00000000-0005-0000-0000-0000AD2F0000}"/>
    <cellStyle name="Обычный 5 4 6 2" xfId="6048" xr:uid="{00000000-0005-0000-0000-0000AE2F0000}"/>
    <cellStyle name="Обычный 5 4 6 2 10" xfId="13002" xr:uid="{00000000-0005-0000-0000-0000AF2F0000}"/>
    <cellStyle name="Обычный 5 4 6 2 11" xfId="14002" xr:uid="{00000000-0005-0000-0000-0000B02F0000}"/>
    <cellStyle name="Обычный 5 4 6 2 12" xfId="14988" xr:uid="{00000000-0005-0000-0000-0000B12F0000}"/>
    <cellStyle name="Обычный 5 4 6 2 2" xfId="6513" xr:uid="{00000000-0005-0000-0000-0000B22F0000}"/>
    <cellStyle name="Обычный 5 4 6 2 2 10" xfId="15432" xr:uid="{00000000-0005-0000-0000-0000B32F0000}"/>
    <cellStyle name="Обычный 5 4 6 2 2 2" xfId="7510" xr:uid="{00000000-0005-0000-0000-0000B42F0000}"/>
    <cellStyle name="Обычный 5 4 6 2 2 3" xfId="8516" xr:uid="{00000000-0005-0000-0000-0000B52F0000}"/>
    <cellStyle name="Обычный 5 4 6 2 2 4" xfId="9502" xr:uid="{00000000-0005-0000-0000-0000B62F0000}"/>
    <cellStyle name="Обычный 5 4 6 2 2 5" xfId="10488" xr:uid="{00000000-0005-0000-0000-0000B72F0000}"/>
    <cellStyle name="Обычный 5 4 6 2 2 6" xfId="11474" xr:uid="{00000000-0005-0000-0000-0000B82F0000}"/>
    <cellStyle name="Обычный 5 4 6 2 2 7" xfId="12460" xr:uid="{00000000-0005-0000-0000-0000B92F0000}"/>
    <cellStyle name="Обычный 5 4 6 2 2 8" xfId="13446" xr:uid="{00000000-0005-0000-0000-0000BA2F0000}"/>
    <cellStyle name="Обычный 5 4 6 2 2 9" xfId="14446" xr:uid="{00000000-0005-0000-0000-0000BB2F0000}"/>
    <cellStyle name="Обычный 5 4 6 2 3" xfId="6783" xr:uid="{00000000-0005-0000-0000-0000BC2F0000}"/>
    <cellStyle name="Обычный 5 4 6 2 3 10" xfId="15702" xr:uid="{00000000-0005-0000-0000-0000BD2F0000}"/>
    <cellStyle name="Обычный 5 4 6 2 3 2" xfId="7780" xr:uid="{00000000-0005-0000-0000-0000BE2F0000}"/>
    <cellStyle name="Обычный 5 4 6 2 3 3" xfId="8786" xr:uid="{00000000-0005-0000-0000-0000BF2F0000}"/>
    <cellStyle name="Обычный 5 4 6 2 3 4" xfId="9772" xr:uid="{00000000-0005-0000-0000-0000C02F0000}"/>
    <cellStyle name="Обычный 5 4 6 2 3 5" xfId="10758" xr:uid="{00000000-0005-0000-0000-0000C12F0000}"/>
    <cellStyle name="Обычный 5 4 6 2 3 6" xfId="11744" xr:uid="{00000000-0005-0000-0000-0000C22F0000}"/>
    <cellStyle name="Обычный 5 4 6 2 3 7" xfId="12730" xr:uid="{00000000-0005-0000-0000-0000C32F0000}"/>
    <cellStyle name="Обычный 5 4 6 2 3 8" xfId="13716" xr:uid="{00000000-0005-0000-0000-0000C42F0000}"/>
    <cellStyle name="Обычный 5 4 6 2 3 9" xfId="14716" xr:uid="{00000000-0005-0000-0000-0000C52F0000}"/>
    <cellStyle name="Обычный 5 4 6 2 4" xfId="7066" xr:uid="{00000000-0005-0000-0000-0000C62F0000}"/>
    <cellStyle name="Обычный 5 4 6 2 5" xfId="8072" xr:uid="{00000000-0005-0000-0000-0000C72F0000}"/>
    <cellStyle name="Обычный 5 4 6 2 6" xfId="9058" xr:uid="{00000000-0005-0000-0000-0000C82F0000}"/>
    <cellStyle name="Обычный 5 4 6 2 7" xfId="10044" xr:uid="{00000000-0005-0000-0000-0000C92F0000}"/>
    <cellStyle name="Обычный 5 4 6 2 8" xfId="11030" xr:uid="{00000000-0005-0000-0000-0000CA2F0000}"/>
    <cellStyle name="Обычный 5 4 6 2 9" xfId="12016" xr:uid="{00000000-0005-0000-0000-0000CB2F0000}"/>
    <cellStyle name="Обычный 5 4 6 3" xfId="6105" xr:uid="{00000000-0005-0000-0000-0000CC2F0000}"/>
    <cellStyle name="Обычный 5 4 6 3 10" xfId="13055" xr:uid="{00000000-0005-0000-0000-0000CD2F0000}"/>
    <cellStyle name="Обычный 5 4 6 3 11" xfId="14055" xr:uid="{00000000-0005-0000-0000-0000CE2F0000}"/>
    <cellStyle name="Обычный 5 4 6 3 12" xfId="15041" xr:uid="{00000000-0005-0000-0000-0000CF2F0000}"/>
    <cellStyle name="Обычный 5 4 6 3 2" xfId="6566" xr:uid="{00000000-0005-0000-0000-0000D02F0000}"/>
    <cellStyle name="Обычный 5 4 6 3 2 10" xfId="15485" xr:uid="{00000000-0005-0000-0000-0000D12F0000}"/>
    <cellStyle name="Обычный 5 4 6 3 2 2" xfId="7563" xr:uid="{00000000-0005-0000-0000-0000D22F0000}"/>
    <cellStyle name="Обычный 5 4 6 3 2 3" xfId="8569" xr:uid="{00000000-0005-0000-0000-0000D32F0000}"/>
    <cellStyle name="Обычный 5 4 6 3 2 4" xfId="9555" xr:uid="{00000000-0005-0000-0000-0000D42F0000}"/>
    <cellStyle name="Обычный 5 4 6 3 2 5" xfId="10541" xr:uid="{00000000-0005-0000-0000-0000D52F0000}"/>
    <cellStyle name="Обычный 5 4 6 3 2 6" xfId="11527" xr:uid="{00000000-0005-0000-0000-0000D62F0000}"/>
    <cellStyle name="Обычный 5 4 6 3 2 7" xfId="12513" xr:uid="{00000000-0005-0000-0000-0000D72F0000}"/>
    <cellStyle name="Обычный 5 4 6 3 2 8" xfId="13499" xr:uid="{00000000-0005-0000-0000-0000D82F0000}"/>
    <cellStyle name="Обычный 5 4 6 3 2 9" xfId="14499" xr:uid="{00000000-0005-0000-0000-0000D92F0000}"/>
    <cellStyle name="Обычный 5 4 6 3 3" xfId="6836" xr:uid="{00000000-0005-0000-0000-0000DA2F0000}"/>
    <cellStyle name="Обычный 5 4 6 3 3 10" xfId="15755" xr:uid="{00000000-0005-0000-0000-0000DB2F0000}"/>
    <cellStyle name="Обычный 5 4 6 3 3 2" xfId="7833" xr:uid="{00000000-0005-0000-0000-0000DC2F0000}"/>
    <cellStyle name="Обычный 5 4 6 3 3 3" xfId="8839" xr:uid="{00000000-0005-0000-0000-0000DD2F0000}"/>
    <cellStyle name="Обычный 5 4 6 3 3 4" xfId="9825" xr:uid="{00000000-0005-0000-0000-0000DE2F0000}"/>
    <cellStyle name="Обычный 5 4 6 3 3 5" xfId="10811" xr:uid="{00000000-0005-0000-0000-0000DF2F0000}"/>
    <cellStyle name="Обычный 5 4 6 3 3 6" xfId="11797" xr:uid="{00000000-0005-0000-0000-0000E02F0000}"/>
    <cellStyle name="Обычный 5 4 6 3 3 7" xfId="12783" xr:uid="{00000000-0005-0000-0000-0000E12F0000}"/>
    <cellStyle name="Обычный 5 4 6 3 3 8" xfId="13769" xr:uid="{00000000-0005-0000-0000-0000E22F0000}"/>
    <cellStyle name="Обычный 5 4 6 3 3 9" xfId="14769" xr:uid="{00000000-0005-0000-0000-0000E32F0000}"/>
    <cellStyle name="Обычный 5 4 6 3 4" xfId="7119" xr:uid="{00000000-0005-0000-0000-0000E42F0000}"/>
    <cellStyle name="Обычный 5 4 6 3 5" xfId="8125" xr:uid="{00000000-0005-0000-0000-0000E52F0000}"/>
    <cellStyle name="Обычный 5 4 6 3 6" xfId="9111" xr:uid="{00000000-0005-0000-0000-0000E62F0000}"/>
    <cellStyle name="Обычный 5 4 6 3 7" xfId="10097" xr:uid="{00000000-0005-0000-0000-0000E72F0000}"/>
    <cellStyle name="Обычный 5 4 6 3 8" xfId="11083" xr:uid="{00000000-0005-0000-0000-0000E82F0000}"/>
    <cellStyle name="Обычный 5 4 6 3 9" xfId="12069" xr:uid="{00000000-0005-0000-0000-0000E92F0000}"/>
    <cellStyle name="Обычный 5 4 6 4" xfId="6454" xr:uid="{00000000-0005-0000-0000-0000EA2F0000}"/>
    <cellStyle name="Обычный 5 4 6 4 10" xfId="15373" xr:uid="{00000000-0005-0000-0000-0000EB2F0000}"/>
    <cellStyle name="Обычный 5 4 6 4 2" xfId="7451" xr:uid="{00000000-0005-0000-0000-0000EC2F0000}"/>
    <cellStyle name="Обычный 5 4 6 4 3" xfId="8457" xr:uid="{00000000-0005-0000-0000-0000ED2F0000}"/>
    <cellStyle name="Обычный 5 4 6 4 4" xfId="9443" xr:uid="{00000000-0005-0000-0000-0000EE2F0000}"/>
    <cellStyle name="Обычный 5 4 6 4 5" xfId="10429" xr:uid="{00000000-0005-0000-0000-0000EF2F0000}"/>
    <cellStyle name="Обычный 5 4 6 4 6" xfId="11415" xr:uid="{00000000-0005-0000-0000-0000F02F0000}"/>
    <cellStyle name="Обычный 5 4 6 4 7" xfId="12401" xr:uid="{00000000-0005-0000-0000-0000F12F0000}"/>
    <cellStyle name="Обычный 5 4 6 4 8" xfId="13387" xr:uid="{00000000-0005-0000-0000-0000F22F0000}"/>
    <cellStyle name="Обычный 5 4 6 4 9" xfId="14387" xr:uid="{00000000-0005-0000-0000-0000F32F0000}"/>
    <cellStyle name="Обычный 5 4 6 5" xfId="6724" xr:uid="{00000000-0005-0000-0000-0000F42F0000}"/>
    <cellStyle name="Обычный 5 4 6 5 10" xfId="15643" xr:uid="{00000000-0005-0000-0000-0000F52F0000}"/>
    <cellStyle name="Обычный 5 4 6 5 2" xfId="7721" xr:uid="{00000000-0005-0000-0000-0000F62F0000}"/>
    <cellStyle name="Обычный 5 4 6 5 3" xfId="8727" xr:uid="{00000000-0005-0000-0000-0000F72F0000}"/>
    <cellStyle name="Обычный 5 4 6 5 4" xfId="9713" xr:uid="{00000000-0005-0000-0000-0000F82F0000}"/>
    <cellStyle name="Обычный 5 4 6 5 5" xfId="10699" xr:uid="{00000000-0005-0000-0000-0000F92F0000}"/>
    <cellStyle name="Обычный 5 4 6 5 6" xfId="11685" xr:uid="{00000000-0005-0000-0000-0000FA2F0000}"/>
    <cellStyle name="Обычный 5 4 6 5 7" xfId="12671" xr:uid="{00000000-0005-0000-0000-0000FB2F0000}"/>
    <cellStyle name="Обычный 5 4 6 5 8" xfId="13657" xr:uid="{00000000-0005-0000-0000-0000FC2F0000}"/>
    <cellStyle name="Обычный 5 4 6 5 9" xfId="14657" xr:uid="{00000000-0005-0000-0000-0000FD2F0000}"/>
    <cellStyle name="Обычный 5 4 6 6" xfId="7007" xr:uid="{00000000-0005-0000-0000-0000FE2F0000}"/>
    <cellStyle name="Обычный 5 4 6 7" xfId="8013" xr:uid="{00000000-0005-0000-0000-0000FF2F0000}"/>
    <cellStyle name="Обычный 5 4 6 8" xfId="8999" xr:uid="{00000000-0005-0000-0000-000000300000}"/>
    <cellStyle name="Обычный 5 4 6 9" xfId="9985" xr:uid="{00000000-0005-0000-0000-000001300000}"/>
    <cellStyle name="Обычный 5 4 7" xfId="3392" xr:uid="{00000000-0005-0000-0000-000002300000}"/>
    <cellStyle name="Обычный 5 4 7 10" xfId="10972" xr:uid="{00000000-0005-0000-0000-000003300000}"/>
    <cellStyle name="Обычный 5 4 7 11" xfId="11958" xr:uid="{00000000-0005-0000-0000-000004300000}"/>
    <cellStyle name="Обычный 5 4 7 12" xfId="12944" xr:uid="{00000000-0005-0000-0000-000005300000}"/>
    <cellStyle name="Обычный 5 4 7 13" xfId="13944" xr:uid="{00000000-0005-0000-0000-000006300000}"/>
    <cellStyle name="Обычный 5 4 7 14" xfId="14930" xr:uid="{00000000-0005-0000-0000-000007300000}"/>
    <cellStyle name="Обычный 5 4 7 2" xfId="6049" xr:uid="{00000000-0005-0000-0000-000008300000}"/>
    <cellStyle name="Обычный 5 4 7 2 10" xfId="13003" xr:uid="{00000000-0005-0000-0000-000009300000}"/>
    <cellStyle name="Обычный 5 4 7 2 11" xfId="14003" xr:uid="{00000000-0005-0000-0000-00000A300000}"/>
    <cellStyle name="Обычный 5 4 7 2 12" xfId="14989" xr:uid="{00000000-0005-0000-0000-00000B300000}"/>
    <cellStyle name="Обычный 5 4 7 2 2" xfId="6514" xr:uid="{00000000-0005-0000-0000-00000C300000}"/>
    <cellStyle name="Обычный 5 4 7 2 2 10" xfId="15433" xr:uid="{00000000-0005-0000-0000-00000D300000}"/>
    <cellStyle name="Обычный 5 4 7 2 2 2" xfId="7511" xr:uid="{00000000-0005-0000-0000-00000E300000}"/>
    <cellStyle name="Обычный 5 4 7 2 2 3" xfId="8517" xr:uid="{00000000-0005-0000-0000-00000F300000}"/>
    <cellStyle name="Обычный 5 4 7 2 2 4" xfId="9503" xr:uid="{00000000-0005-0000-0000-000010300000}"/>
    <cellStyle name="Обычный 5 4 7 2 2 5" xfId="10489" xr:uid="{00000000-0005-0000-0000-000011300000}"/>
    <cellStyle name="Обычный 5 4 7 2 2 6" xfId="11475" xr:uid="{00000000-0005-0000-0000-000012300000}"/>
    <cellStyle name="Обычный 5 4 7 2 2 7" xfId="12461" xr:uid="{00000000-0005-0000-0000-000013300000}"/>
    <cellStyle name="Обычный 5 4 7 2 2 8" xfId="13447" xr:uid="{00000000-0005-0000-0000-000014300000}"/>
    <cellStyle name="Обычный 5 4 7 2 2 9" xfId="14447" xr:uid="{00000000-0005-0000-0000-000015300000}"/>
    <cellStyle name="Обычный 5 4 7 2 3" xfId="6784" xr:uid="{00000000-0005-0000-0000-000016300000}"/>
    <cellStyle name="Обычный 5 4 7 2 3 10" xfId="15703" xr:uid="{00000000-0005-0000-0000-000017300000}"/>
    <cellStyle name="Обычный 5 4 7 2 3 2" xfId="7781" xr:uid="{00000000-0005-0000-0000-000018300000}"/>
    <cellStyle name="Обычный 5 4 7 2 3 3" xfId="8787" xr:uid="{00000000-0005-0000-0000-000019300000}"/>
    <cellStyle name="Обычный 5 4 7 2 3 4" xfId="9773" xr:uid="{00000000-0005-0000-0000-00001A300000}"/>
    <cellStyle name="Обычный 5 4 7 2 3 5" xfId="10759" xr:uid="{00000000-0005-0000-0000-00001B300000}"/>
    <cellStyle name="Обычный 5 4 7 2 3 6" xfId="11745" xr:uid="{00000000-0005-0000-0000-00001C300000}"/>
    <cellStyle name="Обычный 5 4 7 2 3 7" xfId="12731" xr:uid="{00000000-0005-0000-0000-00001D300000}"/>
    <cellStyle name="Обычный 5 4 7 2 3 8" xfId="13717" xr:uid="{00000000-0005-0000-0000-00001E300000}"/>
    <cellStyle name="Обычный 5 4 7 2 3 9" xfId="14717" xr:uid="{00000000-0005-0000-0000-00001F300000}"/>
    <cellStyle name="Обычный 5 4 7 2 4" xfId="7067" xr:uid="{00000000-0005-0000-0000-000020300000}"/>
    <cellStyle name="Обычный 5 4 7 2 5" xfId="8073" xr:uid="{00000000-0005-0000-0000-000021300000}"/>
    <cellStyle name="Обычный 5 4 7 2 6" xfId="9059" xr:uid="{00000000-0005-0000-0000-000022300000}"/>
    <cellStyle name="Обычный 5 4 7 2 7" xfId="10045" xr:uid="{00000000-0005-0000-0000-000023300000}"/>
    <cellStyle name="Обычный 5 4 7 2 8" xfId="11031" xr:uid="{00000000-0005-0000-0000-000024300000}"/>
    <cellStyle name="Обычный 5 4 7 2 9" xfId="12017" xr:uid="{00000000-0005-0000-0000-000025300000}"/>
    <cellStyle name="Обычный 5 4 7 3" xfId="6106" xr:uid="{00000000-0005-0000-0000-000026300000}"/>
    <cellStyle name="Обычный 5 4 7 3 10" xfId="13056" xr:uid="{00000000-0005-0000-0000-000027300000}"/>
    <cellStyle name="Обычный 5 4 7 3 11" xfId="14056" xr:uid="{00000000-0005-0000-0000-000028300000}"/>
    <cellStyle name="Обычный 5 4 7 3 12" xfId="15042" xr:uid="{00000000-0005-0000-0000-000029300000}"/>
    <cellStyle name="Обычный 5 4 7 3 2" xfId="6567" xr:uid="{00000000-0005-0000-0000-00002A300000}"/>
    <cellStyle name="Обычный 5 4 7 3 2 10" xfId="15486" xr:uid="{00000000-0005-0000-0000-00002B300000}"/>
    <cellStyle name="Обычный 5 4 7 3 2 2" xfId="7564" xr:uid="{00000000-0005-0000-0000-00002C300000}"/>
    <cellStyle name="Обычный 5 4 7 3 2 3" xfId="8570" xr:uid="{00000000-0005-0000-0000-00002D300000}"/>
    <cellStyle name="Обычный 5 4 7 3 2 4" xfId="9556" xr:uid="{00000000-0005-0000-0000-00002E300000}"/>
    <cellStyle name="Обычный 5 4 7 3 2 5" xfId="10542" xr:uid="{00000000-0005-0000-0000-00002F300000}"/>
    <cellStyle name="Обычный 5 4 7 3 2 6" xfId="11528" xr:uid="{00000000-0005-0000-0000-000030300000}"/>
    <cellStyle name="Обычный 5 4 7 3 2 7" xfId="12514" xr:uid="{00000000-0005-0000-0000-000031300000}"/>
    <cellStyle name="Обычный 5 4 7 3 2 8" xfId="13500" xr:uid="{00000000-0005-0000-0000-000032300000}"/>
    <cellStyle name="Обычный 5 4 7 3 2 9" xfId="14500" xr:uid="{00000000-0005-0000-0000-000033300000}"/>
    <cellStyle name="Обычный 5 4 7 3 3" xfId="6837" xr:uid="{00000000-0005-0000-0000-000034300000}"/>
    <cellStyle name="Обычный 5 4 7 3 3 10" xfId="15756" xr:uid="{00000000-0005-0000-0000-000035300000}"/>
    <cellStyle name="Обычный 5 4 7 3 3 2" xfId="7834" xr:uid="{00000000-0005-0000-0000-000036300000}"/>
    <cellStyle name="Обычный 5 4 7 3 3 3" xfId="8840" xr:uid="{00000000-0005-0000-0000-000037300000}"/>
    <cellStyle name="Обычный 5 4 7 3 3 4" xfId="9826" xr:uid="{00000000-0005-0000-0000-000038300000}"/>
    <cellStyle name="Обычный 5 4 7 3 3 5" xfId="10812" xr:uid="{00000000-0005-0000-0000-000039300000}"/>
    <cellStyle name="Обычный 5 4 7 3 3 6" xfId="11798" xr:uid="{00000000-0005-0000-0000-00003A300000}"/>
    <cellStyle name="Обычный 5 4 7 3 3 7" xfId="12784" xr:uid="{00000000-0005-0000-0000-00003B300000}"/>
    <cellStyle name="Обычный 5 4 7 3 3 8" xfId="13770" xr:uid="{00000000-0005-0000-0000-00003C300000}"/>
    <cellStyle name="Обычный 5 4 7 3 3 9" xfId="14770" xr:uid="{00000000-0005-0000-0000-00003D300000}"/>
    <cellStyle name="Обычный 5 4 7 3 4" xfId="7120" xr:uid="{00000000-0005-0000-0000-00003E300000}"/>
    <cellStyle name="Обычный 5 4 7 3 5" xfId="8126" xr:uid="{00000000-0005-0000-0000-00003F300000}"/>
    <cellStyle name="Обычный 5 4 7 3 6" xfId="9112" xr:uid="{00000000-0005-0000-0000-000040300000}"/>
    <cellStyle name="Обычный 5 4 7 3 7" xfId="10098" xr:uid="{00000000-0005-0000-0000-000041300000}"/>
    <cellStyle name="Обычный 5 4 7 3 8" xfId="11084" xr:uid="{00000000-0005-0000-0000-000042300000}"/>
    <cellStyle name="Обычный 5 4 7 3 9" xfId="12070" xr:uid="{00000000-0005-0000-0000-000043300000}"/>
    <cellStyle name="Обычный 5 4 7 4" xfId="6455" xr:uid="{00000000-0005-0000-0000-000044300000}"/>
    <cellStyle name="Обычный 5 4 7 4 10" xfId="15374" xr:uid="{00000000-0005-0000-0000-000045300000}"/>
    <cellStyle name="Обычный 5 4 7 4 2" xfId="7452" xr:uid="{00000000-0005-0000-0000-000046300000}"/>
    <cellStyle name="Обычный 5 4 7 4 3" xfId="8458" xr:uid="{00000000-0005-0000-0000-000047300000}"/>
    <cellStyle name="Обычный 5 4 7 4 4" xfId="9444" xr:uid="{00000000-0005-0000-0000-000048300000}"/>
    <cellStyle name="Обычный 5 4 7 4 5" xfId="10430" xr:uid="{00000000-0005-0000-0000-000049300000}"/>
    <cellStyle name="Обычный 5 4 7 4 6" xfId="11416" xr:uid="{00000000-0005-0000-0000-00004A300000}"/>
    <cellStyle name="Обычный 5 4 7 4 7" xfId="12402" xr:uid="{00000000-0005-0000-0000-00004B300000}"/>
    <cellStyle name="Обычный 5 4 7 4 8" xfId="13388" xr:uid="{00000000-0005-0000-0000-00004C300000}"/>
    <cellStyle name="Обычный 5 4 7 4 9" xfId="14388" xr:uid="{00000000-0005-0000-0000-00004D300000}"/>
    <cellStyle name="Обычный 5 4 7 5" xfId="6725" xr:uid="{00000000-0005-0000-0000-00004E300000}"/>
    <cellStyle name="Обычный 5 4 7 5 10" xfId="15644" xr:uid="{00000000-0005-0000-0000-00004F300000}"/>
    <cellStyle name="Обычный 5 4 7 5 2" xfId="7722" xr:uid="{00000000-0005-0000-0000-000050300000}"/>
    <cellStyle name="Обычный 5 4 7 5 3" xfId="8728" xr:uid="{00000000-0005-0000-0000-000051300000}"/>
    <cellStyle name="Обычный 5 4 7 5 4" xfId="9714" xr:uid="{00000000-0005-0000-0000-000052300000}"/>
    <cellStyle name="Обычный 5 4 7 5 5" xfId="10700" xr:uid="{00000000-0005-0000-0000-000053300000}"/>
    <cellStyle name="Обычный 5 4 7 5 6" xfId="11686" xr:uid="{00000000-0005-0000-0000-000054300000}"/>
    <cellStyle name="Обычный 5 4 7 5 7" xfId="12672" xr:uid="{00000000-0005-0000-0000-000055300000}"/>
    <cellStyle name="Обычный 5 4 7 5 8" xfId="13658" xr:uid="{00000000-0005-0000-0000-000056300000}"/>
    <cellStyle name="Обычный 5 4 7 5 9" xfId="14658" xr:uid="{00000000-0005-0000-0000-000057300000}"/>
    <cellStyle name="Обычный 5 4 7 6" xfId="7008" xr:uid="{00000000-0005-0000-0000-000058300000}"/>
    <cellStyle name="Обычный 5 4 7 7" xfId="8014" xr:uid="{00000000-0005-0000-0000-000059300000}"/>
    <cellStyle name="Обычный 5 4 7 8" xfId="9000" xr:uid="{00000000-0005-0000-0000-00005A300000}"/>
    <cellStyle name="Обычный 5 4 7 9" xfId="9986" xr:uid="{00000000-0005-0000-0000-00005B300000}"/>
    <cellStyle name="Обычный 5 4 8" xfId="3393" xr:uid="{00000000-0005-0000-0000-00005C300000}"/>
    <cellStyle name="Обычный 5 4 8 10" xfId="10973" xr:uid="{00000000-0005-0000-0000-00005D300000}"/>
    <cellStyle name="Обычный 5 4 8 11" xfId="11959" xr:uid="{00000000-0005-0000-0000-00005E300000}"/>
    <cellStyle name="Обычный 5 4 8 12" xfId="12945" xr:uid="{00000000-0005-0000-0000-00005F300000}"/>
    <cellStyle name="Обычный 5 4 8 13" xfId="13945" xr:uid="{00000000-0005-0000-0000-000060300000}"/>
    <cellStyle name="Обычный 5 4 8 14" xfId="14931" xr:uid="{00000000-0005-0000-0000-000061300000}"/>
    <cellStyle name="Обычный 5 4 8 2" xfId="6050" xr:uid="{00000000-0005-0000-0000-000062300000}"/>
    <cellStyle name="Обычный 5 4 8 2 10" xfId="13004" xr:uid="{00000000-0005-0000-0000-000063300000}"/>
    <cellStyle name="Обычный 5 4 8 2 11" xfId="14004" xr:uid="{00000000-0005-0000-0000-000064300000}"/>
    <cellStyle name="Обычный 5 4 8 2 12" xfId="14990" xr:uid="{00000000-0005-0000-0000-000065300000}"/>
    <cellStyle name="Обычный 5 4 8 2 2" xfId="6515" xr:uid="{00000000-0005-0000-0000-000066300000}"/>
    <cellStyle name="Обычный 5 4 8 2 2 10" xfId="15434" xr:uid="{00000000-0005-0000-0000-000067300000}"/>
    <cellStyle name="Обычный 5 4 8 2 2 2" xfId="7512" xr:uid="{00000000-0005-0000-0000-000068300000}"/>
    <cellStyle name="Обычный 5 4 8 2 2 3" xfId="8518" xr:uid="{00000000-0005-0000-0000-000069300000}"/>
    <cellStyle name="Обычный 5 4 8 2 2 4" xfId="9504" xr:uid="{00000000-0005-0000-0000-00006A300000}"/>
    <cellStyle name="Обычный 5 4 8 2 2 5" xfId="10490" xr:uid="{00000000-0005-0000-0000-00006B300000}"/>
    <cellStyle name="Обычный 5 4 8 2 2 6" xfId="11476" xr:uid="{00000000-0005-0000-0000-00006C300000}"/>
    <cellStyle name="Обычный 5 4 8 2 2 7" xfId="12462" xr:uid="{00000000-0005-0000-0000-00006D300000}"/>
    <cellStyle name="Обычный 5 4 8 2 2 8" xfId="13448" xr:uid="{00000000-0005-0000-0000-00006E300000}"/>
    <cellStyle name="Обычный 5 4 8 2 2 9" xfId="14448" xr:uid="{00000000-0005-0000-0000-00006F300000}"/>
    <cellStyle name="Обычный 5 4 8 2 3" xfId="6785" xr:uid="{00000000-0005-0000-0000-000070300000}"/>
    <cellStyle name="Обычный 5 4 8 2 3 10" xfId="15704" xr:uid="{00000000-0005-0000-0000-000071300000}"/>
    <cellStyle name="Обычный 5 4 8 2 3 2" xfId="7782" xr:uid="{00000000-0005-0000-0000-000072300000}"/>
    <cellStyle name="Обычный 5 4 8 2 3 3" xfId="8788" xr:uid="{00000000-0005-0000-0000-000073300000}"/>
    <cellStyle name="Обычный 5 4 8 2 3 4" xfId="9774" xr:uid="{00000000-0005-0000-0000-000074300000}"/>
    <cellStyle name="Обычный 5 4 8 2 3 5" xfId="10760" xr:uid="{00000000-0005-0000-0000-000075300000}"/>
    <cellStyle name="Обычный 5 4 8 2 3 6" xfId="11746" xr:uid="{00000000-0005-0000-0000-000076300000}"/>
    <cellStyle name="Обычный 5 4 8 2 3 7" xfId="12732" xr:uid="{00000000-0005-0000-0000-000077300000}"/>
    <cellStyle name="Обычный 5 4 8 2 3 8" xfId="13718" xr:uid="{00000000-0005-0000-0000-000078300000}"/>
    <cellStyle name="Обычный 5 4 8 2 3 9" xfId="14718" xr:uid="{00000000-0005-0000-0000-000079300000}"/>
    <cellStyle name="Обычный 5 4 8 2 4" xfId="7068" xr:uid="{00000000-0005-0000-0000-00007A300000}"/>
    <cellStyle name="Обычный 5 4 8 2 5" xfId="8074" xr:uid="{00000000-0005-0000-0000-00007B300000}"/>
    <cellStyle name="Обычный 5 4 8 2 6" xfId="9060" xr:uid="{00000000-0005-0000-0000-00007C300000}"/>
    <cellStyle name="Обычный 5 4 8 2 7" xfId="10046" xr:uid="{00000000-0005-0000-0000-00007D300000}"/>
    <cellStyle name="Обычный 5 4 8 2 8" xfId="11032" xr:uid="{00000000-0005-0000-0000-00007E300000}"/>
    <cellStyle name="Обычный 5 4 8 2 9" xfId="12018" xr:uid="{00000000-0005-0000-0000-00007F300000}"/>
    <cellStyle name="Обычный 5 4 8 3" xfId="6107" xr:uid="{00000000-0005-0000-0000-000080300000}"/>
    <cellStyle name="Обычный 5 4 8 3 10" xfId="13057" xr:uid="{00000000-0005-0000-0000-000081300000}"/>
    <cellStyle name="Обычный 5 4 8 3 11" xfId="14057" xr:uid="{00000000-0005-0000-0000-000082300000}"/>
    <cellStyle name="Обычный 5 4 8 3 12" xfId="15043" xr:uid="{00000000-0005-0000-0000-000083300000}"/>
    <cellStyle name="Обычный 5 4 8 3 2" xfId="6568" xr:uid="{00000000-0005-0000-0000-000084300000}"/>
    <cellStyle name="Обычный 5 4 8 3 2 10" xfId="15487" xr:uid="{00000000-0005-0000-0000-000085300000}"/>
    <cellStyle name="Обычный 5 4 8 3 2 2" xfId="7565" xr:uid="{00000000-0005-0000-0000-000086300000}"/>
    <cellStyle name="Обычный 5 4 8 3 2 3" xfId="8571" xr:uid="{00000000-0005-0000-0000-000087300000}"/>
    <cellStyle name="Обычный 5 4 8 3 2 4" xfId="9557" xr:uid="{00000000-0005-0000-0000-000088300000}"/>
    <cellStyle name="Обычный 5 4 8 3 2 5" xfId="10543" xr:uid="{00000000-0005-0000-0000-000089300000}"/>
    <cellStyle name="Обычный 5 4 8 3 2 6" xfId="11529" xr:uid="{00000000-0005-0000-0000-00008A300000}"/>
    <cellStyle name="Обычный 5 4 8 3 2 7" xfId="12515" xr:uid="{00000000-0005-0000-0000-00008B300000}"/>
    <cellStyle name="Обычный 5 4 8 3 2 8" xfId="13501" xr:uid="{00000000-0005-0000-0000-00008C300000}"/>
    <cellStyle name="Обычный 5 4 8 3 2 9" xfId="14501" xr:uid="{00000000-0005-0000-0000-00008D300000}"/>
    <cellStyle name="Обычный 5 4 8 3 3" xfId="6838" xr:uid="{00000000-0005-0000-0000-00008E300000}"/>
    <cellStyle name="Обычный 5 4 8 3 3 10" xfId="15757" xr:uid="{00000000-0005-0000-0000-00008F300000}"/>
    <cellStyle name="Обычный 5 4 8 3 3 2" xfId="7835" xr:uid="{00000000-0005-0000-0000-000090300000}"/>
    <cellStyle name="Обычный 5 4 8 3 3 3" xfId="8841" xr:uid="{00000000-0005-0000-0000-000091300000}"/>
    <cellStyle name="Обычный 5 4 8 3 3 4" xfId="9827" xr:uid="{00000000-0005-0000-0000-000092300000}"/>
    <cellStyle name="Обычный 5 4 8 3 3 5" xfId="10813" xr:uid="{00000000-0005-0000-0000-000093300000}"/>
    <cellStyle name="Обычный 5 4 8 3 3 6" xfId="11799" xr:uid="{00000000-0005-0000-0000-000094300000}"/>
    <cellStyle name="Обычный 5 4 8 3 3 7" xfId="12785" xr:uid="{00000000-0005-0000-0000-000095300000}"/>
    <cellStyle name="Обычный 5 4 8 3 3 8" xfId="13771" xr:uid="{00000000-0005-0000-0000-000096300000}"/>
    <cellStyle name="Обычный 5 4 8 3 3 9" xfId="14771" xr:uid="{00000000-0005-0000-0000-000097300000}"/>
    <cellStyle name="Обычный 5 4 8 3 4" xfId="7121" xr:uid="{00000000-0005-0000-0000-000098300000}"/>
    <cellStyle name="Обычный 5 4 8 3 5" xfId="8127" xr:uid="{00000000-0005-0000-0000-000099300000}"/>
    <cellStyle name="Обычный 5 4 8 3 6" xfId="9113" xr:uid="{00000000-0005-0000-0000-00009A300000}"/>
    <cellStyle name="Обычный 5 4 8 3 7" xfId="10099" xr:uid="{00000000-0005-0000-0000-00009B300000}"/>
    <cellStyle name="Обычный 5 4 8 3 8" xfId="11085" xr:uid="{00000000-0005-0000-0000-00009C300000}"/>
    <cellStyle name="Обычный 5 4 8 3 9" xfId="12071" xr:uid="{00000000-0005-0000-0000-00009D300000}"/>
    <cellStyle name="Обычный 5 4 8 4" xfId="6456" xr:uid="{00000000-0005-0000-0000-00009E300000}"/>
    <cellStyle name="Обычный 5 4 8 4 10" xfId="15375" xr:uid="{00000000-0005-0000-0000-00009F300000}"/>
    <cellStyle name="Обычный 5 4 8 4 2" xfId="7453" xr:uid="{00000000-0005-0000-0000-0000A0300000}"/>
    <cellStyle name="Обычный 5 4 8 4 3" xfId="8459" xr:uid="{00000000-0005-0000-0000-0000A1300000}"/>
    <cellStyle name="Обычный 5 4 8 4 4" xfId="9445" xr:uid="{00000000-0005-0000-0000-0000A2300000}"/>
    <cellStyle name="Обычный 5 4 8 4 5" xfId="10431" xr:uid="{00000000-0005-0000-0000-0000A3300000}"/>
    <cellStyle name="Обычный 5 4 8 4 6" xfId="11417" xr:uid="{00000000-0005-0000-0000-0000A4300000}"/>
    <cellStyle name="Обычный 5 4 8 4 7" xfId="12403" xr:uid="{00000000-0005-0000-0000-0000A5300000}"/>
    <cellStyle name="Обычный 5 4 8 4 8" xfId="13389" xr:uid="{00000000-0005-0000-0000-0000A6300000}"/>
    <cellStyle name="Обычный 5 4 8 4 9" xfId="14389" xr:uid="{00000000-0005-0000-0000-0000A7300000}"/>
    <cellStyle name="Обычный 5 4 8 5" xfId="6726" xr:uid="{00000000-0005-0000-0000-0000A8300000}"/>
    <cellStyle name="Обычный 5 4 8 5 10" xfId="15645" xr:uid="{00000000-0005-0000-0000-0000A9300000}"/>
    <cellStyle name="Обычный 5 4 8 5 2" xfId="7723" xr:uid="{00000000-0005-0000-0000-0000AA300000}"/>
    <cellStyle name="Обычный 5 4 8 5 3" xfId="8729" xr:uid="{00000000-0005-0000-0000-0000AB300000}"/>
    <cellStyle name="Обычный 5 4 8 5 4" xfId="9715" xr:uid="{00000000-0005-0000-0000-0000AC300000}"/>
    <cellStyle name="Обычный 5 4 8 5 5" xfId="10701" xr:uid="{00000000-0005-0000-0000-0000AD300000}"/>
    <cellStyle name="Обычный 5 4 8 5 6" xfId="11687" xr:uid="{00000000-0005-0000-0000-0000AE300000}"/>
    <cellStyle name="Обычный 5 4 8 5 7" xfId="12673" xr:uid="{00000000-0005-0000-0000-0000AF300000}"/>
    <cellStyle name="Обычный 5 4 8 5 8" xfId="13659" xr:uid="{00000000-0005-0000-0000-0000B0300000}"/>
    <cellStyle name="Обычный 5 4 8 5 9" xfId="14659" xr:uid="{00000000-0005-0000-0000-0000B1300000}"/>
    <cellStyle name="Обычный 5 4 8 6" xfId="7009" xr:uid="{00000000-0005-0000-0000-0000B2300000}"/>
    <cellStyle name="Обычный 5 4 8 7" xfId="8015" xr:uid="{00000000-0005-0000-0000-0000B3300000}"/>
    <cellStyle name="Обычный 5 4 8 8" xfId="9001" xr:uid="{00000000-0005-0000-0000-0000B4300000}"/>
    <cellStyle name="Обычный 5 4 8 9" xfId="9987" xr:uid="{00000000-0005-0000-0000-0000B5300000}"/>
    <cellStyle name="Обычный 5 4 9" xfId="6014" xr:uid="{00000000-0005-0000-0000-0000B6300000}"/>
    <cellStyle name="Обычный 5 4 9 10" xfId="12972" xr:uid="{00000000-0005-0000-0000-0000B7300000}"/>
    <cellStyle name="Обычный 5 4 9 11" xfId="13972" xr:uid="{00000000-0005-0000-0000-0000B8300000}"/>
    <cellStyle name="Обычный 5 4 9 12" xfId="14958" xr:uid="{00000000-0005-0000-0000-0000B9300000}"/>
    <cellStyle name="Обычный 5 4 9 2" xfId="6483" xr:uid="{00000000-0005-0000-0000-0000BA300000}"/>
    <cellStyle name="Обычный 5 4 9 2 10" xfId="15402" xr:uid="{00000000-0005-0000-0000-0000BB300000}"/>
    <cellStyle name="Обычный 5 4 9 2 2" xfId="7480" xr:uid="{00000000-0005-0000-0000-0000BC300000}"/>
    <cellStyle name="Обычный 5 4 9 2 3" xfId="8486" xr:uid="{00000000-0005-0000-0000-0000BD300000}"/>
    <cellStyle name="Обычный 5 4 9 2 4" xfId="9472" xr:uid="{00000000-0005-0000-0000-0000BE300000}"/>
    <cellStyle name="Обычный 5 4 9 2 5" xfId="10458" xr:uid="{00000000-0005-0000-0000-0000BF300000}"/>
    <cellStyle name="Обычный 5 4 9 2 6" xfId="11444" xr:uid="{00000000-0005-0000-0000-0000C0300000}"/>
    <cellStyle name="Обычный 5 4 9 2 7" xfId="12430" xr:uid="{00000000-0005-0000-0000-0000C1300000}"/>
    <cellStyle name="Обычный 5 4 9 2 8" xfId="13416" xr:uid="{00000000-0005-0000-0000-0000C2300000}"/>
    <cellStyle name="Обычный 5 4 9 2 9" xfId="14416" xr:uid="{00000000-0005-0000-0000-0000C3300000}"/>
    <cellStyle name="Обычный 5 4 9 3" xfId="6753" xr:uid="{00000000-0005-0000-0000-0000C4300000}"/>
    <cellStyle name="Обычный 5 4 9 3 10" xfId="15672" xr:uid="{00000000-0005-0000-0000-0000C5300000}"/>
    <cellStyle name="Обычный 5 4 9 3 2" xfId="7750" xr:uid="{00000000-0005-0000-0000-0000C6300000}"/>
    <cellStyle name="Обычный 5 4 9 3 3" xfId="8756" xr:uid="{00000000-0005-0000-0000-0000C7300000}"/>
    <cellStyle name="Обычный 5 4 9 3 4" xfId="9742" xr:uid="{00000000-0005-0000-0000-0000C8300000}"/>
    <cellStyle name="Обычный 5 4 9 3 5" xfId="10728" xr:uid="{00000000-0005-0000-0000-0000C9300000}"/>
    <cellStyle name="Обычный 5 4 9 3 6" xfId="11714" xr:uid="{00000000-0005-0000-0000-0000CA300000}"/>
    <cellStyle name="Обычный 5 4 9 3 7" xfId="12700" xr:uid="{00000000-0005-0000-0000-0000CB300000}"/>
    <cellStyle name="Обычный 5 4 9 3 8" xfId="13686" xr:uid="{00000000-0005-0000-0000-0000CC300000}"/>
    <cellStyle name="Обычный 5 4 9 3 9" xfId="14686" xr:uid="{00000000-0005-0000-0000-0000CD300000}"/>
    <cellStyle name="Обычный 5 4 9 4" xfId="7036" xr:uid="{00000000-0005-0000-0000-0000CE300000}"/>
    <cellStyle name="Обычный 5 4 9 5" xfId="8042" xr:uid="{00000000-0005-0000-0000-0000CF300000}"/>
    <cellStyle name="Обычный 5 4 9 6" xfId="9028" xr:uid="{00000000-0005-0000-0000-0000D0300000}"/>
    <cellStyle name="Обычный 5 4 9 7" xfId="10014" xr:uid="{00000000-0005-0000-0000-0000D1300000}"/>
    <cellStyle name="Обычный 5 4 9 8" xfId="11000" xr:uid="{00000000-0005-0000-0000-0000D2300000}"/>
    <cellStyle name="Обычный 5 4 9 9" xfId="11986" xr:uid="{00000000-0005-0000-0000-0000D3300000}"/>
    <cellStyle name="Обычный 5 5" xfId="6010" xr:uid="{00000000-0005-0000-0000-0000D4300000}"/>
    <cellStyle name="Обычный 5 6" xfId="6180" xr:uid="{00000000-0005-0000-0000-0000D5300000}"/>
    <cellStyle name="Обычный 5 6 10" xfId="13120" xr:uid="{00000000-0005-0000-0000-0000D6300000}"/>
    <cellStyle name="Обычный 5 6 11" xfId="14120" xr:uid="{00000000-0005-0000-0000-0000D7300000}"/>
    <cellStyle name="Обычный 5 6 12" xfId="15106" xr:uid="{00000000-0005-0000-0000-0000D8300000}"/>
    <cellStyle name="Обычный 5 6 2" xfId="6631" xr:uid="{00000000-0005-0000-0000-0000D9300000}"/>
    <cellStyle name="Обычный 5 6 2 10" xfId="15550" xr:uid="{00000000-0005-0000-0000-0000DA300000}"/>
    <cellStyle name="Обычный 5 6 2 2" xfId="7628" xr:uid="{00000000-0005-0000-0000-0000DB300000}"/>
    <cellStyle name="Обычный 5 6 2 3" xfId="8634" xr:uid="{00000000-0005-0000-0000-0000DC300000}"/>
    <cellStyle name="Обычный 5 6 2 4" xfId="9620" xr:uid="{00000000-0005-0000-0000-0000DD300000}"/>
    <cellStyle name="Обычный 5 6 2 5" xfId="10606" xr:uid="{00000000-0005-0000-0000-0000DE300000}"/>
    <cellStyle name="Обычный 5 6 2 6" xfId="11592" xr:uid="{00000000-0005-0000-0000-0000DF300000}"/>
    <cellStyle name="Обычный 5 6 2 7" xfId="12578" xr:uid="{00000000-0005-0000-0000-0000E0300000}"/>
    <cellStyle name="Обычный 5 6 2 8" xfId="13564" xr:uid="{00000000-0005-0000-0000-0000E1300000}"/>
    <cellStyle name="Обычный 5 6 2 9" xfId="14564" xr:uid="{00000000-0005-0000-0000-0000E2300000}"/>
    <cellStyle name="Обычный 5 6 3" xfId="6901" xr:uid="{00000000-0005-0000-0000-0000E3300000}"/>
    <cellStyle name="Обычный 5 6 3 10" xfId="15820" xr:uid="{00000000-0005-0000-0000-0000E4300000}"/>
    <cellStyle name="Обычный 5 6 3 2" xfId="7898" xr:uid="{00000000-0005-0000-0000-0000E5300000}"/>
    <cellStyle name="Обычный 5 6 3 3" xfId="8904" xr:uid="{00000000-0005-0000-0000-0000E6300000}"/>
    <cellStyle name="Обычный 5 6 3 4" xfId="9890" xr:uid="{00000000-0005-0000-0000-0000E7300000}"/>
    <cellStyle name="Обычный 5 6 3 5" xfId="10876" xr:uid="{00000000-0005-0000-0000-0000E8300000}"/>
    <cellStyle name="Обычный 5 6 3 6" xfId="11862" xr:uid="{00000000-0005-0000-0000-0000E9300000}"/>
    <cellStyle name="Обычный 5 6 3 7" xfId="12848" xr:uid="{00000000-0005-0000-0000-0000EA300000}"/>
    <cellStyle name="Обычный 5 6 3 8" xfId="13834" xr:uid="{00000000-0005-0000-0000-0000EB300000}"/>
    <cellStyle name="Обычный 5 6 3 9" xfId="14834" xr:uid="{00000000-0005-0000-0000-0000EC300000}"/>
    <cellStyle name="Обычный 5 6 4" xfId="7184" xr:uid="{00000000-0005-0000-0000-0000ED300000}"/>
    <cellStyle name="Обычный 5 6 5" xfId="8190" xr:uid="{00000000-0005-0000-0000-0000EE300000}"/>
    <cellStyle name="Обычный 5 6 6" xfId="9176" xr:uid="{00000000-0005-0000-0000-0000EF300000}"/>
    <cellStyle name="Обычный 5 6 7" xfId="10162" xr:uid="{00000000-0005-0000-0000-0000F0300000}"/>
    <cellStyle name="Обычный 5 6 8" xfId="11148" xr:uid="{00000000-0005-0000-0000-0000F1300000}"/>
    <cellStyle name="Обычный 5 6 9" xfId="12134" xr:uid="{00000000-0005-0000-0000-0000F2300000}"/>
    <cellStyle name="Обычный 6" xfId="2637" xr:uid="{00000000-0005-0000-0000-0000F3300000}"/>
    <cellStyle name="Обычный 6 10" xfId="6978" xr:uid="{00000000-0005-0000-0000-0000F4300000}"/>
    <cellStyle name="Обычный 6 11" xfId="7984" xr:uid="{00000000-0005-0000-0000-0000F5300000}"/>
    <cellStyle name="Обычный 6 12" xfId="8970" xr:uid="{00000000-0005-0000-0000-0000F6300000}"/>
    <cellStyle name="Обычный 6 13" xfId="9956" xr:uid="{00000000-0005-0000-0000-0000F7300000}"/>
    <cellStyle name="Обычный 6 14" xfId="10942" xr:uid="{00000000-0005-0000-0000-0000F8300000}"/>
    <cellStyle name="Обычный 6 15" xfId="11928" xr:uid="{00000000-0005-0000-0000-0000F9300000}"/>
    <cellStyle name="Обычный 6 16" xfId="12914" xr:uid="{00000000-0005-0000-0000-0000FA300000}"/>
    <cellStyle name="Обычный 6 17" xfId="13914" xr:uid="{00000000-0005-0000-0000-0000FB300000}"/>
    <cellStyle name="Обычный 6 18" xfId="14900" xr:uid="{00000000-0005-0000-0000-0000FC300000}"/>
    <cellStyle name="Обычный 6 2" xfId="2638" xr:uid="{00000000-0005-0000-0000-0000FD300000}"/>
    <cellStyle name="Обычный 6 2 10" xfId="8971" xr:uid="{00000000-0005-0000-0000-0000FE300000}"/>
    <cellStyle name="Обычный 6 2 11" xfId="9957" xr:uid="{00000000-0005-0000-0000-0000FF300000}"/>
    <cellStyle name="Обычный 6 2 12" xfId="10943" xr:uid="{00000000-0005-0000-0000-000000310000}"/>
    <cellStyle name="Обычный 6 2 13" xfId="11929" xr:uid="{00000000-0005-0000-0000-000001310000}"/>
    <cellStyle name="Обычный 6 2 14" xfId="12915" xr:uid="{00000000-0005-0000-0000-000002310000}"/>
    <cellStyle name="Обычный 6 2 15" xfId="13915" xr:uid="{00000000-0005-0000-0000-000003310000}"/>
    <cellStyle name="Обычный 6 2 16" xfId="14901" xr:uid="{00000000-0005-0000-0000-000004310000}"/>
    <cellStyle name="Обычный 6 2 2" xfId="2639" xr:uid="{00000000-0005-0000-0000-000005310000}"/>
    <cellStyle name="Обычный 6 2 2 2" xfId="3425" xr:uid="{00000000-0005-0000-0000-000006310000}"/>
    <cellStyle name="Обычный 6 2 3" xfId="3394" xr:uid="{00000000-0005-0000-0000-000007310000}"/>
    <cellStyle name="Обычный 6 2 4" xfId="6016" xr:uid="{00000000-0005-0000-0000-000008310000}"/>
    <cellStyle name="Обычный 6 2 4 10" xfId="12974" xr:uid="{00000000-0005-0000-0000-000009310000}"/>
    <cellStyle name="Обычный 6 2 4 11" xfId="13974" xr:uid="{00000000-0005-0000-0000-00000A310000}"/>
    <cellStyle name="Обычный 6 2 4 12" xfId="14960" xr:uid="{00000000-0005-0000-0000-00000B310000}"/>
    <cellStyle name="Обычный 6 2 4 2" xfId="6485" xr:uid="{00000000-0005-0000-0000-00000C310000}"/>
    <cellStyle name="Обычный 6 2 4 2 10" xfId="15404" xr:uid="{00000000-0005-0000-0000-00000D310000}"/>
    <cellStyle name="Обычный 6 2 4 2 2" xfId="7482" xr:uid="{00000000-0005-0000-0000-00000E310000}"/>
    <cellStyle name="Обычный 6 2 4 2 3" xfId="8488" xr:uid="{00000000-0005-0000-0000-00000F310000}"/>
    <cellStyle name="Обычный 6 2 4 2 4" xfId="9474" xr:uid="{00000000-0005-0000-0000-000010310000}"/>
    <cellStyle name="Обычный 6 2 4 2 5" xfId="10460" xr:uid="{00000000-0005-0000-0000-000011310000}"/>
    <cellStyle name="Обычный 6 2 4 2 6" xfId="11446" xr:uid="{00000000-0005-0000-0000-000012310000}"/>
    <cellStyle name="Обычный 6 2 4 2 7" xfId="12432" xr:uid="{00000000-0005-0000-0000-000013310000}"/>
    <cellStyle name="Обычный 6 2 4 2 8" xfId="13418" xr:uid="{00000000-0005-0000-0000-000014310000}"/>
    <cellStyle name="Обычный 6 2 4 2 9" xfId="14418" xr:uid="{00000000-0005-0000-0000-000015310000}"/>
    <cellStyle name="Обычный 6 2 4 3" xfId="6755" xr:uid="{00000000-0005-0000-0000-000016310000}"/>
    <cellStyle name="Обычный 6 2 4 3 10" xfId="15674" xr:uid="{00000000-0005-0000-0000-000017310000}"/>
    <cellStyle name="Обычный 6 2 4 3 2" xfId="7752" xr:uid="{00000000-0005-0000-0000-000018310000}"/>
    <cellStyle name="Обычный 6 2 4 3 3" xfId="8758" xr:uid="{00000000-0005-0000-0000-000019310000}"/>
    <cellStyle name="Обычный 6 2 4 3 4" xfId="9744" xr:uid="{00000000-0005-0000-0000-00001A310000}"/>
    <cellStyle name="Обычный 6 2 4 3 5" xfId="10730" xr:uid="{00000000-0005-0000-0000-00001B310000}"/>
    <cellStyle name="Обычный 6 2 4 3 6" xfId="11716" xr:uid="{00000000-0005-0000-0000-00001C310000}"/>
    <cellStyle name="Обычный 6 2 4 3 7" xfId="12702" xr:uid="{00000000-0005-0000-0000-00001D310000}"/>
    <cellStyle name="Обычный 6 2 4 3 8" xfId="13688" xr:uid="{00000000-0005-0000-0000-00001E310000}"/>
    <cellStyle name="Обычный 6 2 4 3 9" xfId="14688" xr:uid="{00000000-0005-0000-0000-00001F310000}"/>
    <cellStyle name="Обычный 6 2 4 4" xfId="7038" xr:uid="{00000000-0005-0000-0000-000020310000}"/>
    <cellStyle name="Обычный 6 2 4 5" xfId="8044" xr:uid="{00000000-0005-0000-0000-000021310000}"/>
    <cellStyle name="Обычный 6 2 4 6" xfId="9030" xr:uid="{00000000-0005-0000-0000-000022310000}"/>
    <cellStyle name="Обычный 6 2 4 7" xfId="10016" xr:uid="{00000000-0005-0000-0000-000023310000}"/>
    <cellStyle name="Обычный 6 2 4 8" xfId="11002" xr:uid="{00000000-0005-0000-0000-000024310000}"/>
    <cellStyle name="Обычный 6 2 4 9" xfId="11988" xr:uid="{00000000-0005-0000-0000-000025310000}"/>
    <cellStyle name="Обычный 6 2 5" xfId="6077" xr:uid="{00000000-0005-0000-0000-000026310000}"/>
    <cellStyle name="Обычный 6 2 5 10" xfId="13027" xr:uid="{00000000-0005-0000-0000-000027310000}"/>
    <cellStyle name="Обычный 6 2 5 11" xfId="14027" xr:uid="{00000000-0005-0000-0000-000028310000}"/>
    <cellStyle name="Обычный 6 2 5 12" xfId="15013" xr:uid="{00000000-0005-0000-0000-000029310000}"/>
    <cellStyle name="Обычный 6 2 5 2" xfId="6538" xr:uid="{00000000-0005-0000-0000-00002A310000}"/>
    <cellStyle name="Обычный 6 2 5 2 10" xfId="15457" xr:uid="{00000000-0005-0000-0000-00002B310000}"/>
    <cellStyle name="Обычный 6 2 5 2 2" xfId="7535" xr:uid="{00000000-0005-0000-0000-00002C310000}"/>
    <cellStyle name="Обычный 6 2 5 2 3" xfId="8541" xr:uid="{00000000-0005-0000-0000-00002D310000}"/>
    <cellStyle name="Обычный 6 2 5 2 4" xfId="9527" xr:uid="{00000000-0005-0000-0000-00002E310000}"/>
    <cellStyle name="Обычный 6 2 5 2 5" xfId="10513" xr:uid="{00000000-0005-0000-0000-00002F310000}"/>
    <cellStyle name="Обычный 6 2 5 2 6" xfId="11499" xr:uid="{00000000-0005-0000-0000-000030310000}"/>
    <cellStyle name="Обычный 6 2 5 2 7" xfId="12485" xr:uid="{00000000-0005-0000-0000-000031310000}"/>
    <cellStyle name="Обычный 6 2 5 2 8" xfId="13471" xr:uid="{00000000-0005-0000-0000-000032310000}"/>
    <cellStyle name="Обычный 6 2 5 2 9" xfId="14471" xr:uid="{00000000-0005-0000-0000-000033310000}"/>
    <cellStyle name="Обычный 6 2 5 3" xfId="6808" xr:uid="{00000000-0005-0000-0000-000034310000}"/>
    <cellStyle name="Обычный 6 2 5 3 10" xfId="15727" xr:uid="{00000000-0005-0000-0000-000035310000}"/>
    <cellStyle name="Обычный 6 2 5 3 2" xfId="7805" xr:uid="{00000000-0005-0000-0000-000036310000}"/>
    <cellStyle name="Обычный 6 2 5 3 3" xfId="8811" xr:uid="{00000000-0005-0000-0000-000037310000}"/>
    <cellStyle name="Обычный 6 2 5 3 4" xfId="9797" xr:uid="{00000000-0005-0000-0000-000038310000}"/>
    <cellStyle name="Обычный 6 2 5 3 5" xfId="10783" xr:uid="{00000000-0005-0000-0000-000039310000}"/>
    <cellStyle name="Обычный 6 2 5 3 6" xfId="11769" xr:uid="{00000000-0005-0000-0000-00003A310000}"/>
    <cellStyle name="Обычный 6 2 5 3 7" xfId="12755" xr:uid="{00000000-0005-0000-0000-00003B310000}"/>
    <cellStyle name="Обычный 6 2 5 3 8" xfId="13741" xr:uid="{00000000-0005-0000-0000-00003C310000}"/>
    <cellStyle name="Обычный 6 2 5 3 9" xfId="14741" xr:uid="{00000000-0005-0000-0000-00003D310000}"/>
    <cellStyle name="Обычный 6 2 5 4" xfId="7091" xr:uid="{00000000-0005-0000-0000-00003E310000}"/>
    <cellStyle name="Обычный 6 2 5 5" xfId="8097" xr:uid="{00000000-0005-0000-0000-00003F310000}"/>
    <cellStyle name="Обычный 6 2 5 6" xfId="9083" xr:uid="{00000000-0005-0000-0000-000040310000}"/>
    <cellStyle name="Обычный 6 2 5 7" xfId="10069" xr:uid="{00000000-0005-0000-0000-000041310000}"/>
    <cellStyle name="Обычный 6 2 5 8" xfId="11055" xr:uid="{00000000-0005-0000-0000-000042310000}"/>
    <cellStyle name="Обычный 6 2 5 9" xfId="12041" xr:uid="{00000000-0005-0000-0000-000043310000}"/>
    <cellStyle name="Обычный 6 2 6" xfId="6426" xr:uid="{00000000-0005-0000-0000-000044310000}"/>
    <cellStyle name="Обычный 6 2 6 10" xfId="15345" xr:uid="{00000000-0005-0000-0000-000045310000}"/>
    <cellStyle name="Обычный 6 2 6 2" xfId="7423" xr:uid="{00000000-0005-0000-0000-000046310000}"/>
    <cellStyle name="Обычный 6 2 6 3" xfId="8429" xr:uid="{00000000-0005-0000-0000-000047310000}"/>
    <cellStyle name="Обычный 6 2 6 4" xfId="9415" xr:uid="{00000000-0005-0000-0000-000048310000}"/>
    <cellStyle name="Обычный 6 2 6 5" xfId="10401" xr:uid="{00000000-0005-0000-0000-000049310000}"/>
    <cellStyle name="Обычный 6 2 6 6" xfId="11387" xr:uid="{00000000-0005-0000-0000-00004A310000}"/>
    <cellStyle name="Обычный 6 2 6 7" xfId="12373" xr:uid="{00000000-0005-0000-0000-00004B310000}"/>
    <cellStyle name="Обычный 6 2 6 8" xfId="13359" xr:uid="{00000000-0005-0000-0000-00004C310000}"/>
    <cellStyle name="Обычный 6 2 6 9" xfId="14359" xr:uid="{00000000-0005-0000-0000-00004D310000}"/>
    <cellStyle name="Обычный 6 2 7" xfId="6696" xr:uid="{00000000-0005-0000-0000-00004E310000}"/>
    <cellStyle name="Обычный 6 2 7 10" xfId="15615" xr:uid="{00000000-0005-0000-0000-00004F310000}"/>
    <cellStyle name="Обычный 6 2 7 2" xfId="7693" xr:uid="{00000000-0005-0000-0000-000050310000}"/>
    <cellStyle name="Обычный 6 2 7 3" xfId="8699" xr:uid="{00000000-0005-0000-0000-000051310000}"/>
    <cellStyle name="Обычный 6 2 7 4" xfId="9685" xr:uid="{00000000-0005-0000-0000-000052310000}"/>
    <cellStyle name="Обычный 6 2 7 5" xfId="10671" xr:uid="{00000000-0005-0000-0000-000053310000}"/>
    <cellStyle name="Обычный 6 2 7 6" xfId="11657" xr:uid="{00000000-0005-0000-0000-000054310000}"/>
    <cellStyle name="Обычный 6 2 7 7" xfId="12643" xr:uid="{00000000-0005-0000-0000-000055310000}"/>
    <cellStyle name="Обычный 6 2 7 8" xfId="13629" xr:uid="{00000000-0005-0000-0000-000056310000}"/>
    <cellStyle name="Обычный 6 2 7 9" xfId="14629" xr:uid="{00000000-0005-0000-0000-000057310000}"/>
    <cellStyle name="Обычный 6 2 8" xfId="6979" xr:uid="{00000000-0005-0000-0000-000058310000}"/>
    <cellStyle name="Обычный 6 2 9" xfId="7985" xr:uid="{00000000-0005-0000-0000-000059310000}"/>
    <cellStyle name="Обычный 6 2_86 2011 жылы курылысы жумыстары аякталатын нысандар саны 86" xfId="3435" xr:uid="{00000000-0005-0000-0000-00005A310000}"/>
    <cellStyle name="Обычный 6 3" xfId="2640" xr:uid="{00000000-0005-0000-0000-00005B310000}"/>
    <cellStyle name="Обычный 6 4" xfId="2641" xr:uid="{00000000-0005-0000-0000-00005C310000}"/>
    <cellStyle name="Обычный 6 4 2" xfId="6017" xr:uid="{00000000-0005-0000-0000-00005D310000}"/>
    <cellStyle name="Обычный 6 5" xfId="3395" xr:uid="{00000000-0005-0000-0000-00005E310000}"/>
    <cellStyle name="Обычный 6 6" xfId="6015" xr:uid="{00000000-0005-0000-0000-00005F310000}"/>
    <cellStyle name="Обычный 6 6 10" xfId="12973" xr:uid="{00000000-0005-0000-0000-000060310000}"/>
    <cellStyle name="Обычный 6 6 11" xfId="13973" xr:uid="{00000000-0005-0000-0000-000061310000}"/>
    <cellStyle name="Обычный 6 6 12" xfId="14959" xr:uid="{00000000-0005-0000-0000-000062310000}"/>
    <cellStyle name="Обычный 6 6 2" xfId="6484" xr:uid="{00000000-0005-0000-0000-000063310000}"/>
    <cellStyle name="Обычный 6 6 2 10" xfId="15403" xr:uid="{00000000-0005-0000-0000-000064310000}"/>
    <cellStyle name="Обычный 6 6 2 2" xfId="7481" xr:uid="{00000000-0005-0000-0000-000065310000}"/>
    <cellStyle name="Обычный 6 6 2 3" xfId="8487" xr:uid="{00000000-0005-0000-0000-000066310000}"/>
    <cellStyle name="Обычный 6 6 2 4" xfId="9473" xr:uid="{00000000-0005-0000-0000-000067310000}"/>
    <cellStyle name="Обычный 6 6 2 5" xfId="10459" xr:uid="{00000000-0005-0000-0000-000068310000}"/>
    <cellStyle name="Обычный 6 6 2 6" xfId="11445" xr:uid="{00000000-0005-0000-0000-000069310000}"/>
    <cellStyle name="Обычный 6 6 2 7" xfId="12431" xr:uid="{00000000-0005-0000-0000-00006A310000}"/>
    <cellStyle name="Обычный 6 6 2 8" xfId="13417" xr:uid="{00000000-0005-0000-0000-00006B310000}"/>
    <cellStyle name="Обычный 6 6 2 9" xfId="14417" xr:uid="{00000000-0005-0000-0000-00006C310000}"/>
    <cellStyle name="Обычный 6 6 3" xfId="6754" xr:uid="{00000000-0005-0000-0000-00006D310000}"/>
    <cellStyle name="Обычный 6 6 3 10" xfId="15673" xr:uid="{00000000-0005-0000-0000-00006E310000}"/>
    <cellStyle name="Обычный 6 6 3 2" xfId="7751" xr:uid="{00000000-0005-0000-0000-00006F310000}"/>
    <cellStyle name="Обычный 6 6 3 3" xfId="8757" xr:uid="{00000000-0005-0000-0000-000070310000}"/>
    <cellStyle name="Обычный 6 6 3 4" xfId="9743" xr:uid="{00000000-0005-0000-0000-000071310000}"/>
    <cellStyle name="Обычный 6 6 3 5" xfId="10729" xr:uid="{00000000-0005-0000-0000-000072310000}"/>
    <cellStyle name="Обычный 6 6 3 6" xfId="11715" xr:uid="{00000000-0005-0000-0000-000073310000}"/>
    <cellStyle name="Обычный 6 6 3 7" xfId="12701" xr:uid="{00000000-0005-0000-0000-000074310000}"/>
    <cellStyle name="Обычный 6 6 3 8" xfId="13687" xr:uid="{00000000-0005-0000-0000-000075310000}"/>
    <cellStyle name="Обычный 6 6 3 9" xfId="14687" xr:uid="{00000000-0005-0000-0000-000076310000}"/>
    <cellStyle name="Обычный 6 6 4" xfId="7037" xr:uid="{00000000-0005-0000-0000-000077310000}"/>
    <cellStyle name="Обычный 6 6 5" xfId="8043" xr:uid="{00000000-0005-0000-0000-000078310000}"/>
    <cellStyle name="Обычный 6 6 6" xfId="9029" xr:uid="{00000000-0005-0000-0000-000079310000}"/>
    <cellStyle name="Обычный 6 6 7" xfId="10015" xr:uid="{00000000-0005-0000-0000-00007A310000}"/>
    <cellStyle name="Обычный 6 6 8" xfId="11001" xr:uid="{00000000-0005-0000-0000-00007B310000}"/>
    <cellStyle name="Обычный 6 6 9" xfId="11987" xr:uid="{00000000-0005-0000-0000-00007C310000}"/>
    <cellStyle name="Обычный 6 7" xfId="6076" xr:uid="{00000000-0005-0000-0000-00007D310000}"/>
    <cellStyle name="Обычный 6 7 10" xfId="13026" xr:uid="{00000000-0005-0000-0000-00007E310000}"/>
    <cellStyle name="Обычный 6 7 11" xfId="14026" xr:uid="{00000000-0005-0000-0000-00007F310000}"/>
    <cellStyle name="Обычный 6 7 12" xfId="15012" xr:uid="{00000000-0005-0000-0000-000080310000}"/>
    <cellStyle name="Обычный 6 7 2" xfId="6537" xr:uid="{00000000-0005-0000-0000-000081310000}"/>
    <cellStyle name="Обычный 6 7 2 10" xfId="15456" xr:uid="{00000000-0005-0000-0000-000082310000}"/>
    <cellStyle name="Обычный 6 7 2 2" xfId="7534" xr:uid="{00000000-0005-0000-0000-000083310000}"/>
    <cellStyle name="Обычный 6 7 2 3" xfId="8540" xr:uid="{00000000-0005-0000-0000-000084310000}"/>
    <cellStyle name="Обычный 6 7 2 4" xfId="9526" xr:uid="{00000000-0005-0000-0000-000085310000}"/>
    <cellStyle name="Обычный 6 7 2 5" xfId="10512" xr:uid="{00000000-0005-0000-0000-000086310000}"/>
    <cellStyle name="Обычный 6 7 2 6" xfId="11498" xr:uid="{00000000-0005-0000-0000-000087310000}"/>
    <cellStyle name="Обычный 6 7 2 7" xfId="12484" xr:uid="{00000000-0005-0000-0000-000088310000}"/>
    <cellStyle name="Обычный 6 7 2 8" xfId="13470" xr:uid="{00000000-0005-0000-0000-000089310000}"/>
    <cellStyle name="Обычный 6 7 2 9" xfId="14470" xr:uid="{00000000-0005-0000-0000-00008A310000}"/>
    <cellStyle name="Обычный 6 7 3" xfId="6807" xr:uid="{00000000-0005-0000-0000-00008B310000}"/>
    <cellStyle name="Обычный 6 7 3 10" xfId="15726" xr:uid="{00000000-0005-0000-0000-00008C310000}"/>
    <cellStyle name="Обычный 6 7 3 2" xfId="7804" xr:uid="{00000000-0005-0000-0000-00008D310000}"/>
    <cellStyle name="Обычный 6 7 3 3" xfId="8810" xr:uid="{00000000-0005-0000-0000-00008E310000}"/>
    <cellStyle name="Обычный 6 7 3 4" xfId="9796" xr:uid="{00000000-0005-0000-0000-00008F310000}"/>
    <cellStyle name="Обычный 6 7 3 5" xfId="10782" xr:uid="{00000000-0005-0000-0000-000090310000}"/>
    <cellStyle name="Обычный 6 7 3 6" xfId="11768" xr:uid="{00000000-0005-0000-0000-000091310000}"/>
    <cellStyle name="Обычный 6 7 3 7" xfId="12754" xr:uid="{00000000-0005-0000-0000-000092310000}"/>
    <cellStyle name="Обычный 6 7 3 8" xfId="13740" xr:uid="{00000000-0005-0000-0000-000093310000}"/>
    <cellStyle name="Обычный 6 7 3 9" xfId="14740" xr:uid="{00000000-0005-0000-0000-000094310000}"/>
    <cellStyle name="Обычный 6 7 4" xfId="7090" xr:uid="{00000000-0005-0000-0000-000095310000}"/>
    <cellStyle name="Обычный 6 7 5" xfId="8096" xr:uid="{00000000-0005-0000-0000-000096310000}"/>
    <cellStyle name="Обычный 6 7 6" xfId="9082" xr:uid="{00000000-0005-0000-0000-000097310000}"/>
    <cellStyle name="Обычный 6 7 7" xfId="10068" xr:uid="{00000000-0005-0000-0000-000098310000}"/>
    <cellStyle name="Обычный 6 7 8" xfId="11054" xr:uid="{00000000-0005-0000-0000-000099310000}"/>
    <cellStyle name="Обычный 6 7 9" xfId="12040" xr:uid="{00000000-0005-0000-0000-00009A310000}"/>
    <cellStyle name="Обычный 6 8" xfId="6425" xr:uid="{00000000-0005-0000-0000-00009B310000}"/>
    <cellStyle name="Обычный 6 8 10" xfId="15344" xr:uid="{00000000-0005-0000-0000-00009C310000}"/>
    <cellStyle name="Обычный 6 8 2" xfId="7422" xr:uid="{00000000-0005-0000-0000-00009D310000}"/>
    <cellStyle name="Обычный 6 8 3" xfId="8428" xr:uid="{00000000-0005-0000-0000-00009E310000}"/>
    <cellStyle name="Обычный 6 8 4" xfId="9414" xr:uid="{00000000-0005-0000-0000-00009F310000}"/>
    <cellStyle name="Обычный 6 8 5" xfId="10400" xr:uid="{00000000-0005-0000-0000-0000A0310000}"/>
    <cellStyle name="Обычный 6 8 6" xfId="11386" xr:uid="{00000000-0005-0000-0000-0000A1310000}"/>
    <cellStyle name="Обычный 6 8 7" xfId="12372" xr:uid="{00000000-0005-0000-0000-0000A2310000}"/>
    <cellStyle name="Обычный 6 8 8" xfId="13358" xr:uid="{00000000-0005-0000-0000-0000A3310000}"/>
    <cellStyle name="Обычный 6 8 9" xfId="14358" xr:uid="{00000000-0005-0000-0000-0000A4310000}"/>
    <cellStyle name="Обычный 6 9" xfId="6695" xr:uid="{00000000-0005-0000-0000-0000A5310000}"/>
    <cellStyle name="Обычный 6 9 10" xfId="15614" xr:uid="{00000000-0005-0000-0000-0000A6310000}"/>
    <cellStyle name="Обычный 6 9 2" xfId="7692" xr:uid="{00000000-0005-0000-0000-0000A7310000}"/>
    <cellStyle name="Обычный 6 9 3" xfId="8698" xr:uid="{00000000-0005-0000-0000-0000A8310000}"/>
    <cellStyle name="Обычный 6 9 4" xfId="9684" xr:uid="{00000000-0005-0000-0000-0000A9310000}"/>
    <cellStyle name="Обычный 6 9 5" xfId="10670" xr:uid="{00000000-0005-0000-0000-0000AA310000}"/>
    <cellStyle name="Обычный 6 9 6" xfId="11656" xr:uid="{00000000-0005-0000-0000-0000AB310000}"/>
    <cellStyle name="Обычный 6 9 7" xfId="12642" xr:uid="{00000000-0005-0000-0000-0000AC310000}"/>
    <cellStyle name="Обычный 6 9 8" xfId="13628" xr:uid="{00000000-0005-0000-0000-0000AD310000}"/>
    <cellStyle name="Обычный 6 9 9" xfId="14628" xr:uid="{00000000-0005-0000-0000-0000AE310000}"/>
    <cellStyle name="Обычный 6_57 приложения  2012-2014 Куат Новый" xfId="2642" xr:uid="{00000000-0005-0000-0000-0000AF310000}"/>
    <cellStyle name="Обычный 7" xfId="2643" xr:uid="{00000000-0005-0000-0000-0000B0310000}"/>
    <cellStyle name="Обычный 7 2" xfId="2644" xr:uid="{00000000-0005-0000-0000-0000B1310000}"/>
    <cellStyle name="Обычный 7 2 2" xfId="3396" xr:uid="{00000000-0005-0000-0000-0000B2310000}"/>
    <cellStyle name="Обычный 7 2 3" xfId="3397" xr:uid="{00000000-0005-0000-0000-0000B3310000}"/>
    <cellStyle name="Обычный 7 3" xfId="2645" xr:uid="{00000000-0005-0000-0000-0000B4310000}"/>
    <cellStyle name="Обычный 7 3 2" xfId="3432" xr:uid="{00000000-0005-0000-0000-0000B5310000}"/>
    <cellStyle name="Обычный 7 4" xfId="3398" xr:uid="{00000000-0005-0000-0000-0000B6310000}"/>
    <cellStyle name="Обычный 8" xfId="2646" xr:uid="{00000000-0005-0000-0000-0000B7310000}"/>
    <cellStyle name="Обычный 8 2" xfId="2647" xr:uid="{00000000-0005-0000-0000-0000B8310000}"/>
    <cellStyle name="Обычный 8 3" xfId="2648" xr:uid="{00000000-0005-0000-0000-0000B9310000}"/>
    <cellStyle name="Обычный 8 4" xfId="3399" xr:uid="{00000000-0005-0000-0000-0000BA310000}"/>
    <cellStyle name="Обычный 8 5" xfId="3400" xr:uid="{00000000-0005-0000-0000-0000BB310000}"/>
    <cellStyle name="Обычный 8 6" xfId="6181" xr:uid="{00000000-0005-0000-0000-0000BC310000}"/>
    <cellStyle name="Обычный 9" xfId="2649" xr:uid="{00000000-0005-0000-0000-0000BD310000}"/>
    <cellStyle name="Обычный 9 10" xfId="6697" xr:uid="{00000000-0005-0000-0000-0000BE310000}"/>
    <cellStyle name="Обычный 9 10 10" xfId="15616" xr:uid="{00000000-0005-0000-0000-0000BF310000}"/>
    <cellStyle name="Обычный 9 10 2" xfId="7694" xr:uid="{00000000-0005-0000-0000-0000C0310000}"/>
    <cellStyle name="Обычный 9 10 3" xfId="8700" xr:uid="{00000000-0005-0000-0000-0000C1310000}"/>
    <cellStyle name="Обычный 9 10 4" xfId="9686" xr:uid="{00000000-0005-0000-0000-0000C2310000}"/>
    <cellStyle name="Обычный 9 10 5" xfId="10672" xr:uid="{00000000-0005-0000-0000-0000C3310000}"/>
    <cellStyle name="Обычный 9 10 6" xfId="11658" xr:uid="{00000000-0005-0000-0000-0000C4310000}"/>
    <cellStyle name="Обычный 9 10 7" xfId="12644" xr:uid="{00000000-0005-0000-0000-0000C5310000}"/>
    <cellStyle name="Обычный 9 10 8" xfId="13630" xr:uid="{00000000-0005-0000-0000-0000C6310000}"/>
    <cellStyle name="Обычный 9 10 9" xfId="14630" xr:uid="{00000000-0005-0000-0000-0000C7310000}"/>
    <cellStyle name="Обычный 9 11" xfId="6980" xr:uid="{00000000-0005-0000-0000-0000C8310000}"/>
    <cellStyle name="Обычный 9 12" xfId="7986" xr:uid="{00000000-0005-0000-0000-0000C9310000}"/>
    <cellStyle name="Обычный 9 13" xfId="8972" xr:uid="{00000000-0005-0000-0000-0000CA310000}"/>
    <cellStyle name="Обычный 9 14" xfId="9958" xr:uid="{00000000-0005-0000-0000-0000CB310000}"/>
    <cellStyle name="Обычный 9 15" xfId="10944" xr:uid="{00000000-0005-0000-0000-0000CC310000}"/>
    <cellStyle name="Обычный 9 16" xfId="11930" xr:uid="{00000000-0005-0000-0000-0000CD310000}"/>
    <cellStyle name="Обычный 9 17" xfId="12916" xr:uid="{00000000-0005-0000-0000-0000CE310000}"/>
    <cellStyle name="Обычный 9 18" xfId="13916" xr:uid="{00000000-0005-0000-0000-0000CF310000}"/>
    <cellStyle name="Обычный 9 19" xfId="14902" xr:uid="{00000000-0005-0000-0000-0000D0310000}"/>
    <cellStyle name="Обычный 9 2" xfId="2650" xr:uid="{00000000-0005-0000-0000-0000D1310000}"/>
    <cellStyle name="Обычный 9 2 10" xfId="3441" xr:uid="{00000000-0005-0000-0000-0000D2310000}"/>
    <cellStyle name="Обычный 9 2 10 10" xfId="12966" xr:uid="{00000000-0005-0000-0000-0000D3310000}"/>
    <cellStyle name="Обычный 9 2 10 11" xfId="13966" xr:uid="{00000000-0005-0000-0000-0000D4310000}"/>
    <cellStyle name="Обычный 9 2 10 12" xfId="14952" xr:uid="{00000000-0005-0000-0000-0000D5310000}"/>
    <cellStyle name="Обычный 9 2 10 2" xfId="6477" xr:uid="{00000000-0005-0000-0000-0000D6310000}"/>
    <cellStyle name="Обычный 9 2 10 2 10" xfId="15396" xr:uid="{00000000-0005-0000-0000-0000D7310000}"/>
    <cellStyle name="Обычный 9 2 10 2 2" xfId="7474" xr:uid="{00000000-0005-0000-0000-0000D8310000}"/>
    <cellStyle name="Обычный 9 2 10 2 3" xfId="8480" xr:uid="{00000000-0005-0000-0000-0000D9310000}"/>
    <cellStyle name="Обычный 9 2 10 2 4" xfId="9466" xr:uid="{00000000-0005-0000-0000-0000DA310000}"/>
    <cellStyle name="Обычный 9 2 10 2 5" xfId="10452" xr:uid="{00000000-0005-0000-0000-0000DB310000}"/>
    <cellStyle name="Обычный 9 2 10 2 6" xfId="11438" xr:uid="{00000000-0005-0000-0000-0000DC310000}"/>
    <cellStyle name="Обычный 9 2 10 2 7" xfId="12424" xr:uid="{00000000-0005-0000-0000-0000DD310000}"/>
    <cellStyle name="Обычный 9 2 10 2 8" xfId="13410" xr:uid="{00000000-0005-0000-0000-0000DE310000}"/>
    <cellStyle name="Обычный 9 2 10 2 9" xfId="14410" xr:uid="{00000000-0005-0000-0000-0000DF310000}"/>
    <cellStyle name="Обычный 9 2 10 3" xfId="6747" xr:uid="{00000000-0005-0000-0000-0000E0310000}"/>
    <cellStyle name="Обычный 9 2 10 3 10" xfId="15666" xr:uid="{00000000-0005-0000-0000-0000E1310000}"/>
    <cellStyle name="Обычный 9 2 10 3 2" xfId="7744" xr:uid="{00000000-0005-0000-0000-0000E2310000}"/>
    <cellStyle name="Обычный 9 2 10 3 3" xfId="8750" xr:uid="{00000000-0005-0000-0000-0000E3310000}"/>
    <cellStyle name="Обычный 9 2 10 3 4" xfId="9736" xr:uid="{00000000-0005-0000-0000-0000E4310000}"/>
    <cellStyle name="Обычный 9 2 10 3 5" xfId="10722" xr:uid="{00000000-0005-0000-0000-0000E5310000}"/>
    <cellStyle name="Обычный 9 2 10 3 6" xfId="11708" xr:uid="{00000000-0005-0000-0000-0000E6310000}"/>
    <cellStyle name="Обычный 9 2 10 3 7" xfId="12694" xr:uid="{00000000-0005-0000-0000-0000E7310000}"/>
    <cellStyle name="Обычный 9 2 10 3 8" xfId="13680" xr:uid="{00000000-0005-0000-0000-0000E8310000}"/>
    <cellStyle name="Обычный 9 2 10 3 9" xfId="14680" xr:uid="{00000000-0005-0000-0000-0000E9310000}"/>
    <cellStyle name="Обычный 9 2 10 4" xfId="7030" xr:uid="{00000000-0005-0000-0000-0000EA310000}"/>
    <cellStyle name="Обычный 9 2 10 5" xfId="8036" xr:uid="{00000000-0005-0000-0000-0000EB310000}"/>
    <cellStyle name="Обычный 9 2 10 6" xfId="9022" xr:uid="{00000000-0005-0000-0000-0000EC310000}"/>
    <cellStyle name="Обычный 9 2 10 7" xfId="10008" xr:uid="{00000000-0005-0000-0000-0000ED310000}"/>
    <cellStyle name="Обычный 9 2 10 8" xfId="10994" xr:uid="{00000000-0005-0000-0000-0000EE310000}"/>
    <cellStyle name="Обычный 9 2 10 9" xfId="11980" xr:uid="{00000000-0005-0000-0000-0000EF310000}"/>
    <cellStyle name="Обычный 9 2 11" xfId="6019" xr:uid="{00000000-0005-0000-0000-0000F0310000}"/>
    <cellStyle name="Обычный 9 2 11 10" xfId="12976" xr:uid="{00000000-0005-0000-0000-0000F1310000}"/>
    <cellStyle name="Обычный 9 2 11 11" xfId="13976" xr:uid="{00000000-0005-0000-0000-0000F2310000}"/>
    <cellStyle name="Обычный 9 2 11 12" xfId="14962" xr:uid="{00000000-0005-0000-0000-0000F3310000}"/>
    <cellStyle name="Обычный 9 2 11 2" xfId="6487" xr:uid="{00000000-0005-0000-0000-0000F4310000}"/>
    <cellStyle name="Обычный 9 2 11 2 10" xfId="15406" xr:uid="{00000000-0005-0000-0000-0000F5310000}"/>
    <cellStyle name="Обычный 9 2 11 2 2" xfId="7484" xr:uid="{00000000-0005-0000-0000-0000F6310000}"/>
    <cellStyle name="Обычный 9 2 11 2 3" xfId="8490" xr:uid="{00000000-0005-0000-0000-0000F7310000}"/>
    <cellStyle name="Обычный 9 2 11 2 4" xfId="9476" xr:uid="{00000000-0005-0000-0000-0000F8310000}"/>
    <cellStyle name="Обычный 9 2 11 2 5" xfId="10462" xr:uid="{00000000-0005-0000-0000-0000F9310000}"/>
    <cellStyle name="Обычный 9 2 11 2 6" xfId="11448" xr:uid="{00000000-0005-0000-0000-0000FA310000}"/>
    <cellStyle name="Обычный 9 2 11 2 7" xfId="12434" xr:uid="{00000000-0005-0000-0000-0000FB310000}"/>
    <cellStyle name="Обычный 9 2 11 2 8" xfId="13420" xr:uid="{00000000-0005-0000-0000-0000FC310000}"/>
    <cellStyle name="Обычный 9 2 11 2 9" xfId="14420" xr:uid="{00000000-0005-0000-0000-0000FD310000}"/>
    <cellStyle name="Обычный 9 2 11 3" xfId="6757" xr:uid="{00000000-0005-0000-0000-0000FE310000}"/>
    <cellStyle name="Обычный 9 2 11 3 10" xfId="15676" xr:uid="{00000000-0005-0000-0000-0000FF310000}"/>
    <cellStyle name="Обычный 9 2 11 3 2" xfId="7754" xr:uid="{00000000-0005-0000-0000-000000320000}"/>
    <cellStyle name="Обычный 9 2 11 3 3" xfId="8760" xr:uid="{00000000-0005-0000-0000-000001320000}"/>
    <cellStyle name="Обычный 9 2 11 3 4" xfId="9746" xr:uid="{00000000-0005-0000-0000-000002320000}"/>
    <cellStyle name="Обычный 9 2 11 3 5" xfId="10732" xr:uid="{00000000-0005-0000-0000-000003320000}"/>
    <cellStyle name="Обычный 9 2 11 3 6" xfId="11718" xr:uid="{00000000-0005-0000-0000-000004320000}"/>
    <cellStyle name="Обычный 9 2 11 3 7" xfId="12704" xr:uid="{00000000-0005-0000-0000-000005320000}"/>
    <cellStyle name="Обычный 9 2 11 3 8" xfId="13690" xr:uid="{00000000-0005-0000-0000-000006320000}"/>
    <cellStyle name="Обычный 9 2 11 3 9" xfId="14690" xr:uid="{00000000-0005-0000-0000-000007320000}"/>
    <cellStyle name="Обычный 9 2 11 4" xfId="7040" xr:uid="{00000000-0005-0000-0000-000008320000}"/>
    <cellStyle name="Обычный 9 2 11 5" xfId="8046" xr:uid="{00000000-0005-0000-0000-000009320000}"/>
    <cellStyle name="Обычный 9 2 11 6" xfId="9032" xr:uid="{00000000-0005-0000-0000-00000A320000}"/>
    <cellStyle name="Обычный 9 2 11 7" xfId="10018" xr:uid="{00000000-0005-0000-0000-00000B320000}"/>
    <cellStyle name="Обычный 9 2 11 8" xfId="11004" xr:uid="{00000000-0005-0000-0000-00000C320000}"/>
    <cellStyle name="Обычный 9 2 11 9" xfId="11990" xr:uid="{00000000-0005-0000-0000-00000D320000}"/>
    <cellStyle name="Обычный 9 2 12" xfId="6079" xr:uid="{00000000-0005-0000-0000-00000E320000}"/>
    <cellStyle name="Обычный 9 2 12 10" xfId="13029" xr:uid="{00000000-0005-0000-0000-00000F320000}"/>
    <cellStyle name="Обычный 9 2 12 11" xfId="14029" xr:uid="{00000000-0005-0000-0000-000010320000}"/>
    <cellStyle name="Обычный 9 2 12 12" xfId="15015" xr:uid="{00000000-0005-0000-0000-000011320000}"/>
    <cellStyle name="Обычный 9 2 12 2" xfId="6540" xr:uid="{00000000-0005-0000-0000-000012320000}"/>
    <cellStyle name="Обычный 9 2 12 2 10" xfId="15459" xr:uid="{00000000-0005-0000-0000-000013320000}"/>
    <cellStyle name="Обычный 9 2 12 2 2" xfId="7537" xr:uid="{00000000-0005-0000-0000-000014320000}"/>
    <cellStyle name="Обычный 9 2 12 2 3" xfId="8543" xr:uid="{00000000-0005-0000-0000-000015320000}"/>
    <cellStyle name="Обычный 9 2 12 2 4" xfId="9529" xr:uid="{00000000-0005-0000-0000-000016320000}"/>
    <cellStyle name="Обычный 9 2 12 2 5" xfId="10515" xr:uid="{00000000-0005-0000-0000-000017320000}"/>
    <cellStyle name="Обычный 9 2 12 2 6" xfId="11501" xr:uid="{00000000-0005-0000-0000-000018320000}"/>
    <cellStyle name="Обычный 9 2 12 2 7" xfId="12487" xr:uid="{00000000-0005-0000-0000-000019320000}"/>
    <cellStyle name="Обычный 9 2 12 2 8" xfId="13473" xr:uid="{00000000-0005-0000-0000-00001A320000}"/>
    <cellStyle name="Обычный 9 2 12 2 9" xfId="14473" xr:uid="{00000000-0005-0000-0000-00001B320000}"/>
    <cellStyle name="Обычный 9 2 12 3" xfId="6810" xr:uid="{00000000-0005-0000-0000-00001C320000}"/>
    <cellStyle name="Обычный 9 2 12 3 10" xfId="15729" xr:uid="{00000000-0005-0000-0000-00001D320000}"/>
    <cellStyle name="Обычный 9 2 12 3 2" xfId="7807" xr:uid="{00000000-0005-0000-0000-00001E320000}"/>
    <cellStyle name="Обычный 9 2 12 3 3" xfId="8813" xr:uid="{00000000-0005-0000-0000-00001F320000}"/>
    <cellStyle name="Обычный 9 2 12 3 4" xfId="9799" xr:uid="{00000000-0005-0000-0000-000020320000}"/>
    <cellStyle name="Обычный 9 2 12 3 5" xfId="10785" xr:uid="{00000000-0005-0000-0000-000021320000}"/>
    <cellStyle name="Обычный 9 2 12 3 6" xfId="11771" xr:uid="{00000000-0005-0000-0000-000022320000}"/>
    <cellStyle name="Обычный 9 2 12 3 7" xfId="12757" xr:uid="{00000000-0005-0000-0000-000023320000}"/>
    <cellStyle name="Обычный 9 2 12 3 8" xfId="13743" xr:uid="{00000000-0005-0000-0000-000024320000}"/>
    <cellStyle name="Обычный 9 2 12 3 9" xfId="14743" xr:uid="{00000000-0005-0000-0000-000025320000}"/>
    <cellStyle name="Обычный 9 2 12 4" xfId="7093" xr:uid="{00000000-0005-0000-0000-000026320000}"/>
    <cellStyle name="Обычный 9 2 12 5" xfId="8099" xr:uid="{00000000-0005-0000-0000-000027320000}"/>
    <cellStyle name="Обычный 9 2 12 6" xfId="9085" xr:uid="{00000000-0005-0000-0000-000028320000}"/>
    <cellStyle name="Обычный 9 2 12 7" xfId="10071" xr:uid="{00000000-0005-0000-0000-000029320000}"/>
    <cellStyle name="Обычный 9 2 12 8" xfId="11057" xr:uid="{00000000-0005-0000-0000-00002A320000}"/>
    <cellStyle name="Обычный 9 2 12 9" xfId="12043" xr:uid="{00000000-0005-0000-0000-00002B320000}"/>
    <cellStyle name="Обычный 9 2 13" xfId="6182" xr:uid="{00000000-0005-0000-0000-00002C320000}"/>
    <cellStyle name="Обычный 9 2 13 10" xfId="13121" xr:uid="{00000000-0005-0000-0000-00002D320000}"/>
    <cellStyle name="Обычный 9 2 13 11" xfId="14121" xr:uid="{00000000-0005-0000-0000-00002E320000}"/>
    <cellStyle name="Обычный 9 2 13 12" xfId="15107" xr:uid="{00000000-0005-0000-0000-00002F320000}"/>
    <cellStyle name="Обычный 9 2 13 2" xfId="6632" xr:uid="{00000000-0005-0000-0000-000030320000}"/>
    <cellStyle name="Обычный 9 2 13 2 10" xfId="15551" xr:uid="{00000000-0005-0000-0000-000031320000}"/>
    <cellStyle name="Обычный 9 2 13 2 2" xfId="7629" xr:uid="{00000000-0005-0000-0000-000032320000}"/>
    <cellStyle name="Обычный 9 2 13 2 3" xfId="8635" xr:uid="{00000000-0005-0000-0000-000033320000}"/>
    <cellStyle name="Обычный 9 2 13 2 4" xfId="9621" xr:uid="{00000000-0005-0000-0000-000034320000}"/>
    <cellStyle name="Обычный 9 2 13 2 5" xfId="10607" xr:uid="{00000000-0005-0000-0000-000035320000}"/>
    <cellStyle name="Обычный 9 2 13 2 6" xfId="11593" xr:uid="{00000000-0005-0000-0000-000036320000}"/>
    <cellStyle name="Обычный 9 2 13 2 7" xfId="12579" xr:uid="{00000000-0005-0000-0000-000037320000}"/>
    <cellStyle name="Обычный 9 2 13 2 8" xfId="13565" xr:uid="{00000000-0005-0000-0000-000038320000}"/>
    <cellStyle name="Обычный 9 2 13 2 9" xfId="14565" xr:uid="{00000000-0005-0000-0000-000039320000}"/>
    <cellStyle name="Обычный 9 2 13 3" xfId="6902" xr:uid="{00000000-0005-0000-0000-00003A320000}"/>
    <cellStyle name="Обычный 9 2 13 3 10" xfId="15821" xr:uid="{00000000-0005-0000-0000-00003B320000}"/>
    <cellStyle name="Обычный 9 2 13 3 2" xfId="7899" xr:uid="{00000000-0005-0000-0000-00003C320000}"/>
    <cellStyle name="Обычный 9 2 13 3 3" xfId="8905" xr:uid="{00000000-0005-0000-0000-00003D320000}"/>
    <cellStyle name="Обычный 9 2 13 3 4" xfId="9891" xr:uid="{00000000-0005-0000-0000-00003E320000}"/>
    <cellStyle name="Обычный 9 2 13 3 5" xfId="10877" xr:uid="{00000000-0005-0000-0000-00003F320000}"/>
    <cellStyle name="Обычный 9 2 13 3 6" xfId="11863" xr:uid="{00000000-0005-0000-0000-000040320000}"/>
    <cellStyle name="Обычный 9 2 13 3 7" xfId="12849" xr:uid="{00000000-0005-0000-0000-000041320000}"/>
    <cellStyle name="Обычный 9 2 13 3 8" xfId="13835" xr:uid="{00000000-0005-0000-0000-000042320000}"/>
    <cellStyle name="Обычный 9 2 13 3 9" xfId="14835" xr:uid="{00000000-0005-0000-0000-000043320000}"/>
    <cellStyle name="Обычный 9 2 13 4" xfId="7185" xr:uid="{00000000-0005-0000-0000-000044320000}"/>
    <cellStyle name="Обычный 9 2 13 5" xfId="8191" xr:uid="{00000000-0005-0000-0000-000045320000}"/>
    <cellStyle name="Обычный 9 2 13 6" xfId="9177" xr:uid="{00000000-0005-0000-0000-000046320000}"/>
    <cellStyle name="Обычный 9 2 13 7" xfId="10163" xr:uid="{00000000-0005-0000-0000-000047320000}"/>
    <cellStyle name="Обычный 9 2 13 8" xfId="11149" xr:uid="{00000000-0005-0000-0000-000048320000}"/>
    <cellStyle name="Обычный 9 2 13 9" xfId="12135" xr:uid="{00000000-0005-0000-0000-000049320000}"/>
    <cellStyle name="Обычный 9 2 14" xfId="6428" xr:uid="{00000000-0005-0000-0000-00004A320000}"/>
    <cellStyle name="Обычный 9 2 14 10" xfId="15347" xr:uid="{00000000-0005-0000-0000-00004B320000}"/>
    <cellStyle name="Обычный 9 2 14 2" xfId="7425" xr:uid="{00000000-0005-0000-0000-00004C320000}"/>
    <cellStyle name="Обычный 9 2 14 3" xfId="8431" xr:uid="{00000000-0005-0000-0000-00004D320000}"/>
    <cellStyle name="Обычный 9 2 14 4" xfId="9417" xr:uid="{00000000-0005-0000-0000-00004E320000}"/>
    <cellStyle name="Обычный 9 2 14 5" xfId="10403" xr:uid="{00000000-0005-0000-0000-00004F320000}"/>
    <cellStyle name="Обычный 9 2 14 6" xfId="11389" xr:uid="{00000000-0005-0000-0000-000050320000}"/>
    <cellStyle name="Обычный 9 2 14 7" xfId="12375" xr:uid="{00000000-0005-0000-0000-000051320000}"/>
    <cellStyle name="Обычный 9 2 14 8" xfId="13361" xr:uid="{00000000-0005-0000-0000-000052320000}"/>
    <cellStyle name="Обычный 9 2 14 9" xfId="14361" xr:uid="{00000000-0005-0000-0000-000053320000}"/>
    <cellStyle name="Обычный 9 2 15" xfId="6698" xr:uid="{00000000-0005-0000-0000-000054320000}"/>
    <cellStyle name="Обычный 9 2 15 10" xfId="15617" xr:uid="{00000000-0005-0000-0000-000055320000}"/>
    <cellStyle name="Обычный 9 2 15 2" xfId="7695" xr:uid="{00000000-0005-0000-0000-000056320000}"/>
    <cellStyle name="Обычный 9 2 15 3" xfId="8701" xr:uid="{00000000-0005-0000-0000-000057320000}"/>
    <cellStyle name="Обычный 9 2 15 4" xfId="9687" xr:uid="{00000000-0005-0000-0000-000058320000}"/>
    <cellStyle name="Обычный 9 2 15 5" xfId="10673" xr:uid="{00000000-0005-0000-0000-000059320000}"/>
    <cellStyle name="Обычный 9 2 15 6" xfId="11659" xr:uid="{00000000-0005-0000-0000-00005A320000}"/>
    <cellStyle name="Обычный 9 2 15 7" xfId="12645" xr:uid="{00000000-0005-0000-0000-00005B320000}"/>
    <cellStyle name="Обычный 9 2 15 8" xfId="13631" xr:uid="{00000000-0005-0000-0000-00005C320000}"/>
    <cellStyle name="Обычный 9 2 15 9" xfId="14631" xr:uid="{00000000-0005-0000-0000-00005D320000}"/>
    <cellStyle name="Обычный 9 2 16" xfId="6981" xr:uid="{00000000-0005-0000-0000-00005E320000}"/>
    <cellStyle name="Обычный 9 2 17" xfId="7987" xr:uid="{00000000-0005-0000-0000-00005F320000}"/>
    <cellStyle name="Обычный 9 2 18" xfId="8973" xr:uid="{00000000-0005-0000-0000-000060320000}"/>
    <cellStyle name="Обычный 9 2 19" xfId="9959" xr:uid="{00000000-0005-0000-0000-000061320000}"/>
    <cellStyle name="Обычный 9 2 2" xfId="3401" xr:uid="{00000000-0005-0000-0000-000062320000}"/>
    <cellStyle name="Обычный 9 2 2 10" xfId="9988" xr:uid="{00000000-0005-0000-0000-000063320000}"/>
    <cellStyle name="Обычный 9 2 2 11" xfId="10974" xr:uid="{00000000-0005-0000-0000-000064320000}"/>
    <cellStyle name="Обычный 9 2 2 12" xfId="11960" xr:uid="{00000000-0005-0000-0000-000065320000}"/>
    <cellStyle name="Обычный 9 2 2 13" xfId="12946" xr:uid="{00000000-0005-0000-0000-000066320000}"/>
    <cellStyle name="Обычный 9 2 2 14" xfId="13946" xr:uid="{00000000-0005-0000-0000-000067320000}"/>
    <cellStyle name="Обычный 9 2 2 15" xfId="14932" xr:uid="{00000000-0005-0000-0000-000068320000}"/>
    <cellStyle name="Обычный 9 2 2 2" xfId="6051" xr:uid="{00000000-0005-0000-0000-000069320000}"/>
    <cellStyle name="Обычный 9 2 2 2 10" xfId="13005" xr:uid="{00000000-0005-0000-0000-00006A320000}"/>
    <cellStyle name="Обычный 9 2 2 2 11" xfId="14005" xr:uid="{00000000-0005-0000-0000-00006B320000}"/>
    <cellStyle name="Обычный 9 2 2 2 12" xfId="14991" xr:uid="{00000000-0005-0000-0000-00006C320000}"/>
    <cellStyle name="Обычный 9 2 2 2 2" xfId="6516" xr:uid="{00000000-0005-0000-0000-00006D320000}"/>
    <cellStyle name="Обычный 9 2 2 2 2 10" xfId="15435" xr:uid="{00000000-0005-0000-0000-00006E320000}"/>
    <cellStyle name="Обычный 9 2 2 2 2 2" xfId="7513" xr:uid="{00000000-0005-0000-0000-00006F320000}"/>
    <cellStyle name="Обычный 9 2 2 2 2 3" xfId="8519" xr:uid="{00000000-0005-0000-0000-000070320000}"/>
    <cellStyle name="Обычный 9 2 2 2 2 4" xfId="9505" xr:uid="{00000000-0005-0000-0000-000071320000}"/>
    <cellStyle name="Обычный 9 2 2 2 2 5" xfId="10491" xr:uid="{00000000-0005-0000-0000-000072320000}"/>
    <cellStyle name="Обычный 9 2 2 2 2 6" xfId="11477" xr:uid="{00000000-0005-0000-0000-000073320000}"/>
    <cellStyle name="Обычный 9 2 2 2 2 7" xfId="12463" xr:uid="{00000000-0005-0000-0000-000074320000}"/>
    <cellStyle name="Обычный 9 2 2 2 2 8" xfId="13449" xr:uid="{00000000-0005-0000-0000-000075320000}"/>
    <cellStyle name="Обычный 9 2 2 2 2 9" xfId="14449" xr:uid="{00000000-0005-0000-0000-000076320000}"/>
    <cellStyle name="Обычный 9 2 2 2 3" xfId="6786" xr:uid="{00000000-0005-0000-0000-000077320000}"/>
    <cellStyle name="Обычный 9 2 2 2 3 10" xfId="15705" xr:uid="{00000000-0005-0000-0000-000078320000}"/>
    <cellStyle name="Обычный 9 2 2 2 3 2" xfId="7783" xr:uid="{00000000-0005-0000-0000-000079320000}"/>
    <cellStyle name="Обычный 9 2 2 2 3 3" xfId="8789" xr:uid="{00000000-0005-0000-0000-00007A320000}"/>
    <cellStyle name="Обычный 9 2 2 2 3 4" xfId="9775" xr:uid="{00000000-0005-0000-0000-00007B320000}"/>
    <cellStyle name="Обычный 9 2 2 2 3 5" xfId="10761" xr:uid="{00000000-0005-0000-0000-00007C320000}"/>
    <cellStyle name="Обычный 9 2 2 2 3 6" xfId="11747" xr:uid="{00000000-0005-0000-0000-00007D320000}"/>
    <cellStyle name="Обычный 9 2 2 2 3 7" xfId="12733" xr:uid="{00000000-0005-0000-0000-00007E320000}"/>
    <cellStyle name="Обычный 9 2 2 2 3 8" xfId="13719" xr:uid="{00000000-0005-0000-0000-00007F320000}"/>
    <cellStyle name="Обычный 9 2 2 2 3 9" xfId="14719" xr:uid="{00000000-0005-0000-0000-000080320000}"/>
    <cellStyle name="Обычный 9 2 2 2 4" xfId="7069" xr:uid="{00000000-0005-0000-0000-000081320000}"/>
    <cellStyle name="Обычный 9 2 2 2 5" xfId="8075" xr:uid="{00000000-0005-0000-0000-000082320000}"/>
    <cellStyle name="Обычный 9 2 2 2 6" xfId="9061" xr:uid="{00000000-0005-0000-0000-000083320000}"/>
    <cellStyle name="Обычный 9 2 2 2 7" xfId="10047" xr:uid="{00000000-0005-0000-0000-000084320000}"/>
    <cellStyle name="Обычный 9 2 2 2 8" xfId="11033" xr:uid="{00000000-0005-0000-0000-000085320000}"/>
    <cellStyle name="Обычный 9 2 2 2 9" xfId="12019" xr:uid="{00000000-0005-0000-0000-000086320000}"/>
    <cellStyle name="Обычный 9 2 2 3" xfId="6108" xr:uid="{00000000-0005-0000-0000-000087320000}"/>
    <cellStyle name="Обычный 9 2 2 3 10" xfId="13058" xr:uid="{00000000-0005-0000-0000-000088320000}"/>
    <cellStyle name="Обычный 9 2 2 3 11" xfId="14058" xr:uid="{00000000-0005-0000-0000-000089320000}"/>
    <cellStyle name="Обычный 9 2 2 3 12" xfId="15044" xr:uid="{00000000-0005-0000-0000-00008A320000}"/>
    <cellStyle name="Обычный 9 2 2 3 2" xfId="6569" xr:uid="{00000000-0005-0000-0000-00008B320000}"/>
    <cellStyle name="Обычный 9 2 2 3 2 10" xfId="15488" xr:uid="{00000000-0005-0000-0000-00008C320000}"/>
    <cellStyle name="Обычный 9 2 2 3 2 2" xfId="7566" xr:uid="{00000000-0005-0000-0000-00008D320000}"/>
    <cellStyle name="Обычный 9 2 2 3 2 3" xfId="8572" xr:uid="{00000000-0005-0000-0000-00008E320000}"/>
    <cellStyle name="Обычный 9 2 2 3 2 4" xfId="9558" xr:uid="{00000000-0005-0000-0000-00008F320000}"/>
    <cellStyle name="Обычный 9 2 2 3 2 5" xfId="10544" xr:uid="{00000000-0005-0000-0000-000090320000}"/>
    <cellStyle name="Обычный 9 2 2 3 2 6" xfId="11530" xr:uid="{00000000-0005-0000-0000-000091320000}"/>
    <cellStyle name="Обычный 9 2 2 3 2 7" xfId="12516" xr:uid="{00000000-0005-0000-0000-000092320000}"/>
    <cellStyle name="Обычный 9 2 2 3 2 8" xfId="13502" xr:uid="{00000000-0005-0000-0000-000093320000}"/>
    <cellStyle name="Обычный 9 2 2 3 2 9" xfId="14502" xr:uid="{00000000-0005-0000-0000-000094320000}"/>
    <cellStyle name="Обычный 9 2 2 3 3" xfId="6839" xr:uid="{00000000-0005-0000-0000-000095320000}"/>
    <cellStyle name="Обычный 9 2 2 3 3 10" xfId="15758" xr:uid="{00000000-0005-0000-0000-000096320000}"/>
    <cellStyle name="Обычный 9 2 2 3 3 2" xfId="7836" xr:uid="{00000000-0005-0000-0000-000097320000}"/>
    <cellStyle name="Обычный 9 2 2 3 3 3" xfId="8842" xr:uid="{00000000-0005-0000-0000-000098320000}"/>
    <cellStyle name="Обычный 9 2 2 3 3 4" xfId="9828" xr:uid="{00000000-0005-0000-0000-000099320000}"/>
    <cellStyle name="Обычный 9 2 2 3 3 5" xfId="10814" xr:uid="{00000000-0005-0000-0000-00009A320000}"/>
    <cellStyle name="Обычный 9 2 2 3 3 6" xfId="11800" xr:uid="{00000000-0005-0000-0000-00009B320000}"/>
    <cellStyle name="Обычный 9 2 2 3 3 7" xfId="12786" xr:uid="{00000000-0005-0000-0000-00009C320000}"/>
    <cellStyle name="Обычный 9 2 2 3 3 8" xfId="13772" xr:uid="{00000000-0005-0000-0000-00009D320000}"/>
    <cellStyle name="Обычный 9 2 2 3 3 9" xfId="14772" xr:uid="{00000000-0005-0000-0000-00009E320000}"/>
    <cellStyle name="Обычный 9 2 2 3 4" xfId="7122" xr:uid="{00000000-0005-0000-0000-00009F320000}"/>
    <cellStyle name="Обычный 9 2 2 3 5" xfId="8128" xr:uid="{00000000-0005-0000-0000-0000A0320000}"/>
    <cellStyle name="Обычный 9 2 2 3 6" xfId="9114" xr:uid="{00000000-0005-0000-0000-0000A1320000}"/>
    <cellStyle name="Обычный 9 2 2 3 7" xfId="10100" xr:uid="{00000000-0005-0000-0000-0000A2320000}"/>
    <cellStyle name="Обычный 9 2 2 3 8" xfId="11086" xr:uid="{00000000-0005-0000-0000-0000A3320000}"/>
    <cellStyle name="Обычный 9 2 2 3 9" xfId="12072" xr:uid="{00000000-0005-0000-0000-0000A4320000}"/>
    <cellStyle name="Обычный 9 2 2 4" xfId="6183" xr:uid="{00000000-0005-0000-0000-0000A5320000}"/>
    <cellStyle name="Обычный 9 2 2 4 10" xfId="13122" xr:uid="{00000000-0005-0000-0000-0000A6320000}"/>
    <cellStyle name="Обычный 9 2 2 4 11" xfId="14122" xr:uid="{00000000-0005-0000-0000-0000A7320000}"/>
    <cellStyle name="Обычный 9 2 2 4 12" xfId="15108" xr:uid="{00000000-0005-0000-0000-0000A8320000}"/>
    <cellStyle name="Обычный 9 2 2 4 2" xfId="6633" xr:uid="{00000000-0005-0000-0000-0000A9320000}"/>
    <cellStyle name="Обычный 9 2 2 4 2 10" xfId="15552" xr:uid="{00000000-0005-0000-0000-0000AA320000}"/>
    <cellStyle name="Обычный 9 2 2 4 2 2" xfId="7630" xr:uid="{00000000-0005-0000-0000-0000AB320000}"/>
    <cellStyle name="Обычный 9 2 2 4 2 3" xfId="8636" xr:uid="{00000000-0005-0000-0000-0000AC320000}"/>
    <cellStyle name="Обычный 9 2 2 4 2 4" xfId="9622" xr:uid="{00000000-0005-0000-0000-0000AD320000}"/>
    <cellStyle name="Обычный 9 2 2 4 2 5" xfId="10608" xr:uid="{00000000-0005-0000-0000-0000AE320000}"/>
    <cellStyle name="Обычный 9 2 2 4 2 6" xfId="11594" xr:uid="{00000000-0005-0000-0000-0000AF320000}"/>
    <cellStyle name="Обычный 9 2 2 4 2 7" xfId="12580" xr:uid="{00000000-0005-0000-0000-0000B0320000}"/>
    <cellStyle name="Обычный 9 2 2 4 2 8" xfId="13566" xr:uid="{00000000-0005-0000-0000-0000B1320000}"/>
    <cellStyle name="Обычный 9 2 2 4 2 9" xfId="14566" xr:uid="{00000000-0005-0000-0000-0000B2320000}"/>
    <cellStyle name="Обычный 9 2 2 4 3" xfId="6903" xr:uid="{00000000-0005-0000-0000-0000B3320000}"/>
    <cellStyle name="Обычный 9 2 2 4 3 10" xfId="15822" xr:uid="{00000000-0005-0000-0000-0000B4320000}"/>
    <cellStyle name="Обычный 9 2 2 4 3 2" xfId="7900" xr:uid="{00000000-0005-0000-0000-0000B5320000}"/>
    <cellStyle name="Обычный 9 2 2 4 3 3" xfId="8906" xr:uid="{00000000-0005-0000-0000-0000B6320000}"/>
    <cellStyle name="Обычный 9 2 2 4 3 4" xfId="9892" xr:uid="{00000000-0005-0000-0000-0000B7320000}"/>
    <cellStyle name="Обычный 9 2 2 4 3 5" xfId="10878" xr:uid="{00000000-0005-0000-0000-0000B8320000}"/>
    <cellStyle name="Обычный 9 2 2 4 3 6" xfId="11864" xr:uid="{00000000-0005-0000-0000-0000B9320000}"/>
    <cellStyle name="Обычный 9 2 2 4 3 7" xfId="12850" xr:uid="{00000000-0005-0000-0000-0000BA320000}"/>
    <cellStyle name="Обычный 9 2 2 4 3 8" xfId="13836" xr:uid="{00000000-0005-0000-0000-0000BB320000}"/>
    <cellStyle name="Обычный 9 2 2 4 3 9" xfId="14836" xr:uid="{00000000-0005-0000-0000-0000BC320000}"/>
    <cellStyle name="Обычный 9 2 2 4 4" xfId="7186" xr:uid="{00000000-0005-0000-0000-0000BD320000}"/>
    <cellStyle name="Обычный 9 2 2 4 5" xfId="8192" xr:uid="{00000000-0005-0000-0000-0000BE320000}"/>
    <cellStyle name="Обычный 9 2 2 4 6" xfId="9178" xr:uid="{00000000-0005-0000-0000-0000BF320000}"/>
    <cellStyle name="Обычный 9 2 2 4 7" xfId="10164" xr:uid="{00000000-0005-0000-0000-0000C0320000}"/>
    <cellStyle name="Обычный 9 2 2 4 8" xfId="11150" xr:uid="{00000000-0005-0000-0000-0000C1320000}"/>
    <cellStyle name="Обычный 9 2 2 4 9" xfId="12136" xr:uid="{00000000-0005-0000-0000-0000C2320000}"/>
    <cellStyle name="Обычный 9 2 2 5" xfId="6457" xr:uid="{00000000-0005-0000-0000-0000C3320000}"/>
    <cellStyle name="Обычный 9 2 2 5 10" xfId="15376" xr:uid="{00000000-0005-0000-0000-0000C4320000}"/>
    <cellStyle name="Обычный 9 2 2 5 2" xfId="7454" xr:uid="{00000000-0005-0000-0000-0000C5320000}"/>
    <cellStyle name="Обычный 9 2 2 5 3" xfId="8460" xr:uid="{00000000-0005-0000-0000-0000C6320000}"/>
    <cellStyle name="Обычный 9 2 2 5 4" xfId="9446" xr:uid="{00000000-0005-0000-0000-0000C7320000}"/>
    <cellStyle name="Обычный 9 2 2 5 5" xfId="10432" xr:uid="{00000000-0005-0000-0000-0000C8320000}"/>
    <cellStyle name="Обычный 9 2 2 5 6" xfId="11418" xr:uid="{00000000-0005-0000-0000-0000C9320000}"/>
    <cellStyle name="Обычный 9 2 2 5 7" xfId="12404" xr:uid="{00000000-0005-0000-0000-0000CA320000}"/>
    <cellStyle name="Обычный 9 2 2 5 8" xfId="13390" xr:uid="{00000000-0005-0000-0000-0000CB320000}"/>
    <cellStyle name="Обычный 9 2 2 5 9" xfId="14390" xr:uid="{00000000-0005-0000-0000-0000CC320000}"/>
    <cellStyle name="Обычный 9 2 2 6" xfId="6727" xr:uid="{00000000-0005-0000-0000-0000CD320000}"/>
    <cellStyle name="Обычный 9 2 2 6 10" xfId="15646" xr:uid="{00000000-0005-0000-0000-0000CE320000}"/>
    <cellStyle name="Обычный 9 2 2 6 2" xfId="7724" xr:uid="{00000000-0005-0000-0000-0000CF320000}"/>
    <cellStyle name="Обычный 9 2 2 6 3" xfId="8730" xr:uid="{00000000-0005-0000-0000-0000D0320000}"/>
    <cellStyle name="Обычный 9 2 2 6 4" xfId="9716" xr:uid="{00000000-0005-0000-0000-0000D1320000}"/>
    <cellStyle name="Обычный 9 2 2 6 5" xfId="10702" xr:uid="{00000000-0005-0000-0000-0000D2320000}"/>
    <cellStyle name="Обычный 9 2 2 6 6" xfId="11688" xr:uid="{00000000-0005-0000-0000-0000D3320000}"/>
    <cellStyle name="Обычный 9 2 2 6 7" xfId="12674" xr:uid="{00000000-0005-0000-0000-0000D4320000}"/>
    <cellStyle name="Обычный 9 2 2 6 8" xfId="13660" xr:uid="{00000000-0005-0000-0000-0000D5320000}"/>
    <cellStyle name="Обычный 9 2 2 6 9" xfId="14660" xr:uid="{00000000-0005-0000-0000-0000D6320000}"/>
    <cellStyle name="Обычный 9 2 2 7" xfId="7010" xr:uid="{00000000-0005-0000-0000-0000D7320000}"/>
    <cellStyle name="Обычный 9 2 2 8" xfId="8016" xr:uid="{00000000-0005-0000-0000-0000D8320000}"/>
    <cellStyle name="Обычный 9 2 2 9" xfId="9002" xr:uid="{00000000-0005-0000-0000-0000D9320000}"/>
    <cellStyle name="Обычный 9 2 20" xfId="10945" xr:uid="{00000000-0005-0000-0000-0000DA320000}"/>
    <cellStyle name="Обычный 9 2 21" xfId="11931" xr:uid="{00000000-0005-0000-0000-0000DB320000}"/>
    <cellStyle name="Обычный 9 2 22" xfId="12917" xr:uid="{00000000-0005-0000-0000-0000DC320000}"/>
    <cellStyle name="Обычный 9 2 23" xfId="13917" xr:uid="{00000000-0005-0000-0000-0000DD320000}"/>
    <cellStyle name="Обычный 9 2 24" xfId="14903" xr:uid="{00000000-0005-0000-0000-0000DE320000}"/>
    <cellStyle name="Обычный 9 2 3" xfId="3402" xr:uid="{00000000-0005-0000-0000-0000DF320000}"/>
    <cellStyle name="Обычный 9 2 3 10" xfId="10975" xr:uid="{00000000-0005-0000-0000-0000E0320000}"/>
    <cellStyle name="Обычный 9 2 3 11" xfId="11961" xr:uid="{00000000-0005-0000-0000-0000E1320000}"/>
    <cellStyle name="Обычный 9 2 3 12" xfId="12947" xr:uid="{00000000-0005-0000-0000-0000E2320000}"/>
    <cellStyle name="Обычный 9 2 3 13" xfId="13947" xr:uid="{00000000-0005-0000-0000-0000E3320000}"/>
    <cellStyle name="Обычный 9 2 3 14" xfId="14933" xr:uid="{00000000-0005-0000-0000-0000E4320000}"/>
    <cellStyle name="Обычный 9 2 3 2" xfId="6052" xr:uid="{00000000-0005-0000-0000-0000E5320000}"/>
    <cellStyle name="Обычный 9 2 3 2 10" xfId="13006" xr:uid="{00000000-0005-0000-0000-0000E6320000}"/>
    <cellStyle name="Обычный 9 2 3 2 11" xfId="14006" xr:uid="{00000000-0005-0000-0000-0000E7320000}"/>
    <cellStyle name="Обычный 9 2 3 2 12" xfId="14992" xr:uid="{00000000-0005-0000-0000-0000E8320000}"/>
    <cellStyle name="Обычный 9 2 3 2 2" xfId="6517" xr:uid="{00000000-0005-0000-0000-0000E9320000}"/>
    <cellStyle name="Обычный 9 2 3 2 2 10" xfId="15436" xr:uid="{00000000-0005-0000-0000-0000EA320000}"/>
    <cellStyle name="Обычный 9 2 3 2 2 2" xfId="7514" xr:uid="{00000000-0005-0000-0000-0000EB320000}"/>
    <cellStyle name="Обычный 9 2 3 2 2 3" xfId="8520" xr:uid="{00000000-0005-0000-0000-0000EC320000}"/>
    <cellStyle name="Обычный 9 2 3 2 2 4" xfId="9506" xr:uid="{00000000-0005-0000-0000-0000ED320000}"/>
    <cellStyle name="Обычный 9 2 3 2 2 5" xfId="10492" xr:uid="{00000000-0005-0000-0000-0000EE320000}"/>
    <cellStyle name="Обычный 9 2 3 2 2 6" xfId="11478" xr:uid="{00000000-0005-0000-0000-0000EF320000}"/>
    <cellStyle name="Обычный 9 2 3 2 2 7" xfId="12464" xr:uid="{00000000-0005-0000-0000-0000F0320000}"/>
    <cellStyle name="Обычный 9 2 3 2 2 8" xfId="13450" xr:uid="{00000000-0005-0000-0000-0000F1320000}"/>
    <cellStyle name="Обычный 9 2 3 2 2 9" xfId="14450" xr:uid="{00000000-0005-0000-0000-0000F2320000}"/>
    <cellStyle name="Обычный 9 2 3 2 3" xfId="6787" xr:uid="{00000000-0005-0000-0000-0000F3320000}"/>
    <cellStyle name="Обычный 9 2 3 2 3 10" xfId="15706" xr:uid="{00000000-0005-0000-0000-0000F4320000}"/>
    <cellStyle name="Обычный 9 2 3 2 3 2" xfId="7784" xr:uid="{00000000-0005-0000-0000-0000F5320000}"/>
    <cellStyle name="Обычный 9 2 3 2 3 3" xfId="8790" xr:uid="{00000000-0005-0000-0000-0000F6320000}"/>
    <cellStyle name="Обычный 9 2 3 2 3 4" xfId="9776" xr:uid="{00000000-0005-0000-0000-0000F7320000}"/>
    <cellStyle name="Обычный 9 2 3 2 3 5" xfId="10762" xr:uid="{00000000-0005-0000-0000-0000F8320000}"/>
    <cellStyle name="Обычный 9 2 3 2 3 6" xfId="11748" xr:uid="{00000000-0005-0000-0000-0000F9320000}"/>
    <cellStyle name="Обычный 9 2 3 2 3 7" xfId="12734" xr:uid="{00000000-0005-0000-0000-0000FA320000}"/>
    <cellStyle name="Обычный 9 2 3 2 3 8" xfId="13720" xr:uid="{00000000-0005-0000-0000-0000FB320000}"/>
    <cellStyle name="Обычный 9 2 3 2 3 9" xfId="14720" xr:uid="{00000000-0005-0000-0000-0000FC320000}"/>
    <cellStyle name="Обычный 9 2 3 2 4" xfId="7070" xr:uid="{00000000-0005-0000-0000-0000FD320000}"/>
    <cellStyle name="Обычный 9 2 3 2 5" xfId="8076" xr:uid="{00000000-0005-0000-0000-0000FE320000}"/>
    <cellStyle name="Обычный 9 2 3 2 6" xfId="9062" xr:uid="{00000000-0005-0000-0000-0000FF320000}"/>
    <cellStyle name="Обычный 9 2 3 2 7" xfId="10048" xr:uid="{00000000-0005-0000-0000-000000330000}"/>
    <cellStyle name="Обычный 9 2 3 2 8" xfId="11034" xr:uid="{00000000-0005-0000-0000-000001330000}"/>
    <cellStyle name="Обычный 9 2 3 2 9" xfId="12020" xr:uid="{00000000-0005-0000-0000-000002330000}"/>
    <cellStyle name="Обычный 9 2 3 3" xfId="6109" xr:uid="{00000000-0005-0000-0000-000003330000}"/>
    <cellStyle name="Обычный 9 2 3 3 10" xfId="13059" xr:uid="{00000000-0005-0000-0000-000004330000}"/>
    <cellStyle name="Обычный 9 2 3 3 11" xfId="14059" xr:uid="{00000000-0005-0000-0000-000005330000}"/>
    <cellStyle name="Обычный 9 2 3 3 12" xfId="15045" xr:uid="{00000000-0005-0000-0000-000006330000}"/>
    <cellStyle name="Обычный 9 2 3 3 2" xfId="6570" xr:uid="{00000000-0005-0000-0000-000007330000}"/>
    <cellStyle name="Обычный 9 2 3 3 2 10" xfId="15489" xr:uid="{00000000-0005-0000-0000-000008330000}"/>
    <cellStyle name="Обычный 9 2 3 3 2 2" xfId="7567" xr:uid="{00000000-0005-0000-0000-000009330000}"/>
    <cellStyle name="Обычный 9 2 3 3 2 3" xfId="8573" xr:uid="{00000000-0005-0000-0000-00000A330000}"/>
    <cellStyle name="Обычный 9 2 3 3 2 4" xfId="9559" xr:uid="{00000000-0005-0000-0000-00000B330000}"/>
    <cellStyle name="Обычный 9 2 3 3 2 5" xfId="10545" xr:uid="{00000000-0005-0000-0000-00000C330000}"/>
    <cellStyle name="Обычный 9 2 3 3 2 6" xfId="11531" xr:uid="{00000000-0005-0000-0000-00000D330000}"/>
    <cellStyle name="Обычный 9 2 3 3 2 7" xfId="12517" xr:uid="{00000000-0005-0000-0000-00000E330000}"/>
    <cellStyle name="Обычный 9 2 3 3 2 8" xfId="13503" xr:uid="{00000000-0005-0000-0000-00000F330000}"/>
    <cellStyle name="Обычный 9 2 3 3 2 9" xfId="14503" xr:uid="{00000000-0005-0000-0000-000010330000}"/>
    <cellStyle name="Обычный 9 2 3 3 3" xfId="6840" xr:uid="{00000000-0005-0000-0000-000011330000}"/>
    <cellStyle name="Обычный 9 2 3 3 3 10" xfId="15759" xr:uid="{00000000-0005-0000-0000-000012330000}"/>
    <cellStyle name="Обычный 9 2 3 3 3 2" xfId="7837" xr:uid="{00000000-0005-0000-0000-000013330000}"/>
    <cellStyle name="Обычный 9 2 3 3 3 3" xfId="8843" xr:uid="{00000000-0005-0000-0000-000014330000}"/>
    <cellStyle name="Обычный 9 2 3 3 3 4" xfId="9829" xr:uid="{00000000-0005-0000-0000-000015330000}"/>
    <cellStyle name="Обычный 9 2 3 3 3 5" xfId="10815" xr:uid="{00000000-0005-0000-0000-000016330000}"/>
    <cellStyle name="Обычный 9 2 3 3 3 6" xfId="11801" xr:uid="{00000000-0005-0000-0000-000017330000}"/>
    <cellStyle name="Обычный 9 2 3 3 3 7" xfId="12787" xr:uid="{00000000-0005-0000-0000-000018330000}"/>
    <cellStyle name="Обычный 9 2 3 3 3 8" xfId="13773" xr:uid="{00000000-0005-0000-0000-000019330000}"/>
    <cellStyle name="Обычный 9 2 3 3 3 9" xfId="14773" xr:uid="{00000000-0005-0000-0000-00001A330000}"/>
    <cellStyle name="Обычный 9 2 3 3 4" xfId="7123" xr:uid="{00000000-0005-0000-0000-00001B330000}"/>
    <cellStyle name="Обычный 9 2 3 3 5" xfId="8129" xr:uid="{00000000-0005-0000-0000-00001C330000}"/>
    <cellStyle name="Обычный 9 2 3 3 6" xfId="9115" xr:uid="{00000000-0005-0000-0000-00001D330000}"/>
    <cellStyle name="Обычный 9 2 3 3 7" xfId="10101" xr:uid="{00000000-0005-0000-0000-00001E330000}"/>
    <cellStyle name="Обычный 9 2 3 3 8" xfId="11087" xr:uid="{00000000-0005-0000-0000-00001F330000}"/>
    <cellStyle name="Обычный 9 2 3 3 9" xfId="12073" xr:uid="{00000000-0005-0000-0000-000020330000}"/>
    <cellStyle name="Обычный 9 2 3 4" xfId="6458" xr:uid="{00000000-0005-0000-0000-000021330000}"/>
    <cellStyle name="Обычный 9 2 3 4 10" xfId="15377" xr:uid="{00000000-0005-0000-0000-000022330000}"/>
    <cellStyle name="Обычный 9 2 3 4 2" xfId="7455" xr:uid="{00000000-0005-0000-0000-000023330000}"/>
    <cellStyle name="Обычный 9 2 3 4 3" xfId="8461" xr:uid="{00000000-0005-0000-0000-000024330000}"/>
    <cellStyle name="Обычный 9 2 3 4 4" xfId="9447" xr:uid="{00000000-0005-0000-0000-000025330000}"/>
    <cellStyle name="Обычный 9 2 3 4 5" xfId="10433" xr:uid="{00000000-0005-0000-0000-000026330000}"/>
    <cellStyle name="Обычный 9 2 3 4 6" xfId="11419" xr:uid="{00000000-0005-0000-0000-000027330000}"/>
    <cellStyle name="Обычный 9 2 3 4 7" xfId="12405" xr:uid="{00000000-0005-0000-0000-000028330000}"/>
    <cellStyle name="Обычный 9 2 3 4 8" xfId="13391" xr:uid="{00000000-0005-0000-0000-000029330000}"/>
    <cellStyle name="Обычный 9 2 3 4 9" xfId="14391" xr:uid="{00000000-0005-0000-0000-00002A330000}"/>
    <cellStyle name="Обычный 9 2 3 5" xfId="6728" xr:uid="{00000000-0005-0000-0000-00002B330000}"/>
    <cellStyle name="Обычный 9 2 3 5 10" xfId="15647" xr:uid="{00000000-0005-0000-0000-00002C330000}"/>
    <cellStyle name="Обычный 9 2 3 5 2" xfId="7725" xr:uid="{00000000-0005-0000-0000-00002D330000}"/>
    <cellStyle name="Обычный 9 2 3 5 3" xfId="8731" xr:uid="{00000000-0005-0000-0000-00002E330000}"/>
    <cellStyle name="Обычный 9 2 3 5 4" xfId="9717" xr:uid="{00000000-0005-0000-0000-00002F330000}"/>
    <cellStyle name="Обычный 9 2 3 5 5" xfId="10703" xr:uid="{00000000-0005-0000-0000-000030330000}"/>
    <cellStyle name="Обычный 9 2 3 5 6" xfId="11689" xr:uid="{00000000-0005-0000-0000-000031330000}"/>
    <cellStyle name="Обычный 9 2 3 5 7" xfId="12675" xr:uid="{00000000-0005-0000-0000-000032330000}"/>
    <cellStyle name="Обычный 9 2 3 5 8" xfId="13661" xr:uid="{00000000-0005-0000-0000-000033330000}"/>
    <cellStyle name="Обычный 9 2 3 5 9" xfId="14661" xr:uid="{00000000-0005-0000-0000-000034330000}"/>
    <cellStyle name="Обычный 9 2 3 6" xfId="7011" xr:uid="{00000000-0005-0000-0000-000035330000}"/>
    <cellStyle name="Обычный 9 2 3 7" xfId="8017" xr:uid="{00000000-0005-0000-0000-000036330000}"/>
    <cellStyle name="Обычный 9 2 3 8" xfId="9003" xr:uid="{00000000-0005-0000-0000-000037330000}"/>
    <cellStyle name="Обычный 9 2 3 9" xfId="9989" xr:uid="{00000000-0005-0000-0000-000038330000}"/>
    <cellStyle name="Обычный 9 2 4" xfId="3403" xr:uid="{00000000-0005-0000-0000-000039330000}"/>
    <cellStyle name="Обычный 9 2 4 10" xfId="10976" xr:uid="{00000000-0005-0000-0000-00003A330000}"/>
    <cellStyle name="Обычный 9 2 4 11" xfId="11962" xr:uid="{00000000-0005-0000-0000-00003B330000}"/>
    <cellStyle name="Обычный 9 2 4 12" xfId="12948" xr:uid="{00000000-0005-0000-0000-00003C330000}"/>
    <cellStyle name="Обычный 9 2 4 13" xfId="13948" xr:uid="{00000000-0005-0000-0000-00003D330000}"/>
    <cellStyle name="Обычный 9 2 4 14" xfId="14934" xr:uid="{00000000-0005-0000-0000-00003E330000}"/>
    <cellStyle name="Обычный 9 2 4 2" xfId="6053" xr:uid="{00000000-0005-0000-0000-00003F330000}"/>
    <cellStyle name="Обычный 9 2 4 2 10" xfId="13007" xr:uid="{00000000-0005-0000-0000-000040330000}"/>
    <cellStyle name="Обычный 9 2 4 2 11" xfId="14007" xr:uid="{00000000-0005-0000-0000-000041330000}"/>
    <cellStyle name="Обычный 9 2 4 2 12" xfId="14993" xr:uid="{00000000-0005-0000-0000-000042330000}"/>
    <cellStyle name="Обычный 9 2 4 2 2" xfId="6518" xr:uid="{00000000-0005-0000-0000-000043330000}"/>
    <cellStyle name="Обычный 9 2 4 2 2 10" xfId="15437" xr:uid="{00000000-0005-0000-0000-000044330000}"/>
    <cellStyle name="Обычный 9 2 4 2 2 2" xfId="7515" xr:uid="{00000000-0005-0000-0000-000045330000}"/>
    <cellStyle name="Обычный 9 2 4 2 2 3" xfId="8521" xr:uid="{00000000-0005-0000-0000-000046330000}"/>
    <cellStyle name="Обычный 9 2 4 2 2 4" xfId="9507" xr:uid="{00000000-0005-0000-0000-000047330000}"/>
    <cellStyle name="Обычный 9 2 4 2 2 5" xfId="10493" xr:uid="{00000000-0005-0000-0000-000048330000}"/>
    <cellStyle name="Обычный 9 2 4 2 2 6" xfId="11479" xr:uid="{00000000-0005-0000-0000-000049330000}"/>
    <cellStyle name="Обычный 9 2 4 2 2 7" xfId="12465" xr:uid="{00000000-0005-0000-0000-00004A330000}"/>
    <cellStyle name="Обычный 9 2 4 2 2 8" xfId="13451" xr:uid="{00000000-0005-0000-0000-00004B330000}"/>
    <cellStyle name="Обычный 9 2 4 2 2 9" xfId="14451" xr:uid="{00000000-0005-0000-0000-00004C330000}"/>
    <cellStyle name="Обычный 9 2 4 2 3" xfId="6788" xr:uid="{00000000-0005-0000-0000-00004D330000}"/>
    <cellStyle name="Обычный 9 2 4 2 3 10" xfId="15707" xr:uid="{00000000-0005-0000-0000-00004E330000}"/>
    <cellStyle name="Обычный 9 2 4 2 3 2" xfId="7785" xr:uid="{00000000-0005-0000-0000-00004F330000}"/>
    <cellStyle name="Обычный 9 2 4 2 3 3" xfId="8791" xr:uid="{00000000-0005-0000-0000-000050330000}"/>
    <cellStyle name="Обычный 9 2 4 2 3 4" xfId="9777" xr:uid="{00000000-0005-0000-0000-000051330000}"/>
    <cellStyle name="Обычный 9 2 4 2 3 5" xfId="10763" xr:uid="{00000000-0005-0000-0000-000052330000}"/>
    <cellStyle name="Обычный 9 2 4 2 3 6" xfId="11749" xr:uid="{00000000-0005-0000-0000-000053330000}"/>
    <cellStyle name="Обычный 9 2 4 2 3 7" xfId="12735" xr:uid="{00000000-0005-0000-0000-000054330000}"/>
    <cellStyle name="Обычный 9 2 4 2 3 8" xfId="13721" xr:uid="{00000000-0005-0000-0000-000055330000}"/>
    <cellStyle name="Обычный 9 2 4 2 3 9" xfId="14721" xr:uid="{00000000-0005-0000-0000-000056330000}"/>
    <cellStyle name="Обычный 9 2 4 2 4" xfId="7071" xr:uid="{00000000-0005-0000-0000-000057330000}"/>
    <cellStyle name="Обычный 9 2 4 2 5" xfId="8077" xr:uid="{00000000-0005-0000-0000-000058330000}"/>
    <cellStyle name="Обычный 9 2 4 2 6" xfId="9063" xr:uid="{00000000-0005-0000-0000-000059330000}"/>
    <cellStyle name="Обычный 9 2 4 2 7" xfId="10049" xr:uid="{00000000-0005-0000-0000-00005A330000}"/>
    <cellStyle name="Обычный 9 2 4 2 8" xfId="11035" xr:uid="{00000000-0005-0000-0000-00005B330000}"/>
    <cellStyle name="Обычный 9 2 4 2 9" xfId="12021" xr:uid="{00000000-0005-0000-0000-00005C330000}"/>
    <cellStyle name="Обычный 9 2 4 3" xfId="6110" xr:uid="{00000000-0005-0000-0000-00005D330000}"/>
    <cellStyle name="Обычный 9 2 4 3 10" xfId="13060" xr:uid="{00000000-0005-0000-0000-00005E330000}"/>
    <cellStyle name="Обычный 9 2 4 3 11" xfId="14060" xr:uid="{00000000-0005-0000-0000-00005F330000}"/>
    <cellStyle name="Обычный 9 2 4 3 12" xfId="15046" xr:uid="{00000000-0005-0000-0000-000060330000}"/>
    <cellStyle name="Обычный 9 2 4 3 2" xfId="6571" xr:uid="{00000000-0005-0000-0000-000061330000}"/>
    <cellStyle name="Обычный 9 2 4 3 2 10" xfId="15490" xr:uid="{00000000-0005-0000-0000-000062330000}"/>
    <cellStyle name="Обычный 9 2 4 3 2 2" xfId="7568" xr:uid="{00000000-0005-0000-0000-000063330000}"/>
    <cellStyle name="Обычный 9 2 4 3 2 3" xfId="8574" xr:uid="{00000000-0005-0000-0000-000064330000}"/>
    <cellStyle name="Обычный 9 2 4 3 2 4" xfId="9560" xr:uid="{00000000-0005-0000-0000-000065330000}"/>
    <cellStyle name="Обычный 9 2 4 3 2 5" xfId="10546" xr:uid="{00000000-0005-0000-0000-000066330000}"/>
    <cellStyle name="Обычный 9 2 4 3 2 6" xfId="11532" xr:uid="{00000000-0005-0000-0000-000067330000}"/>
    <cellStyle name="Обычный 9 2 4 3 2 7" xfId="12518" xr:uid="{00000000-0005-0000-0000-000068330000}"/>
    <cellStyle name="Обычный 9 2 4 3 2 8" xfId="13504" xr:uid="{00000000-0005-0000-0000-000069330000}"/>
    <cellStyle name="Обычный 9 2 4 3 2 9" xfId="14504" xr:uid="{00000000-0005-0000-0000-00006A330000}"/>
    <cellStyle name="Обычный 9 2 4 3 3" xfId="6841" xr:uid="{00000000-0005-0000-0000-00006B330000}"/>
    <cellStyle name="Обычный 9 2 4 3 3 10" xfId="15760" xr:uid="{00000000-0005-0000-0000-00006C330000}"/>
    <cellStyle name="Обычный 9 2 4 3 3 2" xfId="7838" xr:uid="{00000000-0005-0000-0000-00006D330000}"/>
    <cellStyle name="Обычный 9 2 4 3 3 3" xfId="8844" xr:uid="{00000000-0005-0000-0000-00006E330000}"/>
    <cellStyle name="Обычный 9 2 4 3 3 4" xfId="9830" xr:uid="{00000000-0005-0000-0000-00006F330000}"/>
    <cellStyle name="Обычный 9 2 4 3 3 5" xfId="10816" xr:uid="{00000000-0005-0000-0000-000070330000}"/>
    <cellStyle name="Обычный 9 2 4 3 3 6" xfId="11802" xr:uid="{00000000-0005-0000-0000-000071330000}"/>
    <cellStyle name="Обычный 9 2 4 3 3 7" xfId="12788" xr:uid="{00000000-0005-0000-0000-000072330000}"/>
    <cellStyle name="Обычный 9 2 4 3 3 8" xfId="13774" xr:uid="{00000000-0005-0000-0000-000073330000}"/>
    <cellStyle name="Обычный 9 2 4 3 3 9" xfId="14774" xr:uid="{00000000-0005-0000-0000-000074330000}"/>
    <cellStyle name="Обычный 9 2 4 3 4" xfId="7124" xr:uid="{00000000-0005-0000-0000-000075330000}"/>
    <cellStyle name="Обычный 9 2 4 3 5" xfId="8130" xr:uid="{00000000-0005-0000-0000-000076330000}"/>
    <cellStyle name="Обычный 9 2 4 3 6" xfId="9116" xr:uid="{00000000-0005-0000-0000-000077330000}"/>
    <cellStyle name="Обычный 9 2 4 3 7" xfId="10102" xr:uid="{00000000-0005-0000-0000-000078330000}"/>
    <cellStyle name="Обычный 9 2 4 3 8" xfId="11088" xr:uid="{00000000-0005-0000-0000-000079330000}"/>
    <cellStyle name="Обычный 9 2 4 3 9" xfId="12074" xr:uid="{00000000-0005-0000-0000-00007A330000}"/>
    <cellStyle name="Обычный 9 2 4 4" xfId="6459" xr:uid="{00000000-0005-0000-0000-00007B330000}"/>
    <cellStyle name="Обычный 9 2 4 4 10" xfId="15378" xr:uid="{00000000-0005-0000-0000-00007C330000}"/>
    <cellStyle name="Обычный 9 2 4 4 2" xfId="7456" xr:uid="{00000000-0005-0000-0000-00007D330000}"/>
    <cellStyle name="Обычный 9 2 4 4 3" xfId="8462" xr:uid="{00000000-0005-0000-0000-00007E330000}"/>
    <cellStyle name="Обычный 9 2 4 4 4" xfId="9448" xr:uid="{00000000-0005-0000-0000-00007F330000}"/>
    <cellStyle name="Обычный 9 2 4 4 5" xfId="10434" xr:uid="{00000000-0005-0000-0000-000080330000}"/>
    <cellStyle name="Обычный 9 2 4 4 6" xfId="11420" xr:uid="{00000000-0005-0000-0000-000081330000}"/>
    <cellStyle name="Обычный 9 2 4 4 7" xfId="12406" xr:uid="{00000000-0005-0000-0000-000082330000}"/>
    <cellStyle name="Обычный 9 2 4 4 8" xfId="13392" xr:uid="{00000000-0005-0000-0000-000083330000}"/>
    <cellStyle name="Обычный 9 2 4 4 9" xfId="14392" xr:uid="{00000000-0005-0000-0000-000084330000}"/>
    <cellStyle name="Обычный 9 2 4 5" xfId="6729" xr:uid="{00000000-0005-0000-0000-000085330000}"/>
    <cellStyle name="Обычный 9 2 4 5 10" xfId="15648" xr:uid="{00000000-0005-0000-0000-000086330000}"/>
    <cellStyle name="Обычный 9 2 4 5 2" xfId="7726" xr:uid="{00000000-0005-0000-0000-000087330000}"/>
    <cellStyle name="Обычный 9 2 4 5 3" xfId="8732" xr:uid="{00000000-0005-0000-0000-000088330000}"/>
    <cellStyle name="Обычный 9 2 4 5 4" xfId="9718" xr:uid="{00000000-0005-0000-0000-000089330000}"/>
    <cellStyle name="Обычный 9 2 4 5 5" xfId="10704" xr:uid="{00000000-0005-0000-0000-00008A330000}"/>
    <cellStyle name="Обычный 9 2 4 5 6" xfId="11690" xr:uid="{00000000-0005-0000-0000-00008B330000}"/>
    <cellStyle name="Обычный 9 2 4 5 7" xfId="12676" xr:uid="{00000000-0005-0000-0000-00008C330000}"/>
    <cellStyle name="Обычный 9 2 4 5 8" xfId="13662" xr:uid="{00000000-0005-0000-0000-00008D330000}"/>
    <cellStyle name="Обычный 9 2 4 5 9" xfId="14662" xr:uid="{00000000-0005-0000-0000-00008E330000}"/>
    <cellStyle name="Обычный 9 2 4 6" xfId="7012" xr:uid="{00000000-0005-0000-0000-00008F330000}"/>
    <cellStyle name="Обычный 9 2 4 7" xfId="8018" xr:uid="{00000000-0005-0000-0000-000090330000}"/>
    <cellStyle name="Обычный 9 2 4 8" xfId="9004" xr:uid="{00000000-0005-0000-0000-000091330000}"/>
    <cellStyle name="Обычный 9 2 4 9" xfId="9990" xr:uid="{00000000-0005-0000-0000-000092330000}"/>
    <cellStyle name="Обычный 9 2 5" xfId="3404" xr:uid="{00000000-0005-0000-0000-000093330000}"/>
    <cellStyle name="Обычный 9 2 5 10" xfId="10977" xr:uid="{00000000-0005-0000-0000-000094330000}"/>
    <cellStyle name="Обычный 9 2 5 11" xfId="11963" xr:uid="{00000000-0005-0000-0000-000095330000}"/>
    <cellStyle name="Обычный 9 2 5 12" xfId="12949" xr:uid="{00000000-0005-0000-0000-000096330000}"/>
    <cellStyle name="Обычный 9 2 5 13" xfId="13949" xr:uid="{00000000-0005-0000-0000-000097330000}"/>
    <cellStyle name="Обычный 9 2 5 14" xfId="14935" xr:uid="{00000000-0005-0000-0000-000098330000}"/>
    <cellStyle name="Обычный 9 2 5 2" xfId="6054" xr:uid="{00000000-0005-0000-0000-000099330000}"/>
    <cellStyle name="Обычный 9 2 5 2 10" xfId="13008" xr:uid="{00000000-0005-0000-0000-00009A330000}"/>
    <cellStyle name="Обычный 9 2 5 2 11" xfId="14008" xr:uid="{00000000-0005-0000-0000-00009B330000}"/>
    <cellStyle name="Обычный 9 2 5 2 12" xfId="14994" xr:uid="{00000000-0005-0000-0000-00009C330000}"/>
    <cellStyle name="Обычный 9 2 5 2 2" xfId="6519" xr:uid="{00000000-0005-0000-0000-00009D330000}"/>
    <cellStyle name="Обычный 9 2 5 2 2 10" xfId="15438" xr:uid="{00000000-0005-0000-0000-00009E330000}"/>
    <cellStyle name="Обычный 9 2 5 2 2 2" xfId="7516" xr:uid="{00000000-0005-0000-0000-00009F330000}"/>
    <cellStyle name="Обычный 9 2 5 2 2 3" xfId="8522" xr:uid="{00000000-0005-0000-0000-0000A0330000}"/>
    <cellStyle name="Обычный 9 2 5 2 2 4" xfId="9508" xr:uid="{00000000-0005-0000-0000-0000A1330000}"/>
    <cellStyle name="Обычный 9 2 5 2 2 5" xfId="10494" xr:uid="{00000000-0005-0000-0000-0000A2330000}"/>
    <cellStyle name="Обычный 9 2 5 2 2 6" xfId="11480" xr:uid="{00000000-0005-0000-0000-0000A3330000}"/>
    <cellStyle name="Обычный 9 2 5 2 2 7" xfId="12466" xr:uid="{00000000-0005-0000-0000-0000A4330000}"/>
    <cellStyle name="Обычный 9 2 5 2 2 8" xfId="13452" xr:uid="{00000000-0005-0000-0000-0000A5330000}"/>
    <cellStyle name="Обычный 9 2 5 2 2 9" xfId="14452" xr:uid="{00000000-0005-0000-0000-0000A6330000}"/>
    <cellStyle name="Обычный 9 2 5 2 3" xfId="6789" xr:uid="{00000000-0005-0000-0000-0000A7330000}"/>
    <cellStyle name="Обычный 9 2 5 2 3 10" xfId="15708" xr:uid="{00000000-0005-0000-0000-0000A8330000}"/>
    <cellStyle name="Обычный 9 2 5 2 3 2" xfId="7786" xr:uid="{00000000-0005-0000-0000-0000A9330000}"/>
    <cellStyle name="Обычный 9 2 5 2 3 3" xfId="8792" xr:uid="{00000000-0005-0000-0000-0000AA330000}"/>
    <cellStyle name="Обычный 9 2 5 2 3 4" xfId="9778" xr:uid="{00000000-0005-0000-0000-0000AB330000}"/>
    <cellStyle name="Обычный 9 2 5 2 3 5" xfId="10764" xr:uid="{00000000-0005-0000-0000-0000AC330000}"/>
    <cellStyle name="Обычный 9 2 5 2 3 6" xfId="11750" xr:uid="{00000000-0005-0000-0000-0000AD330000}"/>
    <cellStyle name="Обычный 9 2 5 2 3 7" xfId="12736" xr:uid="{00000000-0005-0000-0000-0000AE330000}"/>
    <cellStyle name="Обычный 9 2 5 2 3 8" xfId="13722" xr:uid="{00000000-0005-0000-0000-0000AF330000}"/>
    <cellStyle name="Обычный 9 2 5 2 3 9" xfId="14722" xr:uid="{00000000-0005-0000-0000-0000B0330000}"/>
    <cellStyle name="Обычный 9 2 5 2 4" xfId="7072" xr:uid="{00000000-0005-0000-0000-0000B1330000}"/>
    <cellStyle name="Обычный 9 2 5 2 5" xfId="8078" xr:uid="{00000000-0005-0000-0000-0000B2330000}"/>
    <cellStyle name="Обычный 9 2 5 2 6" xfId="9064" xr:uid="{00000000-0005-0000-0000-0000B3330000}"/>
    <cellStyle name="Обычный 9 2 5 2 7" xfId="10050" xr:uid="{00000000-0005-0000-0000-0000B4330000}"/>
    <cellStyle name="Обычный 9 2 5 2 8" xfId="11036" xr:uid="{00000000-0005-0000-0000-0000B5330000}"/>
    <cellStyle name="Обычный 9 2 5 2 9" xfId="12022" xr:uid="{00000000-0005-0000-0000-0000B6330000}"/>
    <cellStyle name="Обычный 9 2 5 3" xfId="6111" xr:uid="{00000000-0005-0000-0000-0000B7330000}"/>
    <cellStyle name="Обычный 9 2 5 3 10" xfId="13061" xr:uid="{00000000-0005-0000-0000-0000B8330000}"/>
    <cellStyle name="Обычный 9 2 5 3 11" xfId="14061" xr:uid="{00000000-0005-0000-0000-0000B9330000}"/>
    <cellStyle name="Обычный 9 2 5 3 12" xfId="15047" xr:uid="{00000000-0005-0000-0000-0000BA330000}"/>
    <cellStyle name="Обычный 9 2 5 3 2" xfId="6572" xr:uid="{00000000-0005-0000-0000-0000BB330000}"/>
    <cellStyle name="Обычный 9 2 5 3 2 10" xfId="15491" xr:uid="{00000000-0005-0000-0000-0000BC330000}"/>
    <cellStyle name="Обычный 9 2 5 3 2 2" xfId="7569" xr:uid="{00000000-0005-0000-0000-0000BD330000}"/>
    <cellStyle name="Обычный 9 2 5 3 2 3" xfId="8575" xr:uid="{00000000-0005-0000-0000-0000BE330000}"/>
    <cellStyle name="Обычный 9 2 5 3 2 4" xfId="9561" xr:uid="{00000000-0005-0000-0000-0000BF330000}"/>
    <cellStyle name="Обычный 9 2 5 3 2 5" xfId="10547" xr:uid="{00000000-0005-0000-0000-0000C0330000}"/>
    <cellStyle name="Обычный 9 2 5 3 2 6" xfId="11533" xr:uid="{00000000-0005-0000-0000-0000C1330000}"/>
    <cellStyle name="Обычный 9 2 5 3 2 7" xfId="12519" xr:uid="{00000000-0005-0000-0000-0000C2330000}"/>
    <cellStyle name="Обычный 9 2 5 3 2 8" xfId="13505" xr:uid="{00000000-0005-0000-0000-0000C3330000}"/>
    <cellStyle name="Обычный 9 2 5 3 2 9" xfId="14505" xr:uid="{00000000-0005-0000-0000-0000C4330000}"/>
    <cellStyle name="Обычный 9 2 5 3 3" xfId="6842" xr:uid="{00000000-0005-0000-0000-0000C5330000}"/>
    <cellStyle name="Обычный 9 2 5 3 3 10" xfId="15761" xr:uid="{00000000-0005-0000-0000-0000C6330000}"/>
    <cellStyle name="Обычный 9 2 5 3 3 2" xfId="7839" xr:uid="{00000000-0005-0000-0000-0000C7330000}"/>
    <cellStyle name="Обычный 9 2 5 3 3 3" xfId="8845" xr:uid="{00000000-0005-0000-0000-0000C8330000}"/>
    <cellStyle name="Обычный 9 2 5 3 3 4" xfId="9831" xr:uid="{00000000-0005-0000-0000-0000C9330000}"/>
    <cellStyle name="Обычный 9 2 5 3 3 5" xfId="10817" xr:uid="{00000000-0005-0000-0000-0000CA330000}"/>
    <cellStyle name="Обычный 9 2 5 3 3 6" xfId="11803" xr:uid="{00000000-0005-0000-0000-0000CB330000}"/>
    <cellStyle name="Обычный 9 2 5 3 3 7" xfId="12789" xr:uid="{00000000-0005-0000-0000-0000CC330000}"/>
    <cellStyle name="Обычный 9 2 5 3 3 8" xfId="13775" xr:uid="{00000000-0005-0000-0000-0000CD330000}"/>
    <cellStyle name="Обычный 9 2 5 3 3 9" xfId="14775" xr:uid="{00000000-0005-0000-0000-0000CE330000}"/>
    <cellStyle name="Обычный 9 2 5 3 4" xfId="7125" xr:uid="{00000000-0005-0000-0000-0000CF330000}"/>
    <cellStyle name="Обычный 9 2 5 3 5" xfId="8131" xr:uid="{00000000-0005-0000-0000-0000D0330000}"/>
    <cellStyle name="Обычный 9 2 5 3 6" xfId="9117" xr:uid="{00000000-0005-0000-0000-0000D1330000}"/>
    <cellStyle name="Обычный 9 2 5 3 7" xfId="10103" xr:uid="{00000000-0005-0000-0000-0000D2330000}"/>
    <cellStyle name="Обычный 9 2 5 3 8" xfId="11089" xr:uid="{00000000-0005-0000-0000-0000D3330000}"/>
    <cellStyle name="Обычный 9 2 5 3 9" xfId="12075" xr:uid="{00000000-0005-0000-0000-0000D4330000}"/>
    <cellStyle name="Обычный 9 2 5 4" xfId="6460" xr:uid="{00000000-0005-0000-0000-0000D5330000}"/>
    <cellStyle name="Обычный 9 2 5 4 10" xfId="15379" xr:uid="{00000000-0005-0000-0000-0000D6330000}"/>
    <cellStyle name="Обычный 9 2 5 4 2" xfId="7457" xr:uid="{00000000-0005-0000-0000-0000D7330000}"/>
    <cellStyle name="Обычный 9 2 5 4 3" xfId="8463" xr:uid="{00000000-0005-0000-0000-0000D8330000}"/>
    <cellStyle name="Обычный 9 2 5 4 4" xfId="9449" xr:uid="{00000000-0005-0000-0000-0000D9330000}"/>
    <cellStyle name="Обычный 9 2 5 4 5" xfId="10435" xr:uid="{00000000-0005-0000-0000-0000DA330000}"/>
    <cellStyle name="Обычный 9 2 5 4 6" xfId="11421" xr:uid="{00000000-0005-0000-0000-0000DB330000}"/>
    <cellStyle name="Обычный 9 2 5 4 7" xfId="12407" xr:uid="{00000000-0005-0000-0000-0000DC330000}"/>
    <cellStyle name="Обычный 9 2 5 4 8" xfId="13393" xr:uid="{00000000-0005-0000-0000-0000DD330000}"/>
    <cellStyle name="Обычный 9 2 5 4 9" xfId="14393" xr:uid="{00000000-0005-0000-0000-0000DE330000}"/>
    <cellStyle name="Обычный 9 2 5 5" xfId="6730" xr:uid="{00000000-0005-0000-0000-0000DF330000}"/>
    <cellStyle name="Обычный 9 2 5 5 10" xfId="15649" xr:uid="{00000000-0005-0000-0000-0000E0330000}"/>
    <cellStyle name="Обычный 9 2 5 5 2" xfId="7727" xr:uid="{00000000-0005-0000-0000-0000E1330000}"/>
    <cellStyle name="Обычный 9 2 5 5 3" xfId="8733" xr:uid="{00000000-0005-0000-0000-0000E2330000}"/>
    <cellStyle name="Обычный 9 2 5 5 4" xfId="9719" xr:uid="{00000000-0005-0000-0000-0000E3330000}"/>
    <cellStyle name="Обычный 9 2 5 5 5" xfId="10705" xr:uid="{00000000-0005-0000-0000-0000E4330000}"/>
    <cellStyle name="Обычный 9 2 5 5 6" xfId="11691" xr:uid="{00000000-0005-0000-0000-0000E5330000}"/>
    <cellStyle name="Обычный 9 2 5 5 7" xfId="12677" xr:uid="{00000000-0005-0000-0000-0000E6330000}"/>
    <cellStyle name="Обычный 9 2 5 5 8" xfId="13663" xr:uid="{00000000-0005-0000-0000-0000E7330000}"/>
    <cellStyle name="Обычный 9 2 5 5 9" xfId="14663" xr:uid="{00000000-0005-0000-0000-0000E8330000}"/>
    <cellStyle name="Обычный 9 2 5 6" xfId="7013" xr:uid="{00000000-0005-0000-0000-0000E9330000}"/>
    <cellStyle name="Обычный 9 2 5 7" xfId="8019" xr:uid="{00000000-0005-0000-0000-0000EA330000}"/>
    <cellStyle name="Обычный 9 2 5 8" xfId="9005" xr:uid="{00000000-0005-0000-0000-0000EB330000}"/>
    <cellStyle name="Обычный 9 2 5 9" xfId="9991" xr:uid="{00000000-0005-0000-0000-0000EC330000}"/>
    <cellStyle name="Обычный 9 2 6" xfId="3405" xr:uid="{00000000-0005-0000-0000-0000ED330000}"/>
    <cellStyle name="Обычный 9 2 6 10" xfId="10978" xr:uid="{00000000-0005-0000-0000-0000EE330000}"/>
    <cellStyle name="Обычный 9 2 6 11" xfId="11964" xr:uid="{00000000-0005-0000-0000-0000EF330000}"/>
    <cellStyle name="Обычный 9 2 6 12" xfId="12950" xr:uid="{00000000-0005-0000-0000-0000F0330000}"/>
    <cellStyle name="Обычный 9 2 6 13" xfId="13950" xr:uid="{00000000-0005-0000-0000-0000F1330000}"/>
    <cellStyle name="Обычный 9 2 6 14" xfId="14936" xr:uid="{00000000-0005-0000-0000-0000F2330000}"/>
    <cellStyle name="Обычный 9 2 6 2" xfId="6055" xr:uid="{00000000-0005-0000-0000-0000F3330000}"/>
    <cellStyle name="Обычный 9 2 6 2 10" xfId="13009" xr:uid="{00000000-0005-0000-0000-0000F4330000}"/>
    <cellStyle name="Обычный 9 2 6 2 11" xfId="14009" xr:uid="{00000000-0005-0000-0000-0000F5330000}"/>
    <cellStyle name="Обычный 9 2 6 2 12" xfId="14995" xr:uid="{00000000-0005-0000-0000-0000F6330000}"/>
    <cellStyle name="Обычный 9 2 6 2 2" xfId="6520" xr:uid="{00000000-0005-0000-0000-0000F7330000}"/>
    <cellStyle name="Обычный 9 2 6 2 2 10" xfId="15439" xr:uid="{00000000-0005-0000-0000-0000F8330000}"/>
    <cellStyle name="Обычный 9 2 6 2 2 2" xfId="7517" xr:uid="{00000000-0005-0000-0000-0000F9330000}"/>
    <cellStyle name="Обычный 9 2 6 2 2 3" xfId="8523" xr:uid="{00000000-0005-0000-0000-0000FA330000}"/>
    <cellStyle name="Обычный 9 2 6 2 2 4" xfId="9509" xr:uid="{00000000-0005-0000-0000-0000FB330000}"/>
    <cellStyle name="Обычный 9 2 6 2 2 5" xfId="10495" xr:uid="{00000000-0005-0000-0000-0000FC330000}"/>
    <cellStyle name="Обычный 9 2 6 2 2 6" xfId="11481" xr:uid="{00000000-0005-0000-0000-0000FD330000}"/>
    <cellStyle name="Обычный 9 2 6 2 2 7" xfId="12467" xr:uid="{00000000-0005-0000-0000-0000FE330000}"/>
    <cellStyle name="Обычный 9 2 6 2 2 8" xfId="13453" xr:uid="{00000000-0005-0000-0000-0000FF330000}"/>
    <cellStyle name="Обычный 9 2 6 2 2 9" xfId="14453" xr:uid="{00000000-0005-0000-0000-000000340000}"/>
    <cellStyle name="Обычный 9 2 6 2 3" xfId="6790" xr:uid="{00000000-0005-0000-0000-000001340000}"/>
    <cellStyle name="Обычный 9 2 6 2 3 10" xfId="15709" xr:uid="{00000000-0005-0000-0000-000002340000}"/>
    <cellStyle name="Обычный 9 2 6 2 3 2" xfId="7787" xr:uid="{00000000-0005-0000-0000-000003340000}"/>
    <cellStyle name="Обычный 9 2 6 2 3 3" xfId="8793" xr:uid="{00000000-0005-0000-0000-000004340000}"/>
    <cellStyle name="Обычный 9 2 6 2 3 4" xfId="9779" xr:uid="{00000000-0005-0000-0000-000005340000}"/>
    <cellStyle name="Обычный 9 2 6 2 3 5" xfId="10765" xr:uid="{00000000-0005-0000-0000-000006340000}"/>
    <cellStyle name="Обычный 9 2 6 2 3 6" xfId="11751" xr:uid="{00000000-0005-0000-0000-000007340000}"/>
    <cellStyle name="Обычный 9 2 6 2 3 7" xfId="12737" xr:uid="{00000000-0005-0000-0000-000008340000}"/>
    <cellStyle name="Обычный 9 2 6 2 3 8" xfId="13723" xr:uid="{00000000-0005-0000-0000-000009340000}"/>
    <cellStyle name="Обычный 9 2 6 2 3 9" xfId="14723" xr:uid="{00000000-0005-0000-0000-00000A340000}"/>
    <cellStyle name="Обычный 9 2 6 2 4" xfId="7073" xr:uid="{00000000-0005-0000-0000-00000B340000}"/>
    <cellStyle name="Обычный 9 2 6 2 5" xfId="8079" xr:uid="{00000000-0005-0000-0000-00000C340000}"/>
    <cellStyle name="Обычный 9 2 6 2 6" xfId="9065" xr:uid="{00000000-0005-0000-0000-00000D340000}"/>
    <cellStyle name="Обычный 9 2 6 2 7" xfId="10051" xr:uid="{00000000-0005-0000-0000-00000E340000}"/>
    <cellStyle name="Обычный 9 2 6 2 8" xfId="11037" xr:uid="{00000000-0005-0000-0000-00000F340000}"/>
    <cellStyle name="Обычный 9 2 6 2 9" xfId="12023" xr:uid="{00000000-0005-0000-0000-000010340000}"/>
    <cellStyle name="Обычный 9 2 6 3" xfId="6112" xr:uid="{00000000-0005-0000-0000-000011340000}"/>
    <cellStyle name="Обычный 9 2 6 3 10" xfId="13062" xr:uid="{00000000-0005-0000-0000-000012340000}"/>
    <cellStyle name="Обычный 9 2 6 3 11" xfId="14062" xr:uid="{00000000-0005-0000-0000-000013340000}"/>
    <cellStyle name="Обычный 9 2 6 3 12" xfId="15048" xr:uid="{00000000-0005-0000-0000-000014340000}"/>
    <cellStyle name="Обычный 9 2 6 3 2" xfId="6573" xr:uid="{00000000-0005-0000-0000-000015340000}"/>
    <cellStyle name="Обычный 9 2 6 3 2 10" xfId="15492" xr:uid="{00000000-0005-0000-0000-000016340000}"/>
    <cellStyle name="Обычный 9 2 6 3 2 2" xfId="7570" xr:uid="{00000000-0005-0000-0000-000017340000}"/>
    <cellStyle name="Обычный 9 2 6 3 2 3" xfId="8576" xr:uid="{00000000-0005-0000-0000-000018340000}"/>
    <cellStyle name="Обычный 9 2 6 3 2 4" xfId="9562" xr:uid="{00000000-0005-0000-0000-000019340000}"/>
    <cellStyle name="Обычный 9 2 6 3 2 5" xfId="10548" xr:uid="{00000000-0005-0000-0000-00001A340000}"/>
    <cellStyle name="Обычный 9 2 6 3 2 6" xfId="11534" xr:uid="{00000000-0005-0000-0000-00001B340000}"/>
    <cellStyle name="Обычный 9 2 6 3 2 7" xfId="12520" xr:uid="{00000000-0005-0000-0000-00001C340000}"/>
    <cellStyle name="Обычный 9 2 6 3 2 8" xfId="13506" xr:uid="{00000000-0005-0000-0000-00001D340000}"/>
    <cellStyle name="Обычный 9 2 6 3 2 9" xfId="14506" xr:uid="{00000000-0005-0000-0000-00001E340000}"/>
    <cellStyle name="Обычный 9 2 6 3 3" xfId="6843" xr:uid="{00000000-0005-0000-0000-00001F340000}"/>
    <cellStyle name="Обычный 9 2 6 3 3 10" xfId="15762" xr:uid="{00000000-0005-0000-0000-000020340000}"/>
    <cellStyle name="Обычный 9 2 6 3 3 2" xfId="7840" xr:uid="{00000000-0005-0000-0000-000021340000}"/>
    <cellStyle name="Обычный 9 2 6 3 3 3" xfId="8846" xr:uid="{00000000-0005-0000-0000-000022340000}"/>
    <cellStyle name="Обычный 9 2 6 3 3 4" xfId="9832" xr:uid="{00000000-0005-0000-0000-000023340000}"/>
    <cellStyle name="Обычный 9 2 6 3 3 5" xfId="10818" xr:uid="{00000000-0005-0000-0000-000024340000}"/>
    <cellStyle name="Обычный 9 2 6 3 3 6" xfId="11804" xr:uid="{00000000-0005-0000-0000-000025340000}"/>
    <cellStyle name="Обычный 9 2 6 3 3 7" xfId="12790" xr:uid="{00000000-0005-0000-0000-000026340000}"/>
    <cellStyle name="Обычный 9 2 6 3 3 8" xfId="13776" xr:uid="{00000000-0005-0000-0000-000027340000}"/>
    <cellStyle name="Обычный 9 2 6 3 3 9" xfId="14776" xr:uid="{00000000-0005-0000-0000-000028340000}"/>
    <cellStyle name="Обычный 9 2 6 3 4" xfId="7126" xr:uid="{00000000-0005-0000-0000-000029340000}"/>
    <cellStyle name="Обычный 9 2 6 3 5" xfId="8132" xr:uid="{00000000-0005-0000-0000-00002A340000}"/>
    <cellStyle name="Обычный 9 2 6 3 6" xfId="9118" xr:uid="{00000000-0005-0000-0000-00002B340000}"/>
    <cellStyle name="Обычный 9 2 6 3 7" xfId="10104" xr:uid="{00000000-0005-0000-0000-00002C340000}"/>
    <cellStyle name="Обычный 9 2 6 3 8" xfId="11090" xr:uid="{00000000-0005-0000-0000-00002D340000}"/>
    <cellStyle name="Обычный 9 2 6 3 9" xfId="12076" xr:uid="{00000000-0005-0000-0000-00002E340000}"/>
    <cellStyle name="Обычный 9 2 6 4" xfId="6461" xr:uid="{00000000-0005-0000-0000-00002F340000}"/>
    <cellStyle name="Обычный 9 2 6 4 10" xfId="15380" xr:uid="{00000000-0005-0000-0000-000030340000}"/>
    <cellStyle name="Обычный 9 2 6 4 2" xfId="7458" xr:uid="{00000000-0005-0000-0000-000031340000}"/>
    <cellStyle name="Обычный 9 2 6 4 3" xfId="8464" xr:uid="{00000000-0005-0000-0000-000032340000}"/>
    <cellStyle name="Обычный 9 2 6 4 4" xfId="9450" xr:uid="{00000000-0005-0000-0000-000033340000}"/>
    <cellStyle name="Обычный 9 2 6 4 5" xfId="10436" xr:uid="{00000000-0005-0000-0000-000034340000}"/>
    <cellStyle name="Обычный 9 2 6 4 6" xfId="11422" xr:uid="{00000000-0005-0000-0000-000035340000}"/>
    <cellStyle name="Обычный 9 2 6 4 7" xfId="12408" xr:uid="{00000000-0005-0000-0000-000036340000}"/>
    <cellStyle name="Обычный 9 2 6 4 8" xfId="13394" xr:uid="{00000000-0005-0000-0000-000037340000}"/>
    <cellStyle name="Обычный 9 2 6 4 9" xfId="14394" xr:uid="{00000000-0005-0000-0000-000038340000}"/>
    <cellStyle name="Обычный 9 2 6 5" xfId="6731" xr:uid="{00000000-0005-0000-0000-000039340000}"/>
    <cellStyle name="Обычный 9 2 6 5 10" xfId="15650" xr:uid="{00000000-0005-0000-0000-00003A340000}"/>
    <cellStyle name="Обычный 9 2 6 5 2" xfId="7728" xr:uid="{00000000-0005-0000-0000-00003B340000}"/>
    <cellStyle name="Обычный 9 2 6 5 3" xfId="8734" xr:uid="{00000000-0005-0000-0000-00003C340000}"/>
    <cellStyle name="Обычный 9 2 6 5 4" xfId="9720" xr:uid="{00000000-0005-0000-0000-00003D340000}"/>
    <cellStyle name="Обычный 9 2 6 5 5" xfId="10706" xr:uid="{00000000-0005-0000-0000-00003E340000}"/>
    <cellStyle name="Обычный 9 2 6 5 6" xfId="11692" xr:uid="{00000000-0005-0000-0000-00003F340000}"/>
    <cellStyle name="Обычный 9 2 6 5 7" xfId="12678" xr:uid="{00000000-0005-0000-0000-000040340000}"/>
    <cellStyle name="Обычный 9 2 6 5 8" xfId="13664" xr:uid="{00000000-0005-0000-0000-000041340000}"/>
    <cellStyle name="Обычный 9 2 6 5 9" xfId="14664" xr:uid="{00000000-0005-0000-0000-000042340000}"/>
    <cellStyle name="Обычный 9 2 6 6" xfId="7014" xr:uid="{00000000-0005-0000-0000-000043340000}"/>
    <cellStyle name="Обычный 9 2 6 7" xfId="8020" xr:uid="{00000000-0005-0000-0000-000044340000}"/>
    <cellStyle name="Обычный 9 2 6 8" xfId="9006" xr:uid="{00000000-0005-0000-0000-000045340000}"/>
    <cellStyle name="Обычный 9 2 6 9" xfId="9992" xr:uid="{00000000-0005-0000-0000-000046340000}"/>
    <cellStyle name="Обычный 9 2 7" xfId="3406" xr:uid="{00000000-0005-0000-0000-000047340000}"/>
    <cellStyle name="Обычный 9 2 7 10" xfId="10979" xr:uid="{00000000-0005-0000-0000-000048340000}"/>
    <cellStyle name="Обычный 9 2 7 11" xfId="11965" xr:uid="{00000000-0005-0000-0000-000049340000}"/>
    <cellStyle name="Обычный 9 2 7 12" xfId="12951" xr:uid="{00000000-0005-0000-0000-00004A340000}"/>
    <cellStyle name="Обычный 9 2 7 13" xfId="13951" xr:uid="{00000000-0005-0000-0000-00004B340000}"/>
    <cellStyle name="Обычный 9 2 7 14" xfId="14937" xr:uid="{00000000-0005-0000-0000-00004C340000}"/>
    <cellStyle name="Обычный 9 2 7 2" xfId="6056" xr:uid="{00000000-0005-0000-0000-00004D340000}"/>
    <cellStyle name="Обычный 9 2 7 2 10" xfId="13010" xr:uid="{00000000-0005-0000-0000-00004E340000}"/>
    <cellStyle name="Обычный 9 2 7 2 11" xfId="14010" xr:uid="{00000000-0005-0000-0000-00004F340000}"/>
    <cellStyle name="Обычный 9 2 7 2 12" xfId="14996" xr:uid="{00000000-0005-0000-0000-000050340000}"/>
    <cellStyle name="Обычный 9 2 7 2 2" xfId="6521" xr:uid="{00000000-0005-0000-0000-000051340000}"/>
    <cellStyle name="Обычный 9 2 7 2 2 10" xfId="15440" xr:uid="{00000000-0005-0000-0000-000052340000}"/>
    <cellStyle name="Обычный 9 2 7 2 2 2" xfId="7518" xr:uid="{00000000-0005-0000-0000-000053340000}"/>
    <cellStyle name="Обычный 9 2 7 2 2 3" xfId="8524" xr:uid="{00000000-0005-0000-0000-000054340000}"/>
    <cellStyle name="Обычный 9 2 7 2 2 4" xfId="9510" xr:uid="{00000000-0005-0000-0000-000055340000}"/>
    <cellStyle name="Обычный 9 2 7 2 2 5" xfId="10496" xr:uid="{00000000-0005-0000-0000-000056340000}"/>
    <cellStyle name="Обычный 9 2 7 2 2 6" xfId="11482" xr:uid="{00000000-0005-0000-0000-000057340000}"/>
    <cellStyle name="Обычный 9 2 7 2 2 7" xfId="12468" xr:uid="{00000000-0005-0000-0000-000058340000}"/>
    <cellStyle name="Обычный 9 2 7 2 2 8" xfId="13454" xr:uid="{00000000-0005-0000-0000-000059340000}"/>
    <cellStyle name="Обычный 9 2 7 2 2 9" xfId="14454" xr:uid="{00000000-0005-0000-0000-00005A340000}"/>
    <cellStyle name="Обычный 9 2 7 2 3" xfId="6791" xr:uid="{00000000-0005-0000-0000-00005B340000}"/>
    <cellStyle name="Обычный 9 2 7 2 3 10" xfId="15710" xr:uid="{00000000-0005-0000-0000-00005C340000}"/>
    <cellStyle name="Обычный 9 2 7 2 3 2" xfId="7788" xr:uid="{00000000-0005-0000-0000-00005D340000}"/>
    <cellStyle name="Обычный 9 2 7 2 3 3" xfId="8794" xr:uid="{00000000-0005-0000-0000-00005E340000}"/>
    <cellStyle name="Обычный 9 2 7 2 3 4" xfId="9780" xr:uid="{00000000-0005-0000-0000-00005F340000}"/>
    <cellStyle name="Обычный 9 2 7 2 3 5" xfId="10766" xr:uid="{00000000-0005-0000-0000-000060340000}"/>
    <cellStyle name="Обычный 9 2 7 2 3 6" xfId="11752" xr:uid="{00000000-0005-0000-0000-000061340000}"/>
    <cellStyle name="Обычный 9 2 7 2 3 7" xfId="12738" xr:uid="{00000000-0005-0000-0000-000062340000}"/>
    <cellStyle name="Обычный 9 2 7 2 3 8" xfId="13724" xr:uid="{00000000-0005-0000-0000-000063340000}"/>
    <cellStyle name="Обычный 9 2 7 2 3 9" xfId="14724" xr:uid="{00000000-0005-0000-0000-000064340000}"/>
    <cellStyle name="Обычный 9 2 7 2 4" xfId="7074" xr:uid="{00000000-0005-0000-0000-000065340000}"/>
    <cellStyle name="Обычный 9 2 7 2 5" xfId="8080" xr:uid="{00000000-0005-0000-0000-000066340000}"/>
    <cellStyle name="Обычный 9 2 7 2 6" xfId="9066" xr:uid="{00000000-0005-0000-0000-000067340000}"/>
    <cellStyle name="Обычный 9 2 7 2 7" xfId="10052" xr:uid="{00000000-0005-0000-0000-000068340000}"/>
    <cellStyle name="Обычный 9 2 7 2 8" xfId="11038" xr:uid="{00000000-0005-0000-0000-000069340000}"/>
    <cellStyle name="Обычный 9 2 7 2 9" xfId="12024" xr:uid="{00000000-0005-0000-0000-00006A340000}"/>
    <cellStyle name="Обычный 9 2 7 3" xfId="6113" xr:uid="{00000000-0005-0000-0000-00006B340000}"/>
    <cellStyle name="Обычный 9 2 7 3 10" xfId="13063" xr:uid="{00000000-0005-0000-0000-00006C340000}"/>
    <cellStyle name="Обычный 9 2 7 3 11" xfId="14063" xr:uid="{00000000-0005-0000-0000-00006D340000}"/>
    <cellStyle name="Обычный 9 2 7 3 12" xfId="15049" xr:uid="{00000000-0005-0000-0000-00006E340000}"/>
    <cellStyle name="Обычный 9 2 7 3 2" xfId="6574" xr:uid="{00000000-0005-0000-0000-00006F340000}"/>
    <cellStyle name="Обычный 9 2 7 3 2 10" xfId="15493" xr:uid="{00000000-0005-0000-0000-000070340000}"/>
    <cellStyle name="Обычный 9 2 7 3 2 2" xfId="7571" xr:uid="{00000000-0005-0000-0000-000071340000}"/>
    <cellStyle name="Обычный 9 2 7 3 2 3" xfId="8577" xr:uid="{00000000-0005-0000-0000-000072340000}"/>
    <cellStyle name="Обычный 9 2 7 3 2 4" xfId="9563" xr:uid="{00000000-0005-0000-0000-000073340000}"/>
    <cellStyle name="Обычный 9 2 7 3 2 5" xfId="10549" xr:uid="{00000000-0005-0000-0000-000074340000}"/>
    <cellStyle name="Обычный 9 2 7 3 2 6" xfId="11535" xr:uid="{00000000-0005-0000-0000-000075340000}"/>
    <cellStyle name="Обычный 9 2 7 3 2 7" xfId="12521" xr:uid="{00000000-0005-0000-0000-000076340000}"/>
    <cellStyle name="Обычный 9 2 7 3 2 8" xfId="13507" xr:uid="{00000000-0005-0000-0000-000077340000}"/>
    <cellStyle name="Обычный 9 2 7 3 2 9" xfId="14507" xr:uid="{00000000-0005-0000-0000-000078340000}"/>
    <cellStyle name="Обычный 9 2 7 3 3" xfId="6844" xr:uid="{00000000-0005-0000-0000-000079340000}"/>
    <cellStyle name="Обычный 9 2 7 3 3 10" xfId="15763" xr:uid="{00000000-0005-0000-0000-00007A340000}"/>
    <cellStyle name="Обычный 9 2 7 3 3 2" xfId="7841" xr:uid="{00000000-0005-0000-0000-00007B340000}"/>
    <cellStyle name="Обычный 9 2 7 3 3 3" xfId="8847" xr:uid="{00000000-0005-0000-0000-00007C340000}"/>
    <cellStyle name="Обычный 9 2 7 3 3 4" xfId="9833" xr:uid="{00000000-0005-0000-0000-00007D340000}"/>
    <cellStyle name="Обычный 9 2 7 3 3 5" xfId="10819" xr:uid="{00000000-0005-0000-0000-00007E340000}"/>
    <cellStyle name="Обычный 9 2 7 3 3 6" xfId="11805" xr:uid="{00000000-0005-0000-0000-00007F340000}"/>
    <cellStyle name="Обычный 9 2 7 3 3 7" xfId="12791" xr:uid="{00000000-0005-0000-0000-000080340000}"/>
    <cellStyle name="Обычный 9 2 7 3 3 8" xfId="13777" xr:uid="{00000000-0005-0000-0000-000081340000}"/>
    <cellStyle name="Обычный 9 2 7 3 3 9" xfId="14777" xr:uid="{00000000-0005-0000-0000-000082340000}"/>
    <cellStyle name="Обычный 9 2 7 3 4" xfId="7127" xr:uid="{00000000-0005-0000-0000-000083340000}"/>
    <cellStyle name="Обычный 9 2 7 3 5" xfId="8133" xr:uid="{00000000-0005-0000-0000-000084340000}"/>
    <cellStyle name="Обычный 9 2 7 3 6" xfId="9119" xr:uid="{00000000-0005-0000-0000-000085340000}"/>
    <cellStyle name="Обычный 9 2 7 3 7" xfId="10105" xr:uid="{00000000-0005-0000-0000-000086340000}"/>
    <cellStyle name="Обычный 9 2 7 3 8" xfId="11091" xr:uid="{00000000-0005-0000-0000-000087340000}"/>
    <cellStyle name="Обычный 9 2 7 3 9" xfId="12077" xr:uid="{00000000-0005-0000-0000-000088340000}"/>
    <cellStyle name="Обычный 9 2 7 4" xfId="6462" xr:uid="{00000000-0005-0000-0000-000089340000}"/>
    <cellStyle name="Обычный 9 2 7 4 10" xfId="15381" xr:uid="{00000000-0005-0000-0000-00008A340000}"/>
    <cellStyle name="Обычный 9 2 7 4 2" xfId="7459" xr:uid="{00000000-0005-0000-0000-00008B340000}"/>
    <cellStyle name="Обычный 9 2 7 4 3" xfId="8465" xr:uid="{00000000-0005-0000-0000-00008C340000}"/>
    <cellStyle name="Обычный 9 2 7 4 4" xfId="9451" xr:uid="{00000000-0005-0000-0000-00008D340000}"/>
    <cellStyle name="Обычный 9 2 7 4 5" xfId="10437" xr:uid="{00000000-0005-0000-0000-00008E340000}"/>
    <cellStyle name="Обычный 9 2 7 4 6" xfId="11423" xr:uid="{00000000-0005-0000-0000-00008F340000}"/>
    <cellStyle name="Обычный 9 2 7 4 7" xfId="12409" xr:uid="{00000000-0005-0000-0000-000090340000}"/>
    <cellStyle name="Обычный 9 2 7 4 8" xfId="13395" xr:uid="{00000000-0005-0000-0000-000091340000}"/>
    <cellStyle name="Обычный 9 2 7 4 9" xfId="14395" xr:uid="{00000000-0005-0000-0000-000092340000}"/>
    <cellStyle name="Обычный 9 2 7 5" xfId="6732" xr:uid="{00000000-0005-0000-0000-000093340000}"/>
    <cellStyle name="Обычный 9 2 7 5 10" xfId="15651" xr:uid="{00000000-0005-0000-0000-000094340000}"/>
    <cellStyle name="Обычный 9 2 7 5 2" xfId="7729" xr:uid="{00000000-0005-0000-0000-000095340000}"/>
    <cellStyle name="Обычный 9 2 7 5 3" xfId="8735" xr:uid="{00000000-0005-0000-0000-000096340000}"/>
    <cellStyle name="Обычный 9 2 7 5 4" xfId="9721" xr:uid="{00000000-0005-0000-0000-000097340000}"/>
    <cellStyle name="Обычный 9 2 7 5 5" xfId="10707" xr:uid="{00000000-0005-0000-0000-000098340000}"/>
    <cellStyle name="Обычный 9 2 7 5 6" xfId="11693" xr:uid="{00000000-0005-0000-0000-000099340000}"/>
    <cellStyle name="Обычный 9 2 7 5 7" xfId="12679" xr:uid="{00000000-0005-0000-0000-00009A340000}"/>
    <cellStyle name="Обычный 9 2 7 5 8" xfId="13665" xr:uid="{00000000-0005-0000-0000-00009B340000}"/>
    <cellStyle name="Обычный 9 2 7 5 9" xfId="14665" xr:uid="{00000000-0005-0000-0000-00009C340000}"/>
    <cellStyle name="Обычный 9 2 7 6" xfId="7015" xr:uid="{00000000-0005-0000-0000-00009D340000}"/>
    <cellStyle name="Обычный 9 2 7 7" xfId="8021" xr:uid="{00000000-0005-0000-0000-00009E340000}"/>
    <cellStyle name="Обычный 9 2 7 8" xfId="9007" xr:uid="{00000000-0005-0000-0000-00009F340000}"/>
    <cellStyle name="Обычный 9 2 7 9" xfId="9993" xr:uid="{00000000-0005-0000-0000-0000A0340000}"/>
    <cellStyle name="Обычный 9 2 8" xfId="3407" xr:uid="{00000000-0005-0000-0000-0000A1340000}"/>
    <cellStyle name="Обычный 9 2 8 10" xfId="10980" xr:uid="{00000000-0005-0000-0000-0000A2340000}"/>
    <cellStyle name="Обычный 9 2 8 11" xfId="11966" xr:uid="{00000000-0005-0000-0000-0000A3340000}"/>
    <cellStyle name="Обычный 9 2 8 12" xfId="12952" xr:uid="{00000000-0005-0000-0000-0000A4340000}"/>
    <cellStyle name="Обычный 9 2 8 13" xfId="13952" xr:uid="{00000000-0005-0000-0000-0000A5340000}"/>
    <cellStyle name="Обычный 9 2 8 14" xfId="14938" xr:uid="{00000000-0005-0000-0000-0000A6340000}"/>
    <cellStyle name="Обычный 9 2 8 2" xfId="6057" xr:uid="{00000000-0005-0000-0000-0000A7340000}"/>
    <cellStyle name="Обычный 9 2 8 2 10" xfId="13011" xr:uid="{00000000-0005-0000-0000-0000A8340000}"/>
    <cellStyle name="Обычный 9 2 8 2 11" xfId="14011" xr:uid="{00000000-0005-0000-0000-0000A9340000}"/>
    <cellStyle name="Обычный 9 2 8 2 12" xfId="14997" xr:uid="{00000000-0005-0000-0000-0000AA340000}"/>
    <cellStyle name="Обычный 9 2 8 2 2" xfId="6522" xr:uid="{00000000-0005-0000-0000-0000AB340000}"/>
    <cellStyle name="Обычный 9 2 8 2 2 10" xfId="15441" xr:uid="{00000000-0005-0000-0000-0000AC340000}"/>
    <cellStyle name="Обычный 9 2 8 2 2 2" xfId="7519" xr:uid="{00000000-0005-0000-0000-0000AD340000}"/>
    <cellStyle name="Обычный 9 2 8 2 2 3" xfId="8525" xr:uid="{00000000-0005-0000-0000-0000AE340000}"/>
    <cellStyle name="Обычный 9 2 8 2 2 4" xfId="9511" xr:uid="{00000000-0005-0000-0000-0000AF340000}"/>
    <cellStyle name="Обычный 9 2 8 2 2 5" xfId="10497" xr:uid="{00000000-0005-0000-0000-0000B0340000}"/>
    <cellStyle name="Обычный 9 2 8 2 2 6" xfId="11483" xr:uid="{00000000-0005-0000-0000-0000B1340000}"/>
    <cellStyle name="Обычный 9 2 8 2 2 7" xfId="12469" xr:uid="{00000000-0005-0000-0000-0000B2340000}"/>
    <cellStyle name="Обычный 9 2 8 2 2 8" xfId="13455" xr:uid="{00000000-0005-0000-0000-0000B3340000}"/>
    <cellStyle name="Обычный 9 2 8 2 2 9" xfId="14455" xr:uid="{00000000-0005-0000-0000-0000B4340000}"/>
    <cellStyle name="Обычный 9 2 8 2 3" xfId="6792" xr:uid="{00000000-0005-0000-0000-0000B5340000}"/>
    <cellStyle name="Обычный 9 2 8 2 3 10" xfId="15711" xr:uid="{00000000-0005-0000-0000-0000B6340000}"/>
    <cellStyle name="Обычный 9 2 8 2 3 2" xfId="7789" xr:uid="{00000000-0005-0000-0000-0000B7340000}"/>
    <cellStyle name="Обычный 9 2 8 2 3 3" xfId="8795" xr:uid="{00000000-0005-0000-0000-0000B8340000}"/>
    <cellStyle name="Обычный 9 2 8 2 3 4" xfId="9781" xr:uid="{00000000-0005-0000-0000-0000B9340000}"/>
    <cellStyle name="Обычный 9 2 8 2 3 5" xfId="10767" xr:uid="{00000000-0005-0000-0000-0000BA340000}"/>
    <cellStyle name="Обычный 9 2 8 2 3 6" xfId="11753" xr:uid="{00000000-0005-0000-0000-0000BB340000}"/>
    <cellStyle name="Обычный 9 2 8 2 3 7" xfId="12739" xr:uid="{00000000-0005-0000-0000-0000BC340000}"/>
    <cellStyle name="Обычный 9 2 8 2 3 8" xfId="13725" xr:uid="{00000000-0005-0000-0000-0000BD340000}"/>
    <cellStyle name="Обычный 9 2 8 2 3 9" xfId="14725" xr:uid="{00000000-0005-0000-0000-0000BE340000}"/>
    <cellStyle name="Обычный 9 2 8 2 4" xfId="7075" xr:uid="{00000000-0005-0000-0000-0000BF340000}"/>
    <cellStyle name="Обычный 9 2 8 2 5" xfId="8081" xr:uid="{00000000-0005-0000-0000-0000C0340000}"/>
    <cellStyle name="Обычный 9 2 8 2 6" xfId="9067" xr:uid="{00000000-0005-0000-0000-0000C1340000}"/>
    <cellStyle name="Обычный 9 2 8 2 7" xfId="10053" xr:uid="{00000000-0005-0000-0000-0000C2340000}"/>
    <cellStyle name="Обычный 9 2 8 2 8" xfId="11039" xr:uid="{00000000-0005-0000-0000-0000C3340000}"/>
    <cellStyle name="Обычный 9 2 8 2 9" xfId="12025" xr:uid="{00000000-0005-0000-0000-0000C4340000}"/>
    <cellStyle name="Обычный 9 2 8 3" xfId="6114" xr:uid="{00000000-0005-0000-0000-0000C5340000}"/>
    <cellStyle name="Обычный 9 2 8 3 10" xfId="13064" xr:uid="{00000000-0005-0000-0000-0000C6340000}"/>
    <cellStyle name="Обычный 9 2 8 3 11" xfId="14064" xr:uid="{00000000-0005-0000-0000-0000C7340000}"/>
    <cellStyle name="Обычный 9 2 8 3 12" xfId="15050" xr:uid="{00000000-0005-0000-0000-0000C8340000}"/>
    <cellStyle name="Обычный 9 2 8 3 2" xfId="6575" xr:uid="{00000000-0005-0000-0000-0000C9340000}"/>
    <cellStyle name="Обычный 9 2 8 3 2 10" xfId="15494" xr:uid="{00000000-0005-0000-0000-0000CA340000}"/>
    <cellStyle name="Обычный 9 2 8 3 2 2" xfId="7572" xr:uid="{00000000-0005-0000-0000-0000CB340000}"/>
    <cellStyle name="Обычный 9 2 8 3 2 3" xfId="8578" xr:uid="{00000000-0005-0000-0000-0000CC340000}"/>
    <cellStyle name="Обычный 9 2 8 3 2 4" xfId="9564" xr:uid="{00000000-0005-0000-0000-0000CD340000}"/>
    <cellStyle name="Обычный 9 2 8 3 2 5" xfId="10550" xr:uid="{00000000-0005-0000-0000-0000CE340000}"/>
    <cellStyle name="Обычный 9 2 8 3 2 6" xfId="11536" xr:uid="{00000000-0005-0000-0000-0000CF340000}"/>
    <cellStyle name="Обычный 9 2 8 3 2 7" xfId="12522" xr:uid="{00000000-0005-0000-0000-0000D0340000}"/>
    <cellStyle name="Обычный 9 2 8 3 2 8" xfId="13508" xr:uid="{00000000-0005-0000-0000-0000D1340000}"/>
    <cellStyle name="Обычный 9 2 8 3 2 9" xfId="14508" xr:uid="{00000000-0005-0000-0000-0000D2340000}"/>
    <cellStyle name="Обычный 9 2 8 3 3" xfId="6845" xr:uid="{00000000-0005-0000-0000-0000D3340000}"/>
    <cellStyle name="Обычный 9 2 8 3 3 10" xfId="15764" xr:uid="{00000000-0005-0000-0000-0000D4340000}"/>
    <cellStyle name="Обычный 9 2 8 3 3 2" xfId="7842" xr:uid="{00000000-0005-0000-0000-0000D5340000}"/>
    <cellStyle name="Обычный 9 2 8 3 3 3" xfId="8848" xr:uid="{00000000-0005-0000-0000-0000D6340000}"/>
    <cellStyle name="Обычный 9 2 8 3 3 4" xfId="9834" xr:uid="{00000000-0005-0000-0000-0000D7340000}"/>
    <cellStyle name="Обычный 9 2 8 3 3 5" xfId="10820" xr:uid="{00000000-0005-0000-0000-0000D8340000}"/>
    <cellStyle name="Обычный 9 2 8 3 3 6" xfId="11806" xr:uid="{00000000-0005-0000-0000-0000D9340000}"/>
    <cellStyle name="Обычный 9 2 8 3 3 7" xfId="12792" xr:uid="{00000000-0005-0000-0000-0000DA340000}"/>
    <cellStyle name="Обычный 9 2 8 3 3 8" xfId="13778" xr:uid="{00000000-0005-0000-0000-0000DB340000}"/>
    <cellStyle name="Обычный 9 2 8 3 3 9" xfId="14778" xr:uid="{00000000-0005-0000-0000-0000DC340000}"/>
    <cellStyle name="Обычный 9 2 8 3 4" xfId="7128" xr:uid="{00000000-0005-0000-0000-0000DD340000}"/>
    <cellStyle name="Обычный 9 2 8 3 5" xfId="8134" xr:uid="{00000000-0005-0000-0000-0000DE340000}"/>
    <cellStyle name="Обычный 9 2 8 3 6" xfId="9120" xr:uid="{00000000-0005-0000-0000-0000DF340000}"/>
    <cellStyle name="Обычный 9 2 8 3 7" xfId="10106" xr:uid="{00000000-0005-0000-0000-0000E0340000}"/>
    <cellStyle name="Обычный 9 2 8 3 8" xfId="11092" xr:uid="{00000000-0005-0000-0000-0000E1340000}"/>
    <cellStyle name="Обычный 9 2 8 3 9" xfId="12078" xr:uid="{00000000-0005-0000-0000-0000E2340000}"/>
    <cellStyle name="Обычный 9 2 8 4" xfId="6463" xr:uid="{00000000-0005-0000-0000-0000E3340000}"/>
    <cellStyle name="Обычный 9 2 8 4 10" xfId="15382" xr:uid="{00000000-0005-0000-0000-0000E4340000}"/>
    <cellStyle name="Обычный 9 2 8 4 2" xfId="7460" xr:uid="{00000000-0005-0000-0000-0000E5340000}"/>
    <cellStyle name="Обычный 9 2 8 4 3" xfId="8466" xr:uid="{00000000-0005-0000-0000-0000E6340000}"/>
    <cellStyle name="Обычный 9 2 8 4 4" xfId="9452" xr:uid="{00000000-0005-0000-0000-0000E7340000}"/>
    <cellStyle name="Обычный 9 2 8 4 5" xfId="10438" xr:uid="{00000000-0005-0000-0000-0000E8340000}"/>
    <cellStyle name="Обычный 9 2 8 4 6" xfId="11424" xr:uid="{00000000-0005-0000-0000-0000E9340000}"/>
    <cellStyle name="Обычный 9 2 8 4 7" xfId="12410" xr:uid="{00000000-0005-0000-0000-0000EA340000}"/>
    <cellStyle name="Обычный 9 2 8 4 8" xfId="13396" xr:uid="{00000000-0005-0000-0000-0000EB340000}"/>
    <cellStyle name="Обычный 9 2 8 4 9" xfId="14396" xr:uid="{00000000-0005-0000-0000-0000EC340000}"/>
    <cellStyle name="Обычный 9 2 8 5" xfId="6733" xr:uid="{00000000-0005-0000-0000-0000ED340000}"/>
    <cellStyle name="Обычный 9 2 8 5 10" xfId="15652" xr:uid="{00000000-0005-0000-0000-0000EE340000}"/>
    <cellStyle name="Обычный 9 2 8 5 2" xfId="7730" xr:uid="{00000000-0005-0000-0000-0000EF340000}"/>
    <cellStyle name="Обычный 9 2 8 5 3" xfId="8736" xr:uid="{00000000-0005-0000-0000-0000F0340000}"/>
    <cellStyle name="Обычный 9 2 8 5 4" xfId="9722" xr:uid="{00000000-0005-0000-0000-0000F1340000}"/>
    <cellStyle name="Обычный 9 2 8 5 5" xfId="10708" xr:uid="{00000000-0005-0000-0000-0000F2340000}"/>
    <cellStyle name="Обычный 9 2 8 5 6" xfId="11694" xr:uid="{00000000-0005-0000-0000-0000F3340000}"/>
    <cellStyle name="Обычный 9 2 8 5 7" xfId="12680" xr:uid="{00000000-0005-0000-0000-0000F4340000}"/>
    <cellStyle name="Обычный 9 2 8 5 8" xfId="13666" xr:uid="{00000000-0005-0000-0000-0000F5340000}"/>
    <cellStyle name="Обычный 9 2 8 5 9" xfId="14666" xr:uid="{00000000-0005-0000-0000-0000F6340000}"/>
    <cellStyle name="Обычный 9 2 8 6" xfId="7016" xr:uid="{00000000-0005-0000-0000-0000F7340000}"/>
    <cellStyle name="Обычный 9 2 8 7" xfId="8022" xr:uid="{00000000-0005-0000-0000-0000F8340000}"/>
    <cellStyle name="Обычный 9 2 8 8" xfId="9008" xr:uid="{00000000-0005-0000-0000-0000F9340000}"/>
    <cellStyle name="Обычный 9 2 8 9" xfId="9994" xr:uid="{00000000-0005-0000-0000-0000FA340000}"/>
    <cellStyle name="Обычный 9 2 9" xfId="3430" xr:uid="{00000000-0005-0000-0000-0000FB340000}"/>
    <cellStyle name="Обычный 9 2 9 10" xfId="10991" xr:uid="{00000000-0005-0000-0000-0000FC340000}"/>
    <cellStyle name="Обычный 9 2 9 11" xfId="11977" xr:uid="{00000000-0005-0000-0000-0000FD340000}"/>
    <cellStyle name="Обычный 9 2 9 12" xfId="12963" xr:uid="{00000000-0005-0000-0000-0000FE340000}"/>
    <cellStyle name="Обычный 9 2 9 13" xfId="13963" xr:uid="{00000000-0005-0000-0000-0000FF340000}"/>
    <cellStyle name="Обычный 9 2 9 14" xfId="14949" xr:uid="{00000000-0005-0000-0000-000000350000}"/>
    <cellStyle name="Обычный 9 2 9 2" xfId="6068" xr:uid="{00000000-0005-0000-0000-000001350000}"/>
    <cellStyle name="Обычный 9 2 9 2 10" xfId="13022" xr:uid="{00000000-0005-0000-0000-000002350000}"/>
    <cellStyle name="Обычный 9 2 9 2 11" xfId="14022" xr:uid="{00000000-0005-0000-0000-000003350000}"/>
    <cellStyle name="Обычный 9 2 9 2 12" xfId="15008" xr:uid="{00000000-0005-0000-0000-000004350000}"/>
    <cellStyle name="Обычный 9 2 9 2 2" xfId="6533" xr:uid="{00000000-0005-0000-0000-000005350000}"/>
    <cellStyle name="Обычный 9 2 9 2 2 10" xfId="15452" xr:uid="{00000000-0005-0000-0000-000006350000}"/>
    <cellStyle name="Обычный 9 2 9 2 2 2" xfId="7530" xr:uid="{00000000-0005-0000-0000-000007350000}"/>
    <cellStyle name="Обычный 9 2 9 2 2 3" xfId="8536" xr:uid="{00000000-0005-0000-0000-000008350000}"/>
    <cellStyle name="Обычный 9 2 9 2 2 4" xfId="9522" xr:uid="{00000000-0005-0000-0000-000009350000}"/>
    <cellStyle name="Обычный 9 2 9 2 2 5" xfId="10508" xr:uid="{00000000-0005-0000-0000-00000A350000}"/>
    <cellStyle name="Обычный 9 2 9 2 2 6" xfId="11494" xr:uid="{00000000-0005-0000-0000-00000B350000}"/>
    <cellStyle name="Обычный 9 2 9 2 2 7" xfId="12480" xr:uid="{00000000-0005-0000-0000-00000C350000}"/>
    <cellStyle name="Обычный 9 2 9 2 2 8" xfId="13466" xr:uid="{00000000-0005-0000-0000-00000D350000}"/>
    <cellStyle name="Обычный 9 2 9 2 2 9" xfId="14466" xr:uid="{00000000-0005-0000-0000-00000E350000}"/>
    <cellStyle name="Обычный 9 2 9 2 3" xfId="6803" xr:uid="{00000000-0005-0000-0000-00000F350000}"/>
    <cellStyle name="Обычный 9 2 9 2 3 10" xfId="15722" xr:uid="{00000000-0005-0000-0000-000010350000}"/>
    <cellStyle name="Обычный 9 2 9 2 3 2" xfId="7800" xr:uid="{00000000-0005-0000-0000-000011350000}"/>
    <cellStyle name="Обычный 9 2 9 2 3 3" xfId="8806" xr:uid="{00000000-0005-0000-0000-000012350000}"/>
    <cellStyle name="Обычный 9 2 9 2 3 4" xfId="9792" xr:uid="{00000000-0005-0000-0000-000013350000}"/>
    <cellStyle name="Обычный 9 2 9 2 3 5" xfId="10778" xr:uid="{00000000-0005-0000-0000-000014350000}"/>
    <cellStyle name="Обычный 9 2 9 2 3 6" xfId="11764" xr:uid="{00000000-0005-0000-0000-000015350000}"/>
    <cellStyle name="Обычный 9 2 9 2 3 7" xfId="12750" xr:uid="{00000000-0005-0000-0000-000016350000}"/>
    <cellStyle name="Обычный 9 2 9 2 3 8" xfId="13736" xr:uid="{00000000-0005-0000-0000-000017350000}"/>
    <cellStyle name="Обычный 9 2 9 2 3 9" xfId="14736" xr:uid="{00000000-0005-0000-0000-000018350000}"/>
    <cellStyle name="Обычный 9 2 9 2 4" xfId="7086" xr:uid="{00000000-0005-0000-0000-000019350000}"/>
    <cellStyle name="Обычный 9 2 9 2 5" xfId="8092" xr:uid="{00000000-0005-0000-0000-00001A350000}"/>
    <cellStyle name="Обычный 9 2 9 2 6" xfId="9078" xr:uid="{00000000-0005-0000-0000-00001B350000}"/>
    <cellStyle name="Обычный 9 2 9 2 7" xfId="10064" xr:uid="{00000000-0005-0000-0000-00001C350000}"/>
    <cellStyle name="Обычный 9 2 9 2 8" xfId="11050" xr:uid="{00000000-0005-0000-0000-00001D350000}"/>
    <cellStyle name="Обычный 9 2 9 2 9" xfId="12036" xr:uid="{00000000-0005-0000-0000-00001E350000}"/>
    <cellStyle name="Обычный 9 2 9 3" xfId="6125" xr:uid="{00000000-0005-0000-0000-00001F350000}"/>
    <cellStyle name="Обычный 9 2 9 3 10" xfId="13075" xr:uid="{00000000-0005-0000-0000-000020350000}"/>
    <cellStyle name="Обычный 9 2 9 3 11" xfId="14075" xr:uid="{00000000-0005-0000-0000-000021350000}"/>
    <cellStyle name="Обычный 9 2 9 3 12" xfId="15061" xr:uid="{00000000-0005-0000-0000-000022350000}"/>
    <cellStyle name="Обычный 9 2 9 3 2" xfId="6586" xr:uid="{00000000-0005-0000-0000-000023350000}"/>
    <cellStyle name="Обычный 9 2 9 3 2 10" xfId="15505" xr:uid="{00000000-0005-0000-0000-000024350000}"/>
    <cellStyle name="Обычный 9 2 9 3 2 2" xfId="7583" xr:uid="{00000000-0005-0000-0000-000025350000}"/>
    <cellStyle name="Обычный 9 2 9 3 2 3" xfId="8589" xr:uid="{00000000-0005-0000-0000-000026350000}"/>
    <cellStyle name="Обычный 9 2 9 3 2 4" xfId="9575" xr:uid="{00000000-0005-0000-0000-000027350000}"/>
    <cellStyle name="Обычный 9 2 9 3 2 5" xfId="10561" xr:uid="{00000000-0005-0000-0000-000028350000}"/>
    <cellStyle name="Обычный 9 2 9 3 2 6" xfId="11547" xr:uid="{00000000-0005-0000-0000-000029350000}"/>
    <cellStyle name="Обычный 9 2 9 3 2 7" xfId="12533" xr:uid="{00000000-0005-0000-0000-00002A350000}"/>
    <cellStyle name="Обычный 9 2 9 3 2 8" xfId="13519" xr:uid="{00000000-0005-0000-0000-00002B350000}"/>
    <cellStyle name="Обычный 9 2 9 3 2 9" xfId="14519" xr:uid="{00000000-0005-0000-0000-00002C350000}"/>
    <cellStyle name="Обычный 9 2 9 3 3" xfId="6856" xr:uid="{00000000-0005-0000-0000-00002D350000}"/>
    <cellStyle name="Обычный 9 2 9 3 3 10" xfId="15775" xr:uid="{00000000-0005-0000-0000-00002E350000}"/>
    <cellStyle name="Обычный 9 2 9 3 3 2" xfId="7853" xr:uid="{00000000-0005-0000-0000-00002F350000}"/>
    <cellStyle name="Обычный 9 2 9 3 3 3" xfId="8859" xr:uid="{00000000-0005-0000-0000-000030350000}"/>
    <cellStyle name="Обычный 9 2 9 3 3 4" xfId="9845" xr:uid="{00000000-0005-0000-0000-000031350000}"/>
    <cellStyle name="Обычный 9 2 9 3 3 5" xfId="10831" xr:uid="{00000000-0005-0000-0000-000032350000}"/>
    <cellStyle name="Обычный 9 2 9 3 3 6" xfId="11817" xr:uid="{00000000-0005-0000-0000-000033350000}"/>
    <cellStyle name="Обычный 9 2 9 3 3 7" xfId="12803" xr:uid="{00000000-0005-0000-0000-000034350000}"/>
    <cellStyle name="Обычный 9 2 9 3 3 8" xfId="13789" xr:uid="{00000000-0005-0000-0000-000035350000}"/>
    <cellStyle name="Обычный 9 2 9 3 3 9" xfId="14789" xr:uid="{00000000-0005-0000-0000-000036350000}"/>
    <cellStyle name="Обычный 9 2 9 3 4" xfId="7139" xr:uid="{00000000-0005-0000-0000-000037350000}"/>
    <cellStyle name="Обычный 9 2 9 3 5" xfId="8145" xr:uid="{00000000-0005-0000-0000-000038350000}"/>
    <cellStyle name="Обычный 9 2 9 3 6" xfId="9131" xr:uid="{00000000-0005-0000-0000-000039350000}"/>
    <cellStyle name="Обычный 9 2 9 3 7" xfId="10117" xr:uid="{00000000-0005-0000-0000-00003A350000}"/>
    <cellStyle name="Обычный 9 2 9 3 8" xfId="11103" xr:uid="{00000000-0005-0000-0000-00003B350000}"/>
    <cellStyle name="Обычный 9 2 9 3 9" xfId="12089" xr:uid="{00000000-0005-0000-0000-00003C350000}"/>
    <cellStyle name="Обычный 9 2 9 4" xfId="6474" xr:uid="{00000000-0005-0000-0000-00003D350000}"/>
    <cellStyle name="Обычный 9 2 9 4 10" xfId="15393" xr:uid="{00000000-0005-0000-0000-00003E350000}"/>
    <cellStyle name="Обычный 9 2 9 4 2" xfId="7471" xr:uid="{00000000-0005-0000-0000-00003F350000}"/>
    <cellStyle name="Обычный 9 2 9 4 3" xfId="8477" xr:uid="{00000000-0005-0000-0000-000040350000}"/>
    <cellStyle name="Обычный 9 2 9 4 4" xfId="9463" xr:uid="{00000000-0005-0000-0000-000041350000}"/>
    <cellStyle name="Обычный 9 2 9 4 5" xfId="10449" xr:uid="{00000000-0005-0000-0000-000042350000}"/>
    <cellStyle name="Обычный 9 2 9 4 6" xfId="11435" xr:uid="{00000000-0005-0000-0000-000043350000}"/>
    <cellStyle name="Обычный 9 2 9 4 7" xfId="12421" xr:uid="{00000000-0005-0000-0000-000044350000}"/>
    <cellStyle name="Обычный 9 2 9 4 8" xfId="13407" xr:uid="{00000000-0005-0000-0000-000045350000}"/>
    <cellStyle name="Обычный 9 2 9 4 9" xfId="14407" xr:uid="{00000000-0005-0000-0000-000046350000}"/>
    <cellStyle name="Обычный 9 2 9 5" xfId="6744" xr:uid="{00000000-0005-0000-0000-000047350000}"/>
    <cellStyle name="Обычный 9 2 9 5 10" xfId="15663" xr:uid="{00000000-0005-0000-0000-000048350000}"/>
    <cellStyle name="Обычный 9 2 9 5 2" xfId="7741" xr:uid="{00000000-0005-0000-0000-000049350000}"/>
    <cellStyle name="Обычный 9 2 9 5 3" xfId="8747" xr:uid="{00000000-0005-0000-0000-00004A350000}"/>
    <cellStyle name="Обычный 9 2 9 5 4" xfId="9733" xr:uid="{00000000-0005-0000-0000-00004B350000}"/>
    <cellStyle name="Обычный 9 2 9 5 5" xfId="10719" xr:uid="{00000000-0005-0000-0000-00004C350000}"/>
    <cellStyle name="Обычный 9 2 9 5 6" xfId="11705" xr:uid="{00000000-0005-0000-0000-00004D350000}"/>
    <cellStyle name="Обычный 9 2 9 5 7" xfId="12691" xr:uid="{00000000-0005-0000-0000-00004E350000}"/>
    <cellStyle name="Обычный 9 2 9 5 8" xfId="13677" xr:uid="{00000000-0005-0000-0000-00004F350000}"/>
    <cellStyle name="Обычный 9 2 9 5 9" xfId="14677" xr:uid="{00000000-0005-0000-0000-000050350000}"/>
    <cellStyle name="Обычный 9 2 9 6" xfId="7027" xr:uid="{00000000-0005-0000-0000-000051350000}"/>
    <cellStyle name="Обычный 9 2 9 7" xfId="8033" xr:uid="{00000000-0005-0000-0000-000052350000}"/>
    <cellStyle name="Обычный 9 2 9 8" xfId="9019" xr:uid="{00000000-0005-0000-0000-000053350000}"/>
    <cellStyle name="Обычный 9 2 9 9" xfId="10005" xr:uid="{00000000-0005-0000-0000-000054350000}"/>
    <cellStyle name="Обычный 9 2_Бз 30.12.2015" xfId="3431" xr:uid="{00000000-0005-0000-0000-000055350000}"/>
    <cellStyle name="Обычный 9 3" xfId="2651" xr:uid="{00000000-0005-0000-0000-000056350000}"/>
    <cellStyle name="Обычный 9 3 2" xfId="6184" xr:uid="{00000000-0005-0000-0000-000057350000}"/>
    <cellStyle name="Обычный 9 4" xfId="2652" xr:uid="{00000000-0005-0000-0000-000058350000}"/>
    <cellStyle name="Обычный 9 4 2" xfId="6020" xr:uid="{00000000-0005-0000-0000-000059350000}"/>
    <cellStyle name="Обычный 9 5" xfId="3408" xr:uid="{00000000-0005-0000-0000-00005A350000}"/>
    <cellStyle name="Обычный 9 6" xfId="6018" xr:uid="{00000000-0005-0000-0000-00005B350000}"/>
    <cellStyle name="Обычный 9 6 10" xfId="12975" xr:uid="{00000000-0005-0000-0000-00005C350000}"/>
    <cellStyle name="Обычный 9 6 11" xfId="13975" xr:uid="{00000000-0005-0000-0000-00005D350000}"/>
    <cellStyle name="Обычный 9 6 12" xfId="14961" xr:uid="{00000000-0005-0000-0000-00005E350000}"/>
    <cellStyle name="Обычный 9 6 2" xfId="6486" xr:uid="{00000000-0005-0000-0000-00005F350000}"/>
    <cellStyle name="Обычный 9 6 2 10" xfId="15405" xr:uid="{00000000-0005-0000-0000-000060350000}"/>
    <cellStyle name="Обычный 9 6 2 2" xfId="7483" xr:uid="{00000000-0005-0000-0000-000061350000}"/>
    <cellStyle name="Обычный 9 6 2 3" xfId="8489" xr:uid="{00000000-0005-0000-0000-000062350000}"/>
    <cellStyle name="Обычный 9 6 2 4" xfId="9475" xr:uid="{00000000-0005-0000-0000-000063350000}"/>
    <cellStyle name="Обычный 9 6 2 5" xfId="10461" xr:uid="{00000000-0005-0000-0000-000064350000}"/>
    <cellStyle name="Обычный 9 6 2 6" xfId="11447" xr:uid="{00000000-0005-0000-0000-000065350000}"/>
    <cellStyle name="Обычный 9 6 2 7" xfId="12433" xr:uid="{00000000-0005-0000-0000-000066350000}"/>
    <cellStyle name="Обычный 9 6 2 8" xfId="13419" xr:uid="{00000000-0005-0000-0000-000067350000}"/>
    <cellStyle name="Обычный 9 6 2 9" xfId="14419" xr:uid="{00000000-0005-0000-0000-000068350000}"/>
    <cellStyle name="Обычный 9 6 3" xfId="6756" xr:uid="{00000000-0005-0000-0000-000069350000}"/>
    <cellStyle name="Обычный 9 6 3 10" xfId="15675" xr:uid="{00000000-0005-0000-0000-00006A350000}"/>
    <cellStyle name="Обычный 9 6 3 2" xfId="7753" xr:uid="{00000000-0005-0000-0000-00006B350000}"/>
    <cellStyle name="Обычный 9 6 3 3" xfId="8759" xr:uid="{00000000-0005-0000-0000-00006C350000}"/>
    <cellStyle name="Обычный 9 6 3 4" xfId="9745" xr:uid="{00000000-0005-0000-0000-00006D350000}"/>
    <cellStyle name="Обычный 9 6 3 5" xfId="10731" xr:uid="{00000000-0005-0000-0000-00006E350000}"/>
    <cellStyle name="Обычный 9 6 3 6" xfId="11717" xr:uid="{00000000-0005-0000-0000-00006F350000}"/>
    <cellStyle name="Обычный 9 6 3 7" xfId="12703" xr:uid="{00000000-0005-0000-0000-000070350000}"/>
    <cellStyle name="Обычный 9 6 3 8" xfId="13689" xr:uid="{00000000-0005-0000-0000-000071350000}"/>
    <cellStyle name="Обычный 9 6 3 9" xfId="14689" xr:uid="{00000000-0005-0000-0000-000072350000}"/>
    <cellStyle name="Обычный 9 6 4" xfId="7039" xr:uid="{00000000-0005-0000-0000-000073350000}"/>
    <cellStyle name="Обычный 9 6 5" xfId="8045" xr:uid="{00000000-0005-0000-0000-000074350000}"/>
    <cellStyle name="Обычный 9 6 6" xfId="9031" xr:uid="{00000000-0005-0000-0000-000075350000}"/>
    <cellStyle name="Обычный 9 6 7" xfId="10017" xr:uid="{00000000-0005-0000-0000-000076350000}"/>
    <cellStyle name="Обычный 9 6 8" xfId="11003" xr:uid="{00000000-0005-0000-0000-000077350000}"/>
    <cellStyle name="Обычный 9 6 9" xfId="11989" xr:uid="{00000000-0005-0000-0000-000078350000}"/>
    <cellStyle name="Обычный 9 7" xfId="6078" xr:uid="{00000000-0005-0000-0000-000079350000}"/>
    <cellStyle name="Обычный 9 7 10" xfId="13028" xr:uid="{00000000-0005-0000-0000-00007A350000}"/>
    <cellStyle name="Обычный 9 7 11" xfId="14028" xr:uid="{00000000-0005-0000-0000-00007B350000}"/>
    <cellStyle name="Обычный 9 7 12" xfId="15014" xr:uid="{00000000-0005-0000-0000-00007C350000}"/>
    <cellStyle name="Обычный 9 7 2" xfId="6539" xr:uid="{00000000-0005-0000-0000-00007D350000}"/>
    <cellStyle name="Обычный 9 7 2 10" xfId="15458" xr:uid="{00000000-0005-0000-0000-00007E350000}"/>
    <cellStyle name="Обычный 9 7 2 2" xfId="7536" xr:uid="{00000000-0005-0000-0000-00007F350000}"/>
    <cellStyle name="Обычный 9 7 2 3" xfId="8542" xr:uid="{00000000-0005-0000-0000-000080350000}"/>
    <cellStyle name="Обычный 9 7 2 4" xfId="9528" xr:uid="{00000000-0005-0000-0000-000081350000}"/>
    <cellStyle name="Обычный 9 7 2 5" xfId="10514" xr:uid="{00000000-0005-0000-0000-000082350000}"/>
    <cellStyle name="Обычный 9 7 2 6" xfId="11500" xr:uid="{00000000-0005-0000-0000-000083350000}"/>
    <cellStyle name="Обычный 9 7 2 7" xfId="12486" xr:uid="{00000000-0005-0000-0000-000084350000}"/>
    <cellStyle name="Обычный 9 7 2 8" xfId="13472" xr:uid="{00000000-0005-0000-0000-000085350000}"/>
    <cellStyle name="Обычный 9 7 2 9" xfId="14472" xr:uid="{00000000-0005-0000-0000-000086350000}"/>
    <cellStyle name="Обычный 9 7 3" xfId="6809" xr:uid="{00000000-0005-0000-0000-000087350000}"/>
    <cellStyle name="Обычный 9 7 3 10" xfId="15728" xr:uid="{00000000-0005-0000-0000-000088350000}"/>
    <cellStyle name="Обычный 9 7 3 2" xfId="7806" xr:uid="{00000000-0005-0000-0000-000089350000}"/>
    <cellStyle name="Обычный 9 7 3 3" xfId="8812" xr:uid="{00000000-0005-0000-0000-00008A350000}"/>
    <cellStyle name="Обычный 9 7 3 4" xfId="9798" xr:uid="{00000000-0005-0000-0000-00008B350000}"/>
    <cellStyle name="Обычный 9 7 3 5" xfId="10784" xr:uid="{00000000-0005-0000-0000-00008C350000}"/>
    <cellStyle name="Обычный 9 7 3 6" xfId="11770" xr:uid="{00000000-0005-0000-0000-00008D350000}"/>
    <cellStyle name="Обычный 9 7 3 7" xfId="12756" xr:uid="{00000000-0005-0000-0000-00008E350000}"/>
    <cellStyle name="Обычный 9 7 3 8" xfId="13742" xr:uid="{00000000-0005-0000-0000-00008F350000}"/>
    <cellStyle name="Обычный 9 7 3 9" xfId="14742" xr:uid="{00000000-0005-0000-0000-000090350000}"/>
    <cellStyle name="Обычный 9 7 4" xfId="7092" xr:uid="{00000000-0005-0000-0000-000091350000}"/>
    <cellStyle name="Обычный 9 7 5" xfId="8098" xr:uid="{00000000-0005-0000-0000-000092350000}"/>
    <cellStyle name="Обычный 9 7 6" xfId="9084" xr:uid="{00000000-0005-0000-0000-000093350000}"/>
    <cellStyle name="Обычный 9 7 7" xfId="10070" xr:uid="{00000000-0005-0000-0000-000094350000}"/>
    <cellStyle name="Обычный 9 7 8" xfId="11056" xr:uid="{00000000-0005-0000-0000-000095350000}"/>
    <cellStyle name="Обычный 9 7 9" xfId="12042" xr:uid="{00000000-0005-0000-0000-000096350000}"/>
    <cellStyle name="Обычный 9 8" xfId="6185" xr:uid="{00000000-0005-0000-0000-000097350000}"/>
    <cellStyle name="Обычный 9 9" xfId="6427" xr:uid="{00000000-0005-0000-0000-000098350000}"/>
    <cellStyle name="Обычный 9 9 10" xfId="15346" xr:uid="{00000000-0005-0000-0000-000099350000}"/>
    <cellStyle name="Обычный 9 9 2" xfId="7424" xr:uid="{00000000-0005-0000-0000-00009A350000}"/>
    <cellStyle name="Обычный 9 9 3" xfId="8430" xr:uid="{00000000-0005-0000-0000-00009B350000}"/>
    <cellStyle name="Обычный 9 9 4" xfId="9416" xr:uid="{00000000-0005-0000-0000-00009C350000}"/>
    <cellStyle name="Обычный 9 9 5" xfId="10402" xr:uid="{00000000-0005-0000-0000-00009D350000}"/>
    <cellStyle name="Обычный 9 9 6" xfId="11388" xr:uid="{00000000-0005-0000-0000-00009E350000}"/>
    <cellStyle name="Обычный 9 9 7" xfId="12374" xr:uid="{00000000-0005-0000-0000-00009F350000}"/>
    <cellStyle name="Обычный 9 9 8" xfId="13360" xr:uid="{00000000-0005-0000-0000-0000A0350000}"/>
    <cellStyle name="Обычный 9 9 9" xfId="14360" xr:uid="{00000000-0005-0000-0000-0000A1350000}"/>
    <cellStyle name="Обычный 9_Бз 30.12.2015" xfId="3409" xr:uid="{00000000-0005-0000-0000-0000A2350000}"/>
    <cellStyle name="Обычный_Приложение рус реал06" xfId="2653" xr:uid="{00000000-0005-0000-0000-0000A3350000}"/>
    <cellStyle name="Обычный_Приложение рус реал06 2_Приложение 02 русс на 27.03.2009 г. 2" xfId="6126" xr:uid="{00000000-0005-0000-0000-0000A4350000}"/>
    <cellStyle name="Обычный_Приложения 30.09 Исправ" xfId="2654" xr:uid="{00000000-0005-0000-0000-0000A5350000}"/>
    <cellStyle name="Обычный_Приложения 30.09 Исправ 2 2" xfId="3436" xr:uid="{00000000-0005-0000-0000-0000A6350000}"/>
    <cellStyle name="Процентный 2" xfId="2655" xr:uid="{00000000-0005-0000-0000-0000A7350000}"/>
    <cellStyle name="Процентный 2 2" xfId="6021" xr:uid="{00000000-0005-0000-0000-0000A8350000}"/>
    <cellStyle name="Стиль 1" xfId="2656" xr:uid="{00000000-0005-0000-0000-0000A9350000}"/>
    <cellStyle name="Стиль 1 2" xfId="2657" xr:uid="{00000000-0005-0000-0000-0000AA350000}"/>
    <cellStyle name="Стиль 1 2 2" xfId="2658" xr:uid="{00000000-0005-0000-0000-0000AB350000}"/>
    <cellStyle name="Стиль 1 2_Транспорт" xfId="3410" xr:uid="{00000000-0005-0000-0000-0000AC350000}"/>
    <cellStyle name="Стиль 1 3" xfId="2659" xr:uid="{00000000-0005-0000-0000-0000AD350000}"/>
    <cellStyle name="Тысячи [0]_Доход" xfId="2660" xr:uid="{00000000-0005-0000-0000-0000AE350000}"/>
    <cellStyle name="Тысячи_Доход" xfId="2661" xr:uid="{00000000-0005-0000-0000-0000AF350000}"/>
    <cellStyle name="Финансовый 10" xfId="3411" xr:uid="{00000000-0005-0000-0000-0000B0350000}"/>
    <cellStyle name="Финансовый 10 10" xfId="10981" xr:uid="{00000000-0005-0000-0000-0000B1350000}"/>
    <cellStyle name="Финансовый 10 11" xfId="11967" xr:uid="{00000000-0005-0000-0000-0000B2350000}"/>
    <cellStyle name="Финансовый 10 12" xfId="12953" xr:uid="{00000000-0005-0000-0000-0000B3350000}"/>
    <cellStyle name="Финансовый 10 13" xfId="13953" xr:uid="{00000000-0005-0000-0000-0000B4350000}"/>
    <cellStyle name="Финансовый 10 14" xfId="14939" xr:uid="{00000000-0005-0000-0000-0000B5350000}"/>
    <cellStyle name="Финансовый 10 2" xfId="6058" xr:uid="{00000000-0005-0000-0000-0000B6350000}"/>
    <cellStyle name="Финансовый 10 2 10" xfId="13012" xr:uid="{00000000-0005-0000-0000-0000B7350000}"/>
    <cellStyle name="Финансовый 10 2 11" xfId="14012" xr:uid="{00000000-0005-0000-0000-0000B8350000}"/>
    <cellStyle name="Финансовый 10 2 12" xfId="14998" xr:uid="{00000000-0005-0000-0000-0000B9350000}"/>
    <cellStyle name="Финансовый 10 2 2" xfId="6523" xr:uid="{00000000-0005-0000-0000-0000BA350000}"/>
    <cellStyle name="Финансовый 10 2 2 10" xfId="15442" xr:uid="{00000000-0005-0000-0000-0000BB350000}"/>
    <cellStyle name="Финансовый 10 2 2 2" xfId="7520" xr:uid="{00000000-0005-0000-0000-0000BC350000}"/>
    <cellStyle name="Финансовый 10 2 2 3" xfId="8526" xr:uid="{00000000-0005-0000-0000-0000BD350000}"/>
    <cellStyle name="Финансовый 10 2 2 4" xfId="9512" xr:uid="{00000000-0005-0000-0000-0000BE350000}"/>
    <cellStyle name="Финансовый 10 2 2 5" xfId="10498" xr:uid="{00000000-0005-0000-0000-0000BF350000}"/>
    <cellStyle name="Финансовый 10 2 2 6" xfId="11484" xr:uid="{00000000-0005-0000-0000-0000C0350000}"/>
    <cellStyle name="Финансовый 10 2 2 7" xfId="12470" xr:uid="{00000000-0005-0000-0000-0000C1350000}"/>
    <cellStyle name="Финансовый 10 2 2 8" xfId="13456" xr:uid="{00000000-0005-0000-0000-0000C2350000}"/>
    <cellStyle name="Финансовый 10 2 2 9" xfId="14456" xr:uid="{00000000-0005-0000-0000-0000C3350000}"/>
    <cellStyle name="Финансовый 10 2 3" xfId="6793" xr:uid="{00000000-0005-0000-0000-0000C4350000}"/>
    <cellStyle name="Финансовый 10 2 3 10" xfId="15712" xr:uid="{00000000-0005-0000-0000-0000C5350000}"/>
    <cellStyle name="Финансовый 10 2 3 2" xfId="7790" xr:uid="{00000000-0005-0000-0000-0000C6350000}"/>
    <cellStyle name="Финансовый 10 2 3 3" xfId="8796" xr:uid="{00000000-0005-0000-0000-0000C7350000}"/>
    <cellStyle name="Финансовый 10 2 3 4" xfId="9782" xr:uid="{00000000-0005-0000-0000-0000C8350000}"/>
    <cellStyle name="Финансовый 10 2 3 5" xfId="10768" xr:uid="{00000000-0005-0000-0000-0000C9350000}"/>
    <cellStyle name="Финансовый 10 2 3 6" xfId="11754" xr:uid="{00000000-0005-0000-0000-0000CA350000}"/>
    <cellStyle name="Финансовый 10 2 3 7" xfId="12740" xr:uid="{00000000-0005-0000-0000-0000CB350000}"/>
    <cellStyle name="Финансовый 10 2 3 8" xfId="13726" xr:uid="{00000000-0005-0000-0000-0000CC350000}"/>
    <cellStyle name="Финансовый 10 2 3 9" xfId="14726" xr:uid="{00000000-0005-0000-0000-0000CD350000}"/>
    <cellStyle name="Финансовый 10 2 4" xfId="7076" xr:uid="{00000000-0005-0000-0000-0000CE350000}"/>
    <cellStyle name="Финансовый 10 2 5" xfId="8082" xr:uid="{00000000-0005-0000-0000-0000CF350000}"/>
    <cellStyle name="Финансовый 10 2 6" xfId="9068" xr:uid="{00000000-0005-0000-0000-0000D0350000}"/>
    <cellStyle name="Финансовый 10 2 7" xfId="10054" xr:uid="{00000000-0005-0000-0000-0000D1350000}"/>
    <cellStyle name="Финансовый 10 2 8" xfId="11040" xr:uid="{00000000-0005-0000-0000-0000D2350000}"/>
    <cellStyle name="Финансовый 10 2 9" xfId="12026" xr:uid="{00000000-0005-0000-0000-0000D3350000}"/>
    <cellStyle name="Финансовый 10 3" xfId="6115" xr:uid="{00000000-0005-0000-0000-0000D4350000}"/>
    <cellStyle name="Финансовый 10 3 10" xfId="13065" xr:uid="{00000000-0005-0000-0000-0000D5350000}"/>
    <cellStyle name="Финансовый 10 3 11" xfId="14065" xr:uid="{00000000-0005-0000-0000-0000D6350000}"/>
    <cellStyle name="Финансовый 10 3 12" xfId="15051" xr:uid="{00000000-0005-0000-0000-0000D7350000}"/>
    <cellStyle name="Финансовый 10 3 2" xfId="6576" xr:uid="{00000000-0005-0000-0000-0000D8350000}"/>
    <cellStyle name="Финансовый 10 3 2 10" xfId="15495" xr:uid="{00000000-0005-0000-0000-0000D9350000}"/>
    <cellStyle name="Финансовый 10 3 2 2" xfId="7573" xr:uid="{00000000-0005-0000-0000-0000DA350000}"/>
    <cellStyle name="Финансовый 10 3 2 3" xfId="8579" xr:uid="{00000000-0005-0000-0000-0000DB350000}"/>
    <cellStyle name="Финансовый 10 3 2 4" xfId="9565" xr:uid="{00000000-0005-0000-0000-0000DC350000}"/>
    <cellStyle name="Финансовый 10 3 2 5" xfId="10551" xr:uid="{00000000-0005-0000-0000-0000DD350000}"/>
    <cellStyle name="Финансовый 10 3 2 6" xfId="11537" xr:uid="{00000000-0005-0000-0000-0000DE350000}"/>
    <cellStyle name="Финансовый 10 3 2 7" xfId="12523" xr:uid="{00000000-0005-0000-0000-0000DF350000}"/>
    <cellStyle name="Финансовый 10 3 2 8" xfId="13509" xr:uid="{00000000-0005-0000-0000-0000E0350000}"/>
    <cellStyle name="Финансовый 10 3 2 9" xfId="14509" xr:uid="{00000000-0005-0000-0000-0000E1350000}"/>
    <cellStyle name="Финансовый 10 3 3" xfId="6846" xr:uid="{00000000-0005-0000-0000-0000E2350000}"/>
    <cellStyle name="Финансовый 10 3 3 10" xfId="15765" xr:uid="{00000000-0005-0000-0000-0000E3350000}"/>
    <cellStyle name="Финансовый 10 3 3 2" xfId="7843" xr:uid="{00000000-0005-0000-0000-0000E4350000}"/>
    <cellStyle name="Финансовый 10 3 3 3" xfId="8849" xr:uid="{00000000-0005-0000-0000-0000E5350000}"/>
    <cellStyle name="Финансовый 10 3 3 4" xfId="9835" xr:uid="{00000000-0005-0000-0000-0000E6350000}"/>
    <cellStyle name="Финансовый 10 3 3 5" xfId="10821" xr:uid="{00000000-0005-0000-0000-0000E7350000}"/>
    <cellStyle name="Финансовый 10 3 3 6" xfId="11807" xr:uid="{00000000-0005-0000-0000-0000E8350000}"/>
    <cellStyle name="Финансовый 10 3 3 7" xfId="12793" xr:uid="{00000000-0005-0000-0000-0000E9350000}"/>
    <cellStyle name="Финансовый 10 3 3 8" xfId="13779" xr:uid="{00000000-0005-0000-0000-0000EA350000}"/>
    <cellStyle name="Финансовый 10 3 3 9" xfId="14779" xr:uid="{00000000-0005-0000-0000-0000EB350000}"/>
    <cellStyle name="Финансовый 10 3 4" xfId="7129" xr:uid="{00000000-0005-0000-0000-0000EC350000}"/>
    <cellStyle name="Финансовый 10 3 5" xfId="8135" xr:uid="{00000000-0005-0000-0000-0000ED350000}"/>
    <cellStyle name="Финансовый 10 3 6" xfId="9121" xr:uid="{00000000-0005-0000-0000-0000EE350000}"/>
    <cellStyle name="Финансовый 10 3 7" xfId="10107" xr:uid="{00000000-0005-0000-0000-0000EF350000}"/>
    <cellStyle name="Финансовый 10 3 8" xfId="11093" xr:uid="{00000000-0005-0000-0000-0000F0350000}"/>
    <cellStyle name="Финансовый 10 3 9" xfId="12079" xr:uid="{00000000-0005-0000-0000-0000F1350000}"/>
    <cellStyle name="Финансовый 10 4" xfId="6464" xr:uid="{00000000-0005-0000-0000-0000F2350000}"/>
    <cellStyle name="Финансовый 10 4 10" xfId="15383" xr:uid="{00000000-0005-0000-0000-0000F3350000}"/>
    <cellStyle name="Финансовый 10 4 2" xfId="7461" xr:uid="{00000000-0005-0000-0000-0000F4350000}"/>
    <cellStyle name="Финансовый 10 4 3" xfId="8467" xr:uid="{00000000-0005-0000-0000-0000F5350000}"/>
    <cellStyle name="Финансовый 10 4 4" xfId="9453" xr:uid="{00000000-0005-0000-0000-0000F6350000}"/>
    <cellStyle name="Финансовый 10 4 5" xfId="10439" xr:uid="{00000000-0005-0000-0000-0000F7350000}"/>
    <cellStyle name="Финансовый 10 4 6" xfId="11425" xr:uid="{00000000-0005-0000-0000-0000F8350000}"/>
    <cellStyle name="Финансовый 10 4 7" xfId="12411" xr:uid="{00000000-0005-0000-0000-0000F9350000}"/>
    <cellStyle name="Финансовый 10 4 8" xfId="13397" xr:uid="{00000000-0005-0000-0000-0000FA350000}"/>
    <cellStyle name="Финансовый 10 4 9" xfId="14397" xr:uid="{00000000-0005-0000-0000-0000FB350000}"/>
    <cellStyle name="Финансовый 10 5" xfId="6734" xr:uid="{00000000-0005-0000-0000-0000FC350000}"/>
    <cellStyle name="Финансовый 10 5 10" xfId="15653" xr:uid="{00000000-0005-0000-0000-0000FD350000}"/>
    <cellStyle name="Финансовый 10 5 2" xfId="7731" xr:uid="{00000000-0005-0000-0000-0000FE350000}"/>
    <cellStyle name="Финансовый 10 5 3" xfId="8737" xr:uid="{00000000-0005-0000-0000-0000FF350000}"/>
    <cellStyle name="Финансовый 10 5 4" xfId="9723" xr:uid="{00000000-0005-0000-0000-000000360000}"/>
    <cellStyle name="Финансовый 10 5 5" xfId="10709" xr:uid="{00000000-0005-0000-0000-000001360000}"/>
    <cellStyle name="Финансовый 10 5 6" xfId="11695" xr:uid="{00000000-0005-0000-0000-000002360000}"/>
    <cellStyle name="Финансовый 10 5 7" xfId="12681" xr:uid="{00000000-0005-0000-0000-000003360000}"/>
    <cellStyle name="Финансовый 10 5 8" xfId="13667" xr:uid="{00000000-0005-0000-0000-000004360000}"/>
    <cellStyle name="Финансовый 10 5 9" xfId="14667" xr:uid="{00000000-0005-0000-0000-000005360000}"/>
    <cellStyle name="Финансовый 10 6" xfId="7017" xr:uid="{00000000-0005-0000-0000-000006360000}"/>
    <cellStyle name="Финансовый 10 7" xfId="8023" xr:uid="{00000000-0005-0000-0000-000007360000}"/>
    <cellStyle name="Финансовый 10 8" xfId="9009" xr:uid="{00000000-0005-0000-0000-000008360000}"/>
    <cellStyle name="Финансовый 10 9" xfId="9995" xr:uid="{00000000-0005-0000-0000-000009360000}"/>
    <cellStyle name="Финансовый 11" xfId="3412" xr:uid="{00000000-0005-0000-0000-00000A360000}"/>
    <cellStyle name="Финансовый 11 10" xfId="10982" xr:uid="{00000000-0005-0000-0000-00000B360000}"/>
    <cellStyle name="Финансовый 11 11" xfId="11968" xr:uid="{00000000-0005-0000-0000-00000C360000}"/>
    <cellStyle name="Финансовый 11 12" xfId="12954" xr:uid="{00000000-0005-0000-0000-00000D360000}"/>
    <cellStyle name="Финансовый 11 13" xfId="13954" xr:uid="{00000000-0005-0000-0000-00000E360000}"/>
    <cellStyle name="Финансовый 11 14" xfId="14940" xr:uid="{00000000-0005-0000-0000-00000F360000}"/>
    <cellStyle name="Финансовый 11 2" xfId="6059" xr:uid="{00000000-0005-0000-0000-000010360000}"/>
    <cellStyle name="Финансовый 11 2 10" xfId="13013" xr:uid="{00000000-0005-0000-0000-000011360000}"/>
    <cellStyle name="Финансовый 11 2 11" xfId="14013" xr:uid="{00000000-0005-0000-0000-000012360000}"/>
    <cellStyle name="Финансовый 11 2 12" xfId="14999" xr:uid="{00000000-0005-0000-0000-000013360000}"/>
    <cellStyle name="Финансовый 11 2 2" xfId="6524" xr:uid="{00000000-0005-0000-0000-000014360000}"/>
    <cellStyle name="Финансовый 11 2 2 10" xfId="15443" xr:uid="{00000000-0005-0000-0000-000015360000}"/>
    <cellStyle name="Финансовый 11 2 2 2" xfId="7521" xr:uid="{00000000-0005-0000-0000-000016360000}"/>
    <cellStyle name="Финансовый 11 2 2 3" xfId="8527" xr:uid="{00000000-0005-0000-0000-000017360000}"/>
    <cellStyle name="Финансовый 11 2 2 4" xfId="9513" xr:uid="{00000000-0005-0000-0000-000018360000}"/>
    <cellStyle name="Финансовый 11 2 2 5" xfId="10499" xr:uid="{00000000-0005-0000-0000-000019360000}"/>
    <cellStyle name="Финансовый 11 2 2 6" xfId="11485" xr:uid="{00000000-0005-0000-0000-00001A360000}"/>
    <cellStyle name="Финансовый 11 2 2 7" xfId="12471" xr:uid="{00000000-0005-0000-0000-00001B360000}"/>
    <cellStyle name="Финансовый 11 2 2 8" xfId="13457" xr:uid="{00000000-0005-0000-0000-00001C360000}"/>
    <cellStyle name="Финансовый 11 2 2 9" xfId="14457" xr:uid="{00000000-0005-0000-0000-00001D360000}"/>
    <cellStyle name="Финансовый 11 2 3" xfId="6794" xr:uid="{00000000-0005-0000-0000-00001E360000}"/>
    <cellStyle name="Финансовый 11 2 3 10" xfId="15713" xr:uid="{00000000-0005-0000-0000-00001F360000}"/>
    <cellStyle name="Финансовый 11 2 3 2" xfId="7791" xr:uid="{00000000-0005-0000-0000-000020360000}"/>
    <cellStyle name="Финансовый 11 2 3 3" xfId="8797" xr:uid="{00000000-0005-0000-0000-000021360000}"/>
    <cellStyle name="Финансовый 11 2 3 4" xfId="9783" xr:uid="{00000000-0005-0000-0000-000022360000}"/>
    <cellStyle name="Финансовый 11 2 3 5" xfId="10769" xr:uid="{00000000-0005-0000-0000-000023360000}"/>
    <cellStyle name="Финансовый 11 2 3 6" xfId="11755" xr:uid="{00000000-0005-0000-0000-000024360000}"/>
    <cellStyle name="Финансовый 11 2 3 7" xfId="12741" xr:uid="{00000000-0005-0000-0000-000025360000}"/>
    <cellStyle name="Финансовый 11 2 3 8" xfId="13727" xr:uid="{00000000-0005-0000-0000-000026360000}"/>
    <cellStyle name="Финансовый 11 2 3 9" xfId="14727" xr:uid="{00000000-0005-0000-0000-000027360000}"/>
    <cellStyle name="Финансовый 11 2 4" xfId="7077" xr:uid="{00000000-0005-0000-0000-000028360000}"/>
    <cellStyle name="Финансовый 11 2 5" xfId="8083" xr:uid="{00000000-0005-0000-0000-000029360000}"/>
    <cellStyle name="Финансовый 11 2 6" xfId="9069" xr:uid="{00000000-0005-0000-0000-00002A360000}"/>
    <cellStyle name="Финансовый 11 2 7" xfId="10055" xr:uid="{00000000-0005-0000-0000-00002B360000}"/>
    <cellStyle name="Финансовый 11 2 8" xfId="11041" xr:uid="{00000000-0005-0000-0000-00002C360000}"/>
    <cellStyle name="Финансовый 11 2 9" xfId="12027" xr:uid="{00000000-0005-0000-0000-00002D360000}"/>
    <cellStyle name="Финансовый 11 3" xfId="6116" xr:uid="{00000000-0005-0000-0000-00002E360000}"/>
    <cellStyle name="Финансовый 11 3 10" xfId="13066" xr:uid="{00000000-0005-0000-0000-00002F360000}"/>
    <cellStyle name="Финансовый 11 3 11" xfId="14066" xr:uid="{00000000-0005-0000-0000-000030360000}"/>
    <cellStyle name="Финансовый 11 3 12" xfId="15052" xr:uid="{00000000-0005-0000-0000-000031360000}"/>
    <cellStyle name="Финансовый 11 3 2" xfId="6577" xr:uid="{00000000-0005-0000-0000-000032360000}"/>
    <cellStyle name="Финансовый 11 3 2 10" xfId="15496" xr:uid="{00000000-0005-0000-0000-000033360000}"/>
    <cellStyle name="Финансовый 11 3 2 2" xfId="7574" xr:uid="{00000000-0005-0000-0000-000034360000}"/>
    <cellStyle name="Финансовый 11 3 2 3" xfId="8580" xr:uid="{00000000-0005-0000-0000-000035360000}"/>
    <cellStyle name="Финансовый 11 3 2 4" xfId="9566" xr:uid="{00000000-0005-0000-0000-000036360000}"/>
    <cellStyle name="Финансовый 11 3 2 5" xfId="10552" xr:uid="{00000000-0005-0000-0000-000037360000}"/>
    <cellStyle name="Финансовый 11 3 2 6" xfId="11538" xr:uid="{00000000-0005-0000-0000-000038360000}"/>
    <cellStyle name="Финансовый 11 3 2 7" xfId="12524" xr:uid="{00000000-0005-0000-0000-000039360000}"/>
    <cellStyle name="Финансовый 11 3 2 8" xfId="13510" xr:uid="{00000000-0005-0000-0000-00003A360000}"/>
    <cellStyle name="Финансовый 11 3 2 9" xfId="14510" xr:uid="{00000000-0005-0000-0000-00003B360000}"/>
    <cellStyle name="Финансовый 11 3 3" xfId="6847" xr:uid="{00000000-0005-0000-0000-00003C360000}"/>
    <cellStyle name="Финансовый 11 3 3 10" xfId="15766" xr:uid="{00000000-0005-0000-0000-00003D360000}"/>
    <cellStyle name="Финансовый 11 3 3 2" xfId="7844" xr:uid="{00000000-0005-0000-0000-00003E360000}"/>
    <cellStyle name="Финансовый 11 3 3 3" xfId="8850" xr:uid="{00000000-0005-0000-0000-00003F360000}"/>
    <cellStyle name="Финансовый 11 3 3 4" xfId="9836" xr:uid="{00000000-0005-0000-0000-000040360000}"/>
    <cellStyle name="Финансовый 11 3 3 5" xfId="10822" xr:uid="{00000000-0005-0000-0000-000041360000}"/>
    <cellStyle name="Финансовый 11 3 3 6" xfId="11808" xr:uid="{00000000-0005-0000-0000-000042360000}"/>
    <cellStyle name="Финансовый 11 3 3 7" xfId="12794" xr:uid="{00000000-0005-0000-0000-000043360000}"/>
    <cellStyle name="Финансовый 11 3 3 8" xfId="13780" xr:uid="{00000000-0005-0000-0000-000044360000}"/>
    <cellStyle name="Финансовый 11 3 3 9" xfId="14780" xr:uid="{00000000-0005-0000-0000-000045360000}"/>
    <cellStyle name="Финансовый 11 3 4" xfId="7130" xr:uid="{00000000-0005-0000-0000-000046360000}"/>
    <cellStyle name="Финансовый 11 3 5" xfId="8136" xr:uid="{00000000-0005-0000-0000-000047360000}"/>
    <cellStyle name="Финансовый 11 3 6" xfId="9122" xr:uid="{00000000-0005-0000-0000-000048360000}"/>
    <cellStyle name="Финансовый 11 3 7" xfId="10108" xr:uid="{00000000-0005-0000-0000-000049360000}"/>
    <cellStyle name="Финансовый 11 3 8" xfId="11094" xr:uid="{00000000-0005-0000-0000-00004A360000}"/>
    <cellStyle name="Финансовый 11 3 9" xfId="12080" xr:uid="{00000000-0005-0000-0000-00004B360000}"/>
    <cellStyle name="Финансовый 11 4" xfId="6465" xr:uid="{00000000-0005-0000-0000-00004C360000}"/>
    <cellStyle name="Финансовый 11 4 10" xfId="15384" xr:uid="{00000000-0005-0000-0000-00004D360000}"/>
    <cellStyle name="Финансовый 11 4 2" xfId="7462" xr:uid="{00000000-0005-0000-0000-00004E360000}"/>
    <cellStyle name="Финансовый 11 4 3" xfId="8468" xr:uid="{00000000-0005-0000-0000-00004F360000}"/>
    <cellStyle name="Финансовый 11 4 4" xfId="9454" xr:uid="{00000000-0005-0000-0000-000050360000}"/>
    <cellStyle name="Финансовый 11 4 5" xfId="10440" xr:uid="{00000000-0005-0000-0000-000051360000}"/>
    <cellStyle name="Финансовый 11 4 6" xfId="11426" xr:uid="{00000000-0005-0000-0000-000052360000}"/>
    <cellStyle name="Финансовый 11 4 7" xfId="12412" xr:uid="{00000000-0005-0000-0000-000053360000}"/>
    <cellStyle name="Финансовый 11 4 8" xfId="13398" xr:uid="{00000000-0005-0000-0000-000054360000}"/>
    <cellStyle name="Финансовый 11 4 9" xfId="14398" xr:uid="{00000000-0005-0000-0000-000055360000}"/>
    <cellStyle name="Финансовый 11 5" xfId="6735" xr:uid="{00000000-0005-0000-0000-000056360000}"/>
    <cellStyle name="Финансовый 11 5 10" xfId="15654" xr:uid="{00000000-0005-0000-0000-000057360000}"/>
    <cellStyle name="Финансовый 11 5 2" xfId="7732" xr:uid="{00000000-0005-0000-0000-000058360000}"/>
    <cellStyle name="Финансовый 11 5 3" xfId="8738" xr:uid="{00000000-0005-0000-0000-000059360000}"/>
    <cellStyle name="Финансовый 11 5 4" xfId="9724" xr:uid="{00000000-0005-0000-0000-00005A360000}"/>
    <cellStyle name="Финансовый 11 5 5" xfId="10710" xr:uid="{00000000-0005-0000-0000-00005B360000}"/>
    <cellStyle name="Финансовый 11 5 6" xfId="11696" xr:uid="{00000000-0005-0000-0000-00005C360000}"/>
    <cellStyle name="Финансовый 11 5 7" xfId="12682" xr:uid="{00000000-0005-0000-0000-00005D360000}"/>
    <cellStyle name="Финансовый 11 5 8" xfId="13668" xr:uid="{00000000-0005-0000-0000-00005E360000}"/>
    <cellStyle name="Финансовый 11 5 9" xfId="14668" xr:uid="{00000000-0005-0000-0000-00005F360000}"/>
    <cellStyle name="Финансовый 11 6" xfId="7018" xr:uid="{00000000-0005-0000-0000-000060360000}"/>
    <cellStyle name="Финансовый 11 7" xfId="8024" xr:uid="{00000000-0005-0000-0000-000061360000}"/>
    <cellStyle name="Финансовый 11 8" xfId="9010" xr:uid="{00000000-0005-0000-0000-000062360000}"/>
    <cellStyle name="Финансовый 11 9" xfId="9996" xr:uid="{00000000-0005-0000-0000-000063360000}"/>
    <cellStyle name="Финансовый 12" xfId="3443" xr:uid="{00000000-0005-0000-0000-000064360000}"/>
    <cellStyle name="Финансовый 13" xfId="6129" xr:uid="{00000000-0005-0000-0000-000065360000}"/>
    <cellStyle name="Финансовый 13 10" xfId="13078" xr:uid="{00000000-0005-0000-0000-000066360000}"/>
    <cellStyle name="Финансовый 13 11" xfId="14078" xr:uid="{00000000-0005-0000-0000-000067360000}"/>
    <cellStyle name="Финансовый 13 12" xfId="15064" xr:uid="{00000000-0005-0000-0000-000068360000}"/>
    <cellStyle name="Финансовый 13 2" xfId="6589" xr:uid="{00000000-0005-0000-0000-000069360000}"/>
    <cellStyle name="Финансовый 13 2 10" xfId="15508" xr:uid="{00000000-0005-0000-0000-00006A360000}"/>
    <cellStyle name="Финансовый 13 2 2" xfId="7586" xr:uid="{00000000-0005-0000-0000-00006B360000}"/>
    <cellStyle name="Финансовый 13 2 3" xfId="8592" xr:uid="{00000000-0005-0000-0000-00006C360000}"/>
    <cellStyle name="Финансовый 13 2 4" xfId="9578" xr:uid="{00000000-0005-0000-0000-00006D360000}"/>
    <cellStyle name="Финансовый 13 2 5" xfId="10564" xr:uid="{00000000-0005-0000-0000-00006E360000}"/>
    <cellStyle name="Финансовый 13 2 6" xfId="11550" xr:uid="{00000000-0005-0000-0000-00006F360000}"/>
    <cellStyle name="Финансовый 13 2 7" xfId="12536" xr:uid="{00000000-0005-0000-0000-000070360000}"/>
    <cellStyle name="Финансовый 13 2 8" xfId="13522" xr:uid="{00000000-0005-0000-0000-000071360000}"/>
    <cellStyle name="Финансовый 13 2 9" xfId="14522" xr:uid="{00000000-0005-0000-0000-000072360000}"/>
    <cellStyle name="Финансовый 13 3" xfId="6859" xr:uid="{00000000-0005-0000-0000-000073360000}"/>
    <cellStyle name="Финансовый 13 3 10" xfId="15778" xr:uid="{00000000-0005-0000-0000-000074360000}"/>
    <cellStyle name="Финансовый 13 3 2" xfId="7856" xr:uid="{00000000-0005-0000-0000-000075360000}"/>
    <cellStyle name="Финансовый 13 3 3" xfId="8862" xr:uid="{00000000-0005-0000-0000-000076360000}"/>
    <cellStyle name="Финансовый 13 3 4" xfId="9848" xr:uid="{00000000-0005-0000-0000-000077360000}"/>
    <cellStyle name="Финансовый 13 3 5" xfId="10834" xr:uid="{00000000-0005-0000-0000-000078360000}"/>
    <cellStyle name="Финансовый 13 3 6" xfId="11820" xr:uid="{00000000-0005-0000-0000-000079360000}"/>
    <cellStyle name="Финансовый 13 3 7" xfId="12806" xr:uid="{00000000-0005-0000-0000-00007A360000}"/>
    <cellStyle name="Финансовый 13 3 8" xfId="13792" xr:uid="{00000000-0005-0000-0000-00007B360000}"/>
    <cellStyle name="Финансовый 13 3 9" xfId="14792" xr:uid="{00000000-0005-0000-0000-00007C360000}"/>
    <cellStyle name="Финансовый 13 4" xfId="7142" xr:uid="{00000000-0005-0000-0000-00007D360000}"/>
    <cellStyle name="Финансовый 13 5" xfId="8148" xr:uid="{00000000-0005-0000-0000-00007E360000}"/>
    <cellStyle name="Финансовый 13 6" xfId="9134" xr:uid="{00000000-0005-0000-0000-00007F360000}"/>
    <cellStyle name="Финансовый 13 7" xfId="10120" xr:uid="{00000000-0005-0000-0000-000080360000}"/>
    <cellStyle name="Финансовый 13 8" xfId="11106" xr:uid="{00000000-0005-0000-0000-000081360000}"/>
    <cellStyle name="Финансовый 13 9" xfId="12092" xr:uid="{00000000-0005-0000-0000-000082360000}"/>
    <cellStyle name="Финансовый 14" xfId="6132" xr:uid="{00000000-0005-0000-0000-000083360000}"/>
    <cellStyle name="Финансовый 14 10" xfId="13081" xr:uid="{00000000-0005-0000-0000-000084360000}"/>
    <cellStyle name="Финансовый 14 11" xfId="14081" xr:uid="{00000000-0005-0000-0000-000085360000}"/>
    <cellStyle name="Финансовый 14 12" xfId="15067" xr:uid="{00000000-0005-0000-0000-000086360000}"/>
    <cellStyle name="Финансовый 14 2" xfId="6592" xr:uid="{00000000-0005-0000-0000-000087360000}"/>
    <cellStyle name="Финансовый 14 2 10" xfId="15511" xr:uid="{00000000-0005-0000-0000-000088360000}"/>
    <cellStyle name="Финансовый 14 2 2" xfId="7589" xr:uid="{00000000-0005-0000-0000-000089360000}"/>
    <cellStyle name="Финансовый 14 2 3" xfId="8595" xr:uid="{00000000-0005-0000-0000-00008A360000}"/>
    <cellStyle name="Финансовый 14 2 4" xfId="9581" xr:uid="{00000000-0005-0000-0000-00008B360000}"/>
    <cellStyle name="Финансовый 14 2 5" xfId="10567" xr:uid="{00000000-0005-0000-0000-00008C360000}"/>
    <cellStyle name="Финансовый 14 2 6" xfId="11553" xr:uid="{00000000-0005-0000-0000-00008D360000}"/>
    <cellStyle name="Финансовый 14 2 7" xfId="12539" xr:uid="{00000000-0005-0000-0000-00008E360000}"/>
    <cellStyle name="Финансовый 14 2 8" xfId="13525" xr:uid="{00000000-0005-0000-0000-00008F360000}"/>
    <cellStyle name="Финансовый 14 2 9" xfId="14525" xr:uid="{00000000-0005-0000-0000-000090360000}"/>
    <cellStyle name="Финансовый 14 3" xfId="6862" xr:uid="{00000000-0005-0000-0000-000091360000}"/>
    <cellStyle name="Финансовый 14 3 10" xfId="15781" xr:uid="{00000000-0005-0000-0000-000092360000}"/>
    <cellStyle name="Финансовый 14 3 2" xfId="7859" xr:uid="{00000000-0005-0000-0000-000093360000}"/>
    <cellStyle name="Финансовый 14 3 3" xfId="8865" xr:uid="{00000000-0005-0000-0000-000094360000}"/>
    <cellStyle name="Финансовый 14 3 4" xfId="9851" xr:uid="{00000000-0005-0000-0000-000095360000}"/>
    <cellStyle name="Финансовый 14 3 5" xfId="10837" xr:uid="{00000000-0005-0000-0000-000096360000}"/>
    <cellStyle name="Финансовый 14 3 6" xfId="11823" xr:uid="{00000000-0005-0000-0000-000097360000}"/>
    <cellStyle name="Финансовый 14 3 7" xfId="12809" xr:uid="{00000000-0005-0000-0000-000098360000}"/>
    <cellStyle name="Финансовый 14 3 8" xfId="13795" xr:uid="{00000000-0005-0000-0000-000099360000}"/>
    <cellStyle name="Финансовый 14 3 9" xfId="14795" xr:uid="{00000000-0005-0000-0000-00009A360000}"/>
    <cellStyle name="Финансовый 14 4" xfId="7145" xr:uid="{00000000-0005-0000-0000-00009B360000}"/>
    <cellStyle name="Финансовый 14 5" xfId="8151" xr:uid="{00000000-0005-0000-0000-00009C360000}"/>
    <cellStyle name="Финансовый 14 6" xfId="9137" xr:uid="{00000000-0005-0000-0000-00009D360000}"/>
    <cellStyle name="Финансовый 14 7" xfId="10123" xr:uid="{00000000-0005-0000-0000-00009E360000}"/>
    <cellStyle name="Финансовый 14 8" xfId="11109" xr:uid="{00000000-0005-0000-0000-00009F360000}"/>
    <cellStyle name="Финансовый 14 9" xfId="12095" xr:uid="{00000000-0005-0000-0000-0000A0360000}"/>
    <cellStyle name="Финансовый 15" xfId="6134" xr:uid="{00000000-0005-0000-0000-0000A1360000}"/>
    <cellStyle name="Финансовый 15 10" xfId="11111" xr:uid="{00000000-0005-0000-0000-0000A2360000}"/>
    <cellStyle name="Финансовый 15 11" xfId="12097" xr:uid="{00000000-0005-0000-0000-0000A3360000}"/>
    <cellStyle name="Финансовый 15 12" xfId="13083" xr:uid="{00000000-0005-0000-0000-0000A4360000}"/>
    <cellStyle name="Финансовый 15 13" xfId="14083" xr:uid="{00000000-0005-0000-0000-0000A5360000}"/>
    <cellStyle name="Финансовый 15 14" xfId="15069" xr:uid="{00000000-0005-0000-0000-0000A6360000}"/>
    <cellStyle name="Финансовый 15 2" xfId="6138" xr:uid="{00000000-0005-0000-0000-0000A7360000}"/>
    <cellStyle name="Финансовый 15 2 10" xfId="12101" xr:uid="{00000000-0005-0000-0000-0000A8360000}"/>
    <cellStyle name="Финансовый 15 2 11" xfId="13087" xr:uid="{00000000-0005-0000-0000-0000A9360000}"/>
    <cellStyle name="Финансовый 15 2 12" xfId="14087" xr:uid="{00000000-0005-0000-0000-0000AA360000}"/>
    <cellStyle name="Финансовый 15 2 13" xfId="15073" xr:uid="{00000000-0005-0000-0000-0000AB360000}"/>
    <cellStyle name="Финансовый 15 2 2" xfId="6151" xr:uid="{00000000-0005-0000-0000-0000AC360000}"/>
    <cellStyle name="Финансовый 15 2 2 10" xfId="12112" xr:uid="{00000000-0005-0000-0000-0000AD360000}"/>
    <cellStyle name="Финансовый 15 2 2 11" xfId="13098" xr:uid="{00000000-0005-0000-0000-0000AE360000}"/>
    <cellStyle name="Финансовый 15 2 2 12" xfId="14098" xr:uid="{00000000-0005-0000-0000-0000AF360000}"/>
    <cellStyle name="Финансовый 15 2 2 13" xfId="15084" xr:uid="{00000000-0005-0000-0000-0000B0360000}"/>
    <cellStyle name="Финансовый 15 2 2 2" xfId="6186" xr:uid="{00000000-0005-0000-0000-0000B1360000}"/>
    <cellStyle name="Финансовый 15 2 2 2 10" xfId="13123" xr:uid="{00000000-0005-0000-0000-0000B2360000}"/>
    <cellStyle name="Финансовый 15 2 2 2 11" xfId="14123" xr:uid="{00000000-0005-0000-0000-0000B3360000}"/>
    <cellStyle name="Финансовый 15 2 2 2 12" xfId="15109" xr:uid="{00000000-0005-0000-0000-0000B4360000}"/>
    <cellStyle name="Финансовый 15 2 2 2 2" xfId="6634" xr:uid="{00000000-0005-0000-0000-0000B5360000}"/>
    <cellStyle name="Финансовый 15 2 2 2 2 10" xfId="15553" xr:uid="{00000000-0005-0000-0000-0000B6360000}"/>
    <cellStyle name="Финансовый 15 2 2 2 2 2" xfId="7631" xr:uid="{00000000-0005-0000-0000-0000B7360000}"/>
    <cellStyle name="Финансовый 15 2 2 2 2 3" xfId="8637" xr:uid="{00000000-0005-0000-0000-0000B8360000}"/>
    <cellStyle name="Финансовый 15 2 2 2 2 4" xfId="9623" xr:uid="{00000000-0005-0000-0000-0000B9360000}"/>
    <cellStyle name="Финансовый 15 2 2 2 2 5" xfId="10609" xr:uid="{00000000-0005-0000-0000-0000BA360000}"/>
    <cellStyle name="Финансовый 15 2 2 2 2 6" xfId="11595" xr:uid="{00000000-0005-0000-0000-0000BB360000}"/>
    <cellStyle name="Финансовый 15 2 2 2 2 7" xfId="12581" xr:uid="{00000000-0005-0000-0000-0000BC360000}"/>
    <cellStyle name="Финансовый 15 2 2 2 2 8" xfId="13567" xr:uid="{00000000-0005-0000-0000-0000BD360000}"/>
    <cellStyle name="Финансовый 15 2 2 2 2 9" xfId="14567" xr:uid="{00000000-0005-0000-0000-0000BE360000}"/>
    <cellStyle name="Финансовый 15 2 2 2 3" xfId="6904" xr:uid="{00000000-0005-0000-0000-0000BF360000}"/>
    <cellStyle name="Финансовый 15 2 2 2 3 10" xfId="15823" xr:uid="{00000000-0005-0000-0000-0000C0360000}"/>
    <cellStyle name="Финансовый 15 2 2 2 3 2" xfId="7901" xr:uid="{00000000-0005-0000-0000-0000C1360000}"/>
    <cellStyle name="Финансовый 15 2 2 2 3 3" xfId="8907" xr:uid="{00000000-0005-0000-0000-0000C2360000}"/>
    <cellStyle name="Финансовый 15 2 2 2 3 4" xfId="9893" xr:uid="{00000000-0005-0000-0000-0000C3360000}"/>
    <cellStyle name="Финансовый 15 2 2 2 3 5" xfId="10879" xr:uid="{00000000-0005-0000-0000-0000C4360000}"/>
    <cellStyle name="Финансовый 15 2 2 2 3 6" xfId="11865" xr:uid="{00000000-0005-0000-0000-0000C5360000}"/>
    <cellStyle name="Финансовый 15 2 2 2 3 7" xfId="12851" xr:uid="{00000000-0005-0000-0000-0000C6360000}"/>
    <cellStyle name="Финансовый 15 2 2 2 3 8" xfId="13837" xr:uid="{00000000-0005-0000-0000-0000C7360000}"/>
    <cellStyle name="Финансовый 15 2 2 2 3 9" xfId="14837" xr:uid="{00000000-0005-0000-0000-0000C8360000}"/>
    <cellStyle name="Финансовый 15 2 2 2 4" xfId="7187" xr:uid="{00000000-0005-0000-0000-0000C9360000}"/>
    <cellStyle name="Финансовый 15 2 2 2 5" xfId="8193" xr:uid="{00000000-0005-0000-0000-0000CA360000}"/>
    <cellStyle name="Финансовый 15 2 2 2 6" xfId="9179" xr:uid="{00000000-0005-0000-0000-0000CB360000}"/>
    <cellStyle name="Финансовый 15 2 2 2 7" xfId="10165" xr:uid="{00000000-0005-0000-0000-0000CC360000}"/>
    <cellStyle name="Финансовый 15 2 2 2 8" xfId="11151" xr:uid="{00000000-0005-0000-0000-0000CD360000}"/>
    <cellStyle name="Финансовый 15 2 2 2 9" xfId="12137" xr:uid="{00000000-0005-0000-0000-0000CE360000}"/>
    <cellStyle name="Финансовый 15 2 2 3" xfId="6609" xr:uid="{00000000-0005-0000-0000-0000CF360000}"/>
    <cellStyle name="Финансовый 15 2 2 3 10" xfId="15528" xr:uid="{00000000-0005-0000-0000-0000D0360000}"/>
    <cellStyle name="Финансовый 15 2 2 3 2" xfId="7606" xr:uid="{00000000-0005-0000-0000-0000D1360000}"/>
    <cellStyle name="Финансовый 15 2 2 3 3" xfId="8612" xr:uid="{00000000-0005-0000-0000-0000D2360000}"/>
    <cellStyle name="Финансовый 15 2 2 3 4" xfId="9598" xr:uid="{00000000-0005-0000-0000-0000D3360000}"/>
    <cellStyle name="Финансовый 15 2 2 3 5" xfId="10584" xr:uid="{00000000-0005-0000-0000-0000D4360000}"/>
    <cellStyle name="Финансовый 15 2 2 3 6" xfId="11570" xr:uid="{00000000-0005-0000-0000-0000D5360000}"/>
    <cellStyle name="Финансовый 15 2 2 3 7" xfId="12556" xr:uid="{00000000-0005-0000-0000-0000D6360000}"/>
    <cellStyle name="Финансовый 15 2 2 3 8" xfId="13542" xr:uid="{00000000-0005-0000-0000-0000D7360000}"/>
    <cellStyle name="Финансовый 15 2 2 3 9" xfId="14542" xr:uid="{00000000-0005-0000-0000-0000D8360000}"/>
    <cellStyle name="Финансовый 15 2 2 4" xfId="6879" xr:uid="{00000000-0005-0000-0000-0000D9360000}"/>
    <cellStyle name="Финансовый 15 2 2 4 10" xfId="15798" xr:uid="{00000000-0005-0000-0000-0000DA360000}"/>
    <cellStyle name="Финансовый 15 2 2 4 2" xfId="7876" xr:uid="{00000000-0005-0000-0000-0000DB360000}"/>
    <cellStyle name="Финансовый 15 2 2 4 3" xfId="8882" xr:uid="{00000000-0005-0000-0000-0000DC360000}"/>
    <cellStyle name="Финансовый 15 2 2 4 4" xfId="9868" xr:uid="{00000000-0005-0000-0000-0000DD360000}"/>
    <cellStyle name="Финансовый 15 2 2 4 5" xfId="10854" xr:uid="{00000000-0005-0000-0000-0000DE360000}"/>
    <cellStyle name="Финансовый 15 2 2 4 6" xfId="11840" xr:uid="{00000000-0005-0000-0000-0000DF360000}"/>
    <cellStyle name="Финансовый 15 2 2 4 7" xfId="12826" xr:uid="{00000000-0005-0000-0000-0000E0360000}"/>
    <cellStyle name="Финансовый 15 2 2 4 8" xfId="13812" xr:uid="{00000000-0005-0000-0000-0000E1360000}"/>
    <cellStyle name="Финансовый 15 2 2 4 9" xfId="14812" xr:uid="{00000000-0005-0000-0000-0000E2360000}"/>
    <cellStyle name="Финансовый 15 2 2 5" xfId="7162" xr:uid="{00000000-0005-0000-0000-0000E3360000}"/>
    <cellStyle name="Финансовый 15 2 2 6" xfId="8168" xr:uid="{00000000-0005-0000-0000-0000E4360000}"/>
    <cellStyle name="Финансовый 15 2 2 7" xfId="9154" xr:uid="{00000000-0005-0000-0000-0000E5360000}"/>
    <cellStyle name="Финансовый 15 2 2 8" xfId="10140" xr:uid="{00000000-0005-0000-0000-0000E6360000}"/>
    <cellStyle name="Финансовый 15 2 2 9" xfId="11126" xr:uid="{00000000-0005-0000-0000-0000E7360000}"/>
    <cellStyle name="Финансовый 15 2 3" xfId="6598" xr:uid="{00000000-0005-0000-0000-0000E8360000}"/>
    <cellStyle name="Финансовый 15 2 3 10" xfId="15517" xr:uid="{00000000-0005-0000-0000-0000E9360000}"/>
    <cellStyle name="Финансовый 15 2 3 2" xfId="7595" xr:uid="{00000000-0005-0000-0000-0000EA360000}"/>
    <cellStyle name="Финансовый 15 2 3 3" xfId="8601" xr:uid="{00000000-0005-0000-0000-0000EB360000}"/>
    <cellStyle name="Финансовый 15 2 3 4" xfId="9587" xr:uid="{00000000-0005-0000-0000-0000EC360000}"/>
    <cellStyle name="Финансовый 15 2 3 5" xfId="10573" xr:uid="{00000000-0005-0000-0000-0000ED360000}"/>
    <cellStyle name="Финансовый 15 2 3 6" xfId="11559" xr:uid="{00000000-0005-0000-0000-0000EE360000}"/>
    <cellStyle name="Финансовый 15 2 3 7" xfId="12545" xr:uid="{00000000-0005-0000-0000-0000EF360000}"/>
    <cellStyle name="Финансовый 15 2 3 8" xfId="13531" xr:uid="{00000000-0005-0000-0000-0000F0360000}"/>
    <cellStyle name="Финансовый 15 2 3 9" xfId="14531" xr:uid="{00000000-0005-0000-0000-0000F1360000}"/>
    <cellStyle name="Финансовый 15 2 4" xfId="6868" xr:uid="{00000000-0005-0000-0000-0000F2360000}"/>
    <cellStyle name="Финансовый 15 2 4 10" xfId="15787" xr:uid="{00000000-0005-0000-0000-0000F3360000}"/>
    <cellStyle name="Финансовый 15 2 4 2" xfId="7865" xr:uid="{00000000-0005-0000-0000-0000F4360000}"/>
    <cellStyle name="Финансовый 15 2 4 3" xfId="8871" xr:uid="{00000000-0005-0000-0000-0000F5360000}"/>
    <cellStyle name="Финансовый 15 2 4 4" xfId="9857" xr:uid="{00000000-0005-0000-0000-0000F6360000}"/>
    <cellStyle name="Финансовый 15 2 4 5" xfId="10843" xr:uid="{00000000-0005-0000-0000-0000F7360000}"/>
    <cellStyle name="Финансовый 15 2 4 6" xfId="11829" xr:uid="{00000000-0005-0000-0000-0000F8360000}"/>
    <cellStyle name="Финансовый 15 2 4 7" xfId="12815" xr:uid="{00000000-0005-0000-0000-0000F9360000}"/>
    <cellStyle name="Финансовый 15 2 4 8" xfId="13801" xr:uid="{00000000-0005-0000-0000-0000FA360000}"/>
    <cellStyle name="Финансовый 15 2 4 9" xfId="14801" xr:uid="{00000000-0005-0000-0000-0000FB360000}"/>
    <cellStyle name="Финансовый 15 2 5" xfId="7151" xr:uid="{00000000-0005-0000-0000-0000FC360000}"/>
    <cellStyle name="Финансовый 15 2 6" xfId="8157" xr:uid="{00000000-0005-0000-0000-0000FD360000}"/>
    <cellStyle name="Финансовый 15 2 7" xfId="9143" xr:uid="{00000000-0005-0000-0000-0000FE360000}"/>
    <cellStyle name="Финансовый 15 2 8" xfId="10129" xr:uid="{00000000-0005-0000-0000-0000FF360000}"/>
    <cellStyle name="Финансовый 15 2 9" xfId="11115" xr:uid="{00000000-0005-0000-0000-000000370000}"/>
    <cellStyle name="Финансовый 15 3" xfId="6139" xr:uid="{00000000-0005-0000-0000-000001370000}"/>
    <cellStyle name="Финансовый 15 3 10" xfId="11116" xr:uid="{00000000-0005-0000-0000-000002370000}"/>
    <cellStyle name="Финансовый 15 3 11" xfId="12102" xr:uid="{00000000-0005-0000-0000-000003370000}"/>
    <cellStyle name="Финансовый 15 3 12" xfId="13088" xr:uid="{00000000-0005-0000-0000-000004370000}"/>
    <cellStyle name="Финансовый 15 3 13" xfId="14088" xr:uid="{00000000-0005-0000-0000-000005370000}"/>
    <cellStyle name="Финансовый 15 3 14" xfId="15074" xr:uid="{00000000-0005-0000-0000-000006370000}"/>
    <cellStyle name="Финансовый 15 3 2" xfId="6149" xr:uid="{00000000-0005-0000-0000-000007370000}"/>
    <cellStyle name="Финансовый 15 3 3" xfId="6234" xr:uid="{00000000-0005-0000-0000-000008370000}"/>
    <cellStyle name="Финансовый 15 3 3 10" xfId="13167" xr:uid="{00000000-0005-0000-0000-000009370000}"/>
    <cellStyle name="Финансовый 15 3 3 11" xfId="14167" xr:uid="{00000000-0005-0000-0000-00000A370000}"/>
    <cellStyle name="Финансовый 15 3 3 12" xfId="15153" xr:uid="{00000000-0005-0000-0000-00000B370000}"/>
    <cellStyle name="Финансовый 15 3 3 2" xfId="6678" xr:uid="{00000000-0005-0000-0000-00000C370000}"/>
    <cellStyle name="Финансовый 15 3 3 2 10" xfId="15597" xr:uid="{00000000-0005-0000-0000-00000D370000}"/>
    <cellStyle name="Финансовый 15 3 3 2 2" xfId="7675" xr:uid="{00000000-0005-0000-0000-00000E370000}"/>
    <cellStyle name="Финансовый 15 3 3 2 3" xfId="8681" xr:uid="{00000000-0005-0000-0000-00000F370000}"/>
    <cellStyle name="Финансовый 15 3 3 2 4" xfId="9667" xr:uid="{00000000-0005-0000-0000-000010370000}"/>
    <cellStyle name="Финансовый 15 3 3 2 5" xfId="10653" xr:uid="{00000000-0005-0000-0000-000011370000}"/>
    <cellStyle name="Финансовый 15 3 3 2 6" xfId="11639" xr:uid="{00000000-0005-0000-0000-000012370000}"/>
    <cellStyle name="Финансовый 15 3 3 2 7" xfId="12625" xr:uid="{00000000-0005-0000-0000-000013370000}"/>
    <cellStyle name="Финансовый 15 3 3 2 8" xfId="13611" xr:uid="{00000000-0005-0000-0000-000014370000}"/>
    <cellStyle name="Финансовый 15 3 3 2 9" xfId="14611" xr:uid="{00000000-0005-0000-0000-000015370000}"/>
    <cellStyle name="Финансовый 15 3 3 3" xfId="6948" xr:uid="{00000000-0005-0000-0000-000016370000}"/>
    <cellStyle name="Финансовый 15 3 3 3 10" xfId="15867" xr:uid="{00000000-0005-0000-0000-000017370000}"/>
    <cellStyle name="Финансовый 15 3 3 3 2" xfId="7945" xr:uid="{00000000-0005-0000-0000-000018370000}"/>
    <cellStyle name="Финансовый 15 3 3 3 3" xfId="8951" xr:uid="{00000000-0005-0000-0000-000019370000}"/>
    <cellStyle name="Финансовый 15 3 3 3 4" xfId="9937" xr:uid="{00000000-0005-0000-0000-00001A370000}"/>
    <cellStyle name="Финансовый 15 3 3 3 5" xfId="10923" xr:uid="{00000000-0005-0000-0000-00001B370000}"/>
    <cellStyle name="Финансовый 15 3 3 3 6" xfId="11909" xr:uid="{00000000-0005-0000-0000-00001C370000}"/>
    <cellStyle name="Финансовый 15 3 3 3 7" xfId="12895" xr:uid="{00000000-0005-0000-0000-00001D370000}"/>
    <cellStyle name="Финансовый 15 3 3 3 8" xfId="13881" xr:uid="{00000000-0005-0000-0000-00001E370000}"/>
    <cellStyle name="Финансовый 15 3 3 3 9" xfId="14881" xr:uid="{00000000-0005-0000-0000-00001F370000}"/>
    <cellStyle name="Финансовый 15 3 3 4" xfId="7231" xr:uid="{00000000-0005-0000-0000-000020370000}"/>
    <cellStyle name="Финансовый 15 3 3 5" xfId="8237" xr:uid="{00000000-0005-0000-0000-000021370000}"/>
    <cellStyle name="Финансовый 15 3 3 6" xfId="9223" xr:uid="{00000000-0005-0000-0000-000022370000}"/>
    <cellStyle name="Финансовый 15 3 3 7" xfId="10209" xr:uid="{00000000-0005-0000-0000-000023370000}"/>
    <cellStyle name="Финансовый 15 3 3 8" xfId="11195" xr:uid="{00000000-0005-0000-0000-000024370000}"/>
    <cellStyle name="Финансовый 15 3 3 9" xfId="12181" xr:uid="{00000000-0005-0000-0000-000025370000}"/>
    <cellStyle name="Финансовый 15 3 4" xfId="6599" xr:uid="{00000000-0005-0000-0000-000026370000}"/>
    <cellStyle name="Финансовый 15 3 4 10" xfId="15518" xr:uid="{00000000-0005-0000-0000-000027370000}"/>
    <cellStyle name="Финансовый 15 3 4 2" xfId="7596" xr:uid="{00000000-0005-0000-0000-000028370000}"/>
    <cellStyle name="Финансовый 15 3 4 3" xfId="8602" xr:uid="{00000000-0005-0000-0000-000029370000}"/>
    <cellStyle name="Финансовый 15 3 4 4" xfId="9588" xr:uid="{00000000-0005-0000-0000-00002A370000}"/>
    <cellStyle name="Финансовый 15 3 4 5" xfId="10574" xr:uid="{00000000-0005-0000-0000-00002B370000}"/>
    <cellStyle name="Финансовый 15 3 4 6" xfId="11560" xr:uid="{00000000-0005-0000-0000-00002C370000}"/>
    <cellStyle name="Финансовый 15 3 4 7" xfId="12546" xr:uid="{00000000-0005-0000-0000-00002D370000}"/>
    <cellStyle name="Финансовый 15 3 4 8" xfId="13532" xr:uid="{00000000-0005-0000-0000-00002E370000}"/>
    <cellStyle name="Финансовый 15 3 4 9" xfId="14532" xr:uid="{00000000-0005-0000-0000-00002F370000}"/>
    <cellStyle name="Финансовый 15 3 5" xfId="6869" xr:uid="{00000000-0005-0000-0000-000030370000}"/>
    <cellStyle name="Финансовый 15 3 5 10" xfId="15788" xr:uid="{00000000-0005-0000-0000-000031370000}"/>
    <cellStyle name="Финансовый 15 3 5 2" xfId="7866" xr:uid="{00000000-0005-0000-0000-000032370000}"/>
    <cellStyle name="Финансовый 15 3 5 3" xfId="8872" xr:uid="{00000000-0005-0000-0000-000033370000}"/>
    <cellStyle name="Финансовый 15 3 5 4" xfId="9858" xr:uid="{00000000-0005-0000-0000-000034370000}"/>
    <cellStyle name="Финансовый 15 3 5 5" xfId="10844" xr:uid="{00000000-0005-0000-0000-000035370000}"/>
    <cellStyle name="Финансовый 15 3 5 6" xfId="11830" xr:uid="{00000000-0005-0000-0000-000036370000}"/>
    <cellStyle name="Финансовый 15 3 5 7" xfId="12816" xr:uid="{00000000-0005-0000-0000-000037370000}"/>
    <cellStyle name="Финансовый 15 3 5 8" xfId="13802" xr:uid="{00000000-0005-0000-0000-000038370000}"/>
    <cellStyle name="Финансовый 15 3 5 9" xfId="14802" xr:uid="{00000000-0005-0000-0000-000039370000}"/>
    <cellStyle name="Финансовый 15 3 6" xfId="7152" xr:uid="{00000000-0005-0000-0000-00003A370000}"/>
    <cellStyle name="Финансовый 15 3 7" xfId="8158" xr:uid="{00000000-0005-0000-0000-00003B370000}"/>
    <cellStyle name="Финансовый 15 3 8" xfId="9144" xr:uid="{00000000-0005-0000-0000-00003C370000}"/>
    <cellStyle name="Финансовый 15 3 9" xfId="10130" xr:uid="{00000000-0005-0000-0000-00003D370000}"/>
    <cellStyle name="Финансовый 15 4" xfId="6594" xr:uid="{00000000-0005-0000-0000-00003E370000}"/>
    <cellStyle name="Финансовый 15 4 10" xfId="15513" xr:uid="{00000000-0005-0000-0000-00003F370000}"/>
    <cellStyle name="Финансовый 15 4 2" xfId="7591" xr:uid="{00000000-0005-0000-0000-000040370000}"/>
    <cellStyle name="Финансовый 15 4 3" xfId="8597" xr:uid="{00000000-0005-0000-0000-000041370000}"/>
    <cellStyle name="Финансовый 15 4 4" xfId="9583" xr:uid="{00000000-0005-0000-0000-000042370000}"/>
    <cellStyle name="Финансовый 15 4 5" xfId="10569" xr:uid="{00000000-0005-0000-0000-000043370000}"/>
    <cellStyle name="Финансовый 15 4 6" xfId="11555" xr:uid="{00000000-0005-0000-0000-000044370000}"/>
    <cellStyle name="Финансовый 15 4 7" xfId="12541" xr:uid="{00000000-0005-0000-0000-000045370000}"/>
    <cellStyle name="Финансовый 15 4 8" xfId="13527" xr:uid="{00000000-0005-0000-0000-000046370000}"/>
    <cellStyle name="Финансовый 15 4 9" xfId="14527" xr:uid="{00000000-0005-0000-0000-000047370000}"/>
    <cellStyle name="Финансовый 15 5" xfId="6864" xr:uid="{00000000-0005-0000-0000-000048370000}"/>
    <cellStyle name="Финансовый 15 5 10" xfId="15783" xr:uid="{00000000-0005-0000-0000-000049370000}"/>
    <cellStyle name="Финансовый 15 5 2" xfId="7861" xr:uid="{00000000-0005-0000-0000-00004A370000}"/>
    <cellStyle name="Финансовый 15 5 3" xfId="8867" xr:uid="{00000000-0005-0000-0000-00004B370000}"/>
    <cellStyle name="Финансовый 15 5 4" xfId="9853" xr:uid="{00000000-0005-0000-0000-00004C370000}"/>
    <cellStyle name="Финансовый 15 5 5" xfId="10839" xr:uid="{00000000-0005-0000-0000-00004D370000}"/>
    <cellStyle name="Финансовый 15 5 6" xfId="11825" xr:uid="{00000000-0005-0000-0000-00004E370000}"/>
    <cellStyle name="Финансовый 15 5 7" xfId="12811" xr:uid="{00000000-0005-0000-0000-00004F370000}"/>
    <cellStyle name="Финансовый 15 5 8" xfId="13797" xr:uid="{00000000-0005-0000-0000-000050370000}"/>
    <cellStyle name="Финансовый 15 5 9" xfId="14797" xr:uid="{00000000-0005-0000-0000-000051370000}"/>
    <cellStyle name="Финансовый 15 6" xfId="7147" xr:uid="{00000000-0005-0000-0000-000052370000}"/>
    <cellStyle name="Финансовый 15 7" xfId="8153" xr:uid="{00000000-0005-0000-0000-000053370000}"/>
    <cellStyle name="Финансовый 15 8" xfId="9139" xr:uid="{00000000-0005-0000-0000-000054370000}"/>
    <cellStyle name="Финансовый 15 9" xfId="10125" xr:uid="{00000000-0005-0000-0000-000055370000}"/>
    <cellStyle name="Финансовый 16" xfId="6187" xr:uid="{00000000-0005-0000-0000-000056370000}"/>
    <cellStyle name="Финансовый 16 10" xfId="12138" xr:uid="{00000000-0005-0000-0000-000057370000}"/>
    <cellStyle name="Финансовый 16 11" xfId="13124" xr:uid="{00000000-0005-0000-0000-000058370000}"/>
    <cellStyle name="Финансовый 16 12" xfId="14124" xr:uid="{00000000-0005-0000-0000-000059370000}"/>
    <cellStyle name="Финансовый 16 13" xfId="15110" xr:uid="{00000000-0005-0000-0000-00005A370000}"/>
    <cellStyle name="Финансовый 16 2" xfId="6140" xr:uid="{00000000-0005-0000-0000-00005B370000}"/>
    <cellStyle name="Финансовый 16 2 10" xfId="6870" xr:uid="{00000000-0005-0000-0000-00005C370000}"/>
    <cellStyle name="Финансовый 16 2 10 10" xfId="15789" xr:uid="{00000000-0005-0000-0000-00005D370000}"/>
    <cellStyle name="Финансовый 16 2 10 2" xfId="7867" xr:uid="{00000000-0005-0000-0000-00005E370000}"/>
    <cellStyle name="Финансовый 16 2 10 3" xfId="8873" xr:uid="{00000000-0005-0000-0000-00005F370000}"/>
    <cellStyle name="Финансовый 16 2 10 4" xfId="9859" xr:uid="{00000000-0005-0000-0000-000060370000}"/>
    <cellStyle name="Финансовый 16 2 10 5" xfId="10845" xr:uid="{00000000-0005-0000-0000-000061370000}"/>
    <cellStyle name="Финансовый 16 2 10 6" xfId="11831" xr:uid="{00000000-0005-0000-0000-000062370000}"/>
    <cellStyle name="Финансовый 16 2 10 7" xfId="12817" xr:uid="{00000000-0005-0000-0000-000063370000}"/>
    <cellStyle name="Финансовый 16 2 10 8" xfId="13803" xr:uid="{00000000-0005-0000-0000-000064370000}"/>
    <cellStyle name="Финансовый 16 2 10 9" xfId="14803" xr:uid="{00000000-0005-0000-0000-000065370000}"/>
    <cellStyle name="Финансовый 16 2 11" xfId="7153" xr:uid="{00000000-0005-0000-0000-000066370000}"/>
    <cellStyle name="Финансовый 16 2 12" xfId="8159" xr:uid="{00000000-0005-0000-0000-000067370000}"/>
    <cellStyle name="Финансовый 16 2 13" xfId="9145" xr:uid="{00000000-0005-0000-0000-000068370000}"/>
    <cellStyle name="Финансовый 16 2 14" xfId="10131" xr:uid="{00000000-0005-0000-0000-000069370000}"/>
    <cellStyle name="Финансовый 16 2 15" xfId="11117" xr:uid="{00000000-0005-0000-0000-00006A370000}"/>
    <cellStyle name="Финансовый 16 2 16" xfId="12103" xr:uid="{00000000-0005-0000-0000-00006B370000}"/>
    <cellStyle name="Финансовый 16 2 17" xfId="13089" xr:uid="{00000000-0005-0000-0000-00006C370000}"/>
    <cellStyle name="Финансовый 16 2 18" xfId="14089" xr:uid="{00000000-0005-0000-0000-00006D370000}"/>
    <cellStyle name="Финансовый 16 2 19" xfId="15075" xr:uid="{00000000-0005-0000-0000-00006E370000}"/>
    <cellStyle name="Финансовый 16 2 2" xfId="6188" xr:uid="{00000000-0005-0000-0000-00006F370000}"/>
    <cellStyle name="Финансовый 16 2 2 10" xfId="11153" xr:uid="{00000000-0005-0000-0000-000070370000}"/>
    <cellStyle name="Финансовый 16 2 2 11" xfId="12139" xr:uid="{00000000-0005-0000-0000-000071370000}"/>
    <cellStyle name="Финансовый 16 2 2 12" xfId="13125" xr:uid="{00000000-0005-0000-0000-000072370000}"/>
    <cellStyle name="Финансовый 16 2 2 13" xfId="14125" xr:uid="{00000000-0005-0000-0000-000073370000}"/>
    <cellStyle name="Финансовый 16 2 2 14" xfId="15111" xr:uid="{00000000-0005-0000-0000-000074370000}"/>
    <cellStyle name="Финансовый 16 2 2 2" xfId="6189" xr:uid="{00000000-0005-0000-0000-000075370000}"/>
    <cellStyle name="Финансовый 16 2 2 2 10" xfId="12140" xr:uid="{00000000-0005-0000-0000-000076370000}"/>
    <cellStyle name="Финансовый 16 2 2 2 11" xfId="13126" xr:uid="{00000000-0005-0000-0000-000077370000}"/>
    <cellStyle name="Финансовый 16 2 2 2 12" xfId="14126" xr:uid="{00000000-0005-0000-0000-000078370000}"/>
    <cellStyle name="Финансовый 16 2 2 2 13" xfId="15112" xr:uid="{00000000-0005-0000-0000-000079370000}"/>
    <cellStyle name="Финансовый 16 2 2 2 2" xfId="6190" xr:uid="{00000000-0005-0000-0000-00007A370000}"/>
    <cellStyle name="Финансовый 16 2 2 2 2 10" xfId="13127" xr:uid="{00000000-0005-0000-0000-00007B370000}"/>
    <cellStyle name="Финансовый 16 2 2 2 2 11" xfId="14127" xr:uid="{00000000-0005-0000-0000-00007C370000}"/>
    <cellStyle name="Финансовый 16 2 2 2 2 12" xfId="15113" xr:uid="{00000000-0005-0000-0000-00007D370000}"/>
    <cellStyle name="Финансовый 16 2 2 2 2 2" xfId="6638" xr:uid="{00000000-0005-0000-0000-00007E370000}"/>
    <cellStyle name="Финансовый 16 2 2 2 2 2 10" xfId="15557" xr:uid="{00000000-0005-0000-0000-00007F370000}"/>
    <cellStyle name="Финансовый 16 2 2 2 2 2 2" xfId="7635" xr:uid="{00000000-0005-0000-0000-000080370000}"/>
    <cellStyle name="Финансовый 16 2 2 2 2 2 3" xfId="8641" xr:uid="{00000000-0005-0000-0000-000081370000}"/>
    <cellStyle name="Финансовый 16 2 2 2 2 2 4" xfId="9627" xr:uid="{00000000-0005-0000-0000-000082370000}"/>
    <cellStyle name="Финансовый 16 2 2 2 2 2 5" xfId="10613" xr:uid="{00000000-0005-0000-0000-000083370000}"/>
    <cellStyle name="Финансовый 16 2 2 2 2 2 6" xfId="11599" xr:uid="{00000000-0005-0000-0000-000084370000}"/>
    <cellStyle name="Финансовый 16 2 2 2 2 2 7" xfId="12585" xr:uid="{00000000-0005-0000-0000-000085370000}"/>
    <cellStyle name="Финансовый 16 2 2 2 2 2 8" xfId="13571" xr:uid="{00000000-0005-0000-0000-000086370000}"/>
    <cellStyle name="Финансовый 16 2 2 2 2 2 9" xfId="14571" xr:uid="{00000000-0005-0000-0000-000087370000}"/>
    <cellStyle name="Финансовый 16 2 2 2 2 3" xfId="6908" xr:uid="{00000000-0005-0000-0000-000088370000}"/>
    <cellStyle name="Финансовый 16 2 2 2 2 3 10" xfId="15827" xr:uid="{00000000-0005-0000-0000-000089370000}"/>
    <cellStyle name="Финансовый 16 2 2 2 2 3 2" xfId="7905" xr:uid="{00000000-0005-0000-0000-00008A370000}"/>
    <cellStyle name="Финансовый 16 2 2 2 2 3 3" xfId="8911" xr:uid="{00000000-0005-0000-0000-00008B370000}"/>
    <cellStyle name="Финансовый 16 2 2 2 2 3 4" xfId="9897" xr:uid="{00000000-0005-0000-0000-00008C370000}"/>
    <cellStyle name="Финансовый 16 2 2 2 2 3 5" xfId="10883" xr:uid="{00000000-0005-0000-0000-00008D370000}"/>
    <cellStyle name="Финансовый 16 2 2 2 2 3 6" xfId="11869" xr:uid="{00000000-0005-0000-0000-00008E370000}"/>
    <cellStyle name="Финансовый 16 2 2 2 2 3 7" xfId="12855" xr:uid="{00000000-0005-0000-0000-00008F370000}"/>
    <cellStyle name="Финансовый 16 2 2 2 2 3 8" xfId="13841" xr:uid="{00000000-0005-0000-0000-000090370000}"/>
    <cellStyle name="Финансовый 16 2 2 2 2 3 9" xfId="14841" xr:uid="{00000000-0005-0000-0000-000091370000}"/>
    <cellStyle name="Финансовый 16 2 2 2 2 4" xfId="7191" xr:uid="{00000000-0005-0000-0000-000092370000}"/>
    <cellStyle name="Финансовый 16 2 2 2 2 5" xfId="8197" xr:uid="{00000000-0005-0000-0000-000093370000}"/>
    <cellStyle name="Финансовый 16 2 2 2 2 6" xfId="9183" xr:uid="{00000000-0005-0000-0000-000094370000}"/>
    <cellStyle name="Финансовый 16 2 2 2 2 7" xfId="10169" xr:uid="{00000000-0005-0000-0000-000095370000}"/>
    <cellStyle name="Финансовый 16 2 2 2 2 8" xfId="11155" xr:uid="{00000000-0005-0000-0000-000096370000}"/>
    <cellStyle name="Финансовый 16 2 2 2 2 9" xfId="12141" xr:uid="{00000000-0005-0000-0000-000097370000}"/>
    <cellStyle name="Финансовый 16 2 2 2 3" xfId="6637" xr:uid="{00000000-0005-0000-0000-000098370000}"/>
    <cellStyle name="Финансовый 16 2 2 2 3 10" xfId="15556" xr:uid="{00000000-0005-0000-0000-000099370000}"/>
    <cellStyle name="Финансовый 16 2 2 2 3 2" xfId="7634" xr:uid="{00000000-0005-0000-0000-00009A370000}"/>
    <cellStyle name="Финансовый 16 2 2 2 3 3" xfId="8640" xr:uid="{00000000-0005-0000-0000-00009B370000}"/>
    <cellStyle name="Финансовый 16 2 2 2 3 4" xfId="9626" xr:uid="{00000000-0005-0000-0000-00009C370000}"/>
    <cellStyle name="Финансовый 16 2 2 2 3 5" xfId="10612" xr:uid="{00000000-0005-0000-0000-00009D370000}"/>
    <cellStyle name="Финансовый 16 2 2 2 3 6" xfId="11598" xr:uid="{00000000-0005-0000-0000-00009E370000}"/>
    <cellStyle name="Финансовый 16 2 2 2 3 7" xfId="12584" xr:uid="{00000000-0005-0000-0000-00009F370000}"/>
    <cellStyle name="Финансовый 16 2 2 2 3 8" xfId="13570" xr:uid="{00000000-0005-0000-0000-0000A0370000}"/>
    <cellStyle name="Финансовый 16 2 2 2 3 9" xfId="14570" xr:uid="{00000000-0005-0000-0000-0000A1370000}"/>
    <cellStyle name="Финансовый 16 2 2 2 4" xfId="6907" xr:uid="{00000000-0005-0000-0000-0000A2370000}"/>
    <cellStyle name="Финансовый 16 2 2 2 4 10" xfId="15826" xr:uid="{00000000-0005-0000-0000-0000A3370000}"/>
    <cellStyle name="Финансовый 16 2 2 2 4 2" xfId="7904" xr:uid="{00000000-0005-0000-0000-0000A4370000}"/>
    <cellStyle name="Финансовый 16 2 2 2 4 3" xfId="8910" xr:uid="{00000000-0005-0000-0000-0000A5370000}"/>
    <cellStyle name="Финансовый 16 2 2 2 4 4" xfId="9896" xr:uid="{00000000-0005-0000-0000-0000A6370000}"/>
    <cellStyle name="Финансовый 16 2 2 2 4 5" xfId="10882" xr:uid="{00000000-0005-0000-0000-0000A7370000}"/>
    <cellStyle name="Финансовый 16 2 2 2 4 6" xfId="11868" xr:uid="{00000000-0005-0000-0000-0000A8370000}"/>
    <cellStyle name="Финансовый 16 2 2 2 4 7" xfId="12854" xr:uid="{00000000-0005-0000-0000-0000A9370000}"/>
    <cellStyle name="Финансовый 16 2 2 2 4 8" xfId="13840" xr:uid="{00000000-0005-0000-0000-0000AA370000}"/>
    <cellStyle name="Финансовый 16 2 2 2 4 9" xfId="14840" xr:uid="{00000000-0005-0000-0000-0000AB370000}"/>
    <cellStyle name="Финансовый 16 2 2 2 5" xfId="7190" xr:uid="{00000000-0005-0000-0000-0000AC370000}"/>
    <cellStyle name="Финансовый 16 2 2 2 6" xfId="8196" xr:uid="{00000000-0005-0000-0000-0000AD370000}"/>
    <cellStyle name="Финансовый 16 2 2 2 7" xfId="9182" xr:uid="{00000000-0005-0000-0000-0000AE370000}"/>
    <cellStyle name="Финансовый 16 2 2 2 8" xfId="10168" xr:uid="{00000000-0005-0000-0000-0000AF370000}"/>
    <cellStyle name="Финансовый 16 2 2 2 9" xfId="11154" xr:uid="{00000000-0005-0000-0000-0000B0370000}"/>
    <cellStyle name="Финансовый 16 2 2 3" xfId="6191" xr:uid="{00000000-0005-0000-0000-0000B1370000}"/>
    <cellStyle name="Финансовый 16 2 2 3 10" xfId="13128" xr:uid="{00000000-0005-0000-0000-0000B2370000}"/>
    <cellStyle name="Финансовый 16 2 2 3 11" xfId="14128" xr:uid="{00000000-0005-0000-0000-0000B3370000}"/>
    <cellStyle name="Финансовый 16 2 2 3 12" xfId="15114" xr:uid="{00000000-0005-0000-0000-0000B4370000}"/>
    <cellStyle name="Финансовый 16 2 2 3 2" xfId="6639" xr:uid="{00000000-0005-0000-0000-0000B5370000}"/>
    <cellStyle name="Финансовый 16 2 2 3 2 10" xfId="15558" xr:uid="{00000000-0005-0000-0000-0000B6370000}"/>
    <cellStyle name="Финансовый 16 2 2 3 2 2" xfId="7636" xr:uid="{00000000-0005-0000-0000-0000B7370000}"/>
    <cellStyle name="Финансовый 16 2 2 3 2 3" xfId="8642" xr:uid="{00000000-0005-0000-0000-0000B8370000}"/>
    <cellStyle name="Финансовый 16 2 2 3 2 4" xfId="9628" xr:uid="{00000000-0005-0000-0000-0000B9370000}"/>
    <cellStyle name="Финансовый 16 2 2 3 2 5" xfId="10614" xr:uid="{00000000-0005-0000-0000-0000BA370000}"/>
    <cellStyle name="Финансовый 16 2 2 3 2 6" xfId="11600" xr:uid="{00000000-0005-0000-0000-0000BB370000}"/>
    <cellStyle name="Финансовый 16 2 2 3 2 7" xfId="12586" xr:uid="{00000000-0005-0000-0000-0000BC370000}"/>
    <cellStyle name="Финансовый 16 2 2 3 2 8" xfId="13572" xr:uid="{00000000-0005-0000-0000-0000BD370000}"/>
    <cellStyle name="Финансовый 16 2 2 3 2 9" xfId="14572" xr:uid="{00000000-0005-0000-0000-0000BE370000}"/>
    <cellStyle name="Финансовый 16 2 2 3 3" xfId="6909" xr:uid="{00000000-0005-0000-0000-0000BF370000}"/>
    <cellStyle name="Финансовый 16 2 2 3 3 10" xfId="15828" xr:uid="{00000000-0005-0000-0000-0000C0370000}"/>
    <cellStyle name="Финансовый 16 2 2 3 3 2" xfId="7906" xr:uid="{00000000-0005-0000-0000-0000C1370000}"/>
    <cellStyle name="Финансовый 16 2 2 3 3 3" xfId="8912" xr:uid="{00000000-0005-0000-0000-0000C2370000}"/>
    <cellStyle name="Финансовый 16 2 2 3 3 4" xfId="9898" xr:uid="{00000000-0005-0000-0000-0000C3370000}"/>
    <cellStyle name="Финансовый 16 2 2 3 3 5" xfId="10884" xr:uid="{00000000-0005-0000-0000-0000C4370000}"/>
    <cellStyle name="Финансовый 16 2 2 3 3 6" xfId="11870" xr:uid="{00000000-0005-0000-0000-0000C5370000}"/>
    <cellStyle name="Финансовый 16 2 2 3 3 7" xfId="12856" xr:uid="{00000000-0005-0000-0000-0000C6370000}"/>
    <cellStyle name="Финансовый 16 2 2 3 3 8" xfId="13842" xr:uid="{00000000-0005-0000-0000-0000C7370000}"/>
    <cellStyle name="Финансовый 16 2 2 3 3 9" xfId="14842" xr:uid="{00000000-0005-0000-0000-0000C8370000}"/>
    <cellStyle name="Финансовый 16 2 2 3 4" xfId="7192" xr:uid="{00000000-0005-0000-0000-0000C9370000}"/>
    <cellStyle name="Финансовый 16 2 2 3 5" xfId="8198" xr:uid="{00000000-0005-0000-0000-0000CA370000}"/>
    <cellStyle name="Финансовый 16 2 2 3 6" xfId="9184" xr:uid="{00000000-0005-0000-0000-0000CB370000}"/>
    <cellStyle name="Финансовый 16 2 2 3 7" xfId="10170" xr:uid="{00000000-0005-0000-0000-0000CC370000}"/>
    <cellStyle name="Финансовый 16 2 2 3 8" xfId="11156" xr:uid="{00000000-0005-0000-0000-0000CD370000}"/>
    <cellStyle name="Финансовый 16 2 2 3 9" xfId="12142" xr:uid="{00000000-0005-0000-0000-0000CE370000}"/>
    <cellStyle name="Финансовый 16 2 2 4" xfId="6636" xr:uid="{00000000-0005-0000-0000-0000CF370000}"/>
    <cellStyle name="Финансовый 16 2 2 4 10" xfId="15555" xr:uid="{00000000-0005-0000-0000-0000D0370000}"/>
    <cellStyle name="Финансовый 16 2 2 4 2" xfId="7633" xr:uid="{00000000-0005-0000-0000-0000D1370000}"/>
    <cellStyle name="Финансовый 16 2 2 4 3" xfId="8639" xr:uid="{00000000-0005-0000-0000-0000D2370000}"/>
    <cellStyle name="Финансовый 16 2 2 4 4" xfId="9625" xr:uid="{00000000-0005-0000-0000-0000D3370000}"/>
    <cellStyle name="Финансовый 16 2 2 4 5" xfId="10611" xr:uid="{00000000-0005-0000-0000-0000D4370000}"/>
    <cellStyle name="Финансовый 16 2 2 4 6" xfId="11597" xr:uid="{00000000-0005-0000-0000-0000D5370000}"/>
    <cellStyle name="Финансовый 16 2 2 4 7" xfId="12583" xr:uid="{00000000-0005-0000-0000-0000D6370000}"/>
    <cellStyle name="Финансовый 16 2 2 4 8" xfId="13569" xr:uid="{00000000-0005-0000-0000-0000D7370000}"/>
    <cellStyle name="Финансовый 16 2 2 4 9" xfId="14569" xr:uid="{00000000-0005-0000-0000-0000D8370000}"/>
    <cellStyle name="Финансовый 16 2 2 5" xfId="6906" xr:uid="{00000000-0005-0000-0000-0000D9370000}"/>
    <cellStyle name="Финансовый 16 2 2 5 10" xfId="15825" xr:uid="{00000000-0005-0000-0000-0000DA370000}"/>
    <cellStyle name="Финансовый 16 2 2 5 2" xfId="7903" xr:uid="{00000000-0005-0000-0000-0000DB370000}"/>
    <cellStyle name="Финансовый 16 2 2 5 3" xfId="8909" xr:uid="{00000000-0005-0000-0000-0000DC370000}"/>
    <cellStyle name="Финансовый 16 2 2 5 4" xfId="9895" xr:uid="{00000000-0005-0000-0000-0000DD370000}"/>
    <cellStyle name="Финансовый 16 2 2 5 5" xfId="10881" xr:uid="{00000000-0005-0000-0000-0000DE370000}"/>
    <cellStyle name="Финансовый 16 2 2 5 6" xfId="11867" xr:uid="{00000000-0005-0000-0000-0000DF370000}"/>
    <cellStyle name="Финансовый 16 2 2 5 7" xfId="12853" xr:uid="{00000000-0005-0000-0000-0000E0370000}"/>
    <cellStyle name="Финансовый 16 2 2 5 8" xfId="13839" xr:uid="{00000000-0005-0000-0000-0000E1370000}"/>
    <cellStyle name="Финансовый 16 2 2 5 9" xfId="14839" xr:uid="{00000000-0005-0000-0000-0000E2370000}"/>
    <cellStyle name="Финансовый 16 2 2 6" xfId="7189" xr:uid="{00000000-0005-0000-0000-0000E3370000}"/>
    <cellStyle name="Финансовый 16 2 2 7" xfId="8195" xr:uid="{00000000-0005-0000-0000-0000E4370000}"/>
    <cellStyle name="Финансовый 16 2 2 8" xfId="9181" xr:uid="{00000000-0005-0000-0000-0000E5370000}"/>
    <cellStyle name="Финансовый 16 2 2 9" xfId="10167" xr:uid="{00000000-0005-0000-0000-0000E6370000}"/>
    <cellStyle name="Финансовый 16 2 3" xfId="6192" xr:uid="{00000000-0005-0000-0000-0000E7370000}"/>
    <cellStyle name="Финансовый 16 2 3 10" xfId="11157" xr:uid="{00000000-0005-0000-0000-0000E8370000}"/>
    <cellStyle name="Финансовый 16 2 3 11" xfId="12143" xr:uid="{00000000-0005-0000-0000-0000E9370000}"/>
    <cellStyle name="Финансовый 16 2 3 12" xfId="13129" xr:uid="{00000000-0005-0000-0000-0000EA370000}"/>
    <cellStyle name="Финансовый 16 2 3 13" xfId="14129" xr:uid="{00000000-0005-0000-0000-0000EB370000}"/>
    <cellStyle name="Финансовый 16 2 3 14" xfId="15115" xr:uid="{00000000-0005-0000-0000-0000EC370000}"/>
    <cellStyle name="Финансовый 16 2 3 2" xfId="6193" xr:uid="{00000000-0005-0000-0000-0000ED370000}"/>
    <cellStyle name="Финансовый 16 2 3 2 10" xfId="12144" xr:uid="{00000000-0005-0000-0000-0000EE370000}"/>
    <cellStyle name="Финансовый 16 2 3 2 11" xfId="13130" xr:uid="{00000000-0005-0000-0000-0000EF370000}"/>
    <cellStyle name="Финансовый 16 2 3 2 12" xfId="14130" xr:uid="{00000000-0005-0000-0000-0000F0370000}"/>
    <cellStyle name="Финансовый 16 2 3 2 13" xfId="15116" xr:uid="{00000000-0005-0000-0000-0000F1370000}"/>
    <cellStyle name="Финансовый 16 2 3 2 2" xfId="6194" xr:uid="{00000000-0005-0000-0000-0000F2370000}"/>
    <cellStyle name="Финансовый 16 2 3 2 2 10" xfId="13131" xr:uid="{00000000-0005-0000-0000-0000F3370000}"/>
    <cellStyle name="Финансовый 16 2 3 2 2 11" xfId="14131" xr:uid="{00000000-0005-0000-0000-0000F4370000}"/>
    <cellStyle name="Финансовый 16 2 3 2 2 12" xfId="15117" xr:uid="{00000000-0005-0000-0000-0000F5370000}"/>
    <cellStyle name="Финансовый 16 2 3 2 2 2" xfId="6642" xr:uid="{00000000-0005-0000-0000-0000F6370000}"/>
    <cellStyle name="Финансовый 16 2 3 2 2 2 10" xfId="15561" xr:uid="{00000000-0005-0000-0000-0000F7370000}"/>
    <cellStyle name="Финансовый 16 2 3 2 2 2 2" xfId="7639" xr:uid="{00000000-0005-0000-0000-0000F8370000}"/>
    <cellStyle name="Финансовый 16 2 3 2 2 2 3" xfId="8645" xr:uid="{00000000-0005-0000-0000-0000F9370000}"/>
    <cellStyle name="Финансовый 16 2 3 2 2 2 4" xfId="9631" xr:uid="{00000000-0005-0000-0000-0000FA370000}"/>
    <cellStyle name="Финансовый 16 2 3 2 2 2 5" xfId="10617" xr:uid="{00000000-0005-0000-0000-0000FB370000}"/>
    <cellStyle name="Финансовый 16 2 3 2 2 2 6" xfId="11603" xr:uid="{00000000-0005-0000-0000-0000FC370000}"/>
    <cellStyle name="Финансовый 16 2 3 2 2 2 7" xfId="12589" xr:uid="{00000000-0005-0000-0000-0000FD370000}"/>
    <cellStyle name="Финансовый 16 2 3 2 2 2 8" xfId="13575" xr:uid="{00000000-0005-0000-0000-0000FE370000}"/>
    <cellStyle name="Финансовый 16 2 3 2 2 2 9" xfId="14575" xr:uid="{00000000-0005-0000-0000-0000FF370000}"/>
    <cellStyle name="Финансовый 16 2 3 2 2 3" xfId="6912" xr:uid="{00000000-0005-0000-0000-000000380000}"/>
    <cellStyle name="Финансовый 16 2 3 2 2 3 10" xfId="15831" xr:uid="{00000000-0005-0000-0000-000001380000}"/>
    <cellStyle name="Финансовый 16 2 3 2 2 3 2" xfId="7909" xr:uid="{00000000-0005-0000-0000-000002380000}"/>
    <cellStyle name="Финансовый 16 2 3 2 2 3 3" xfId="8915" xr:uid="{00000000-0005-0000-0000-000003380000}"/>
    <cellStyle name="Финансовый 16 2 3 2 2 3 4" xfId="9901" xr:uid="{00000000-0005-0000-0000-000004380000}"/>
    <cellStyle name="Финансовый 16 2 3 2 2 3 5" xfId="10887" xr:uid="{00000000-0005-0000-0000-000005380000}"/>
    <cellStyle name="Финансовый 16 2 3 2 2 3 6" xfId="11873" xr:uid="{00000000-0005-0000-0000-000006380000}"/>
    <cellStyle name="Финансовый 16 2 3 2 2 3 7" xfId="12859" xr:uid="{00000000-0005-0000-0000-000007380000}"/>
    <cellStyle name="Финансовый 16 2 3 2 2 3 8" xfId="13845" xr:uid="{00000000-0005-0000-0000-000008380000}"/>
    <cellStyle name="Финансовый 16 2 3 2 2 3 9" xfId="14845" xr:uid="{00000000-0005-0000-0000-000009380000}"/>
    <cellStyle name="Финансовый 16 2 3 2 2 4" xfId="7195" xr:uid="{00000000-0005-0000-0000-00000A380000}"/>
    <cellStyle name="Финансовый 16 2 3 2 2 5" xfId="8201" xr:uid="{00000000-0005-0000-0000-00000B380000}"/>
    <cellStyle name="Финансовый 16 2 3 2 2 6" xfId="9187" xr:uid="{00000000-0005-0000-0000-00000C380000}"/>
    <cellStyle name="Финансовый 16 2 3 2 2 7" xfId="10173" xr:uid="{00000000-0005-0000-0000-00000D380000}"/>
    <cellStyle name="Финансовый 16 2 3 2 2 8" xfId="11159" xr:uid="{00000000-0005-0000-0000-00000E380000}"/>
    <cellStyle name="Финансовый 16 2 3 2 2 9" xfId="12145" xr:uid="{00000000-0005-0000-0000-00000F380000}"/>
    <cellStyle name="Финансовый 16 2 3 2 3" xfId="6641" xr:uid="{00000000-0005-0000-0000-000010380000}"/>
    <cellStyle name="Финансовый 16 2 3 2 3 10" xfId="15560" xr:uid="{00000000-0005-0000-0000-000011380000}"/>
    <cellStyle name="Финансовый 16 2 3 2 3 2" xfId="7638" xr:uid="{00000000-0005-0000-0000-000012380000}"/>
    <cellStyle name="Финансовый 16 2 3 2 3 3" xfId="8644" xr:uid="{00000000-0005-0000-0000-000013380000}"/>
    <cellStyle name="Финансовый 16 2 3 2 3 4" xfId="9630" xr:uid="{00000000-0005-0000-0000-000014380000}"/>
    <cellStyle name="Финансовый 16 2 3 2 3 5" xfId="10616" xr:uid="{00000000-0005-0000-0000-000015380000}"/>
    <cellStyle name="Финансовый 16 2 3 2 3 6" xfId="11602" xr:uid="{00000000-0005-0000-0000-000016380000}"/>
    <cellStyle name="Финансовый 16 2 3 2 3 7" xfId="12588" xr:uid="{00000000-0005-0000-0000-000017380000}"/>
    <cellStyle name="Финансовый 16 2 3 2 3 8" xfId="13574" xr:uid="{00000000-0005-0000-0000-000018380000}"/>
    <cellStyle name="Финансовый 16 2 3 2 3 9" xfId="14574" xr:uid="{00000000-0005-0000-0000-000019380000}"/>
    <cellStyle name="Финансовый 16 2 3 2 4" xfId="6911" xr:uid="{00000000-0005-0000-0000-00001A380000}"/>
    <cellStyle name="Финансовый 16 2 3 2 4 10" xfId="15830" xr:uid="{00000000-0005-0000-0000-00001B380000}"/>
    <cellStyle name="Финансовый 16 2 3 2 4 2" xfId="7908" xr:uid="{00000000-0005-0000-0000-00001C380000}"/>
    <cellStyle name="Финансовый 16 2 3 2 4 3" xfId="8914" xr:uid="{00000000-0005-0000-0000-00001D380000}"/>
    <cellStyle name="Финансовый 16 2 3 2 4 4" xfId="9900" xr:uid="{00000000-0005-0000-0000-00001E380000}"/>
    <cellStyle name="Финансовый 16 2 3 2 4 5" xfId="10886" xr:uid="{00000000-0005-0000-0000-00001F380000}"/>
    <cellStyle name="Финансовый 16 2 3 2 4 6" xfId="11872" xr:uid="{00000000-0005-0000-0000-000020380000}"/>
    <cellStyle name="Финансовый 16 2 3 2 4 7" xfId="12858" xr:uid="{00000000-0005-0000-0000-000021380000}"/>
    <cellStyle name="Финансовый 16 2 3 2 4 8" xfId="13844" xr:uid="{00000000-0005-0000-0000-000022380000}"/>
    <cellStyle name="Финансовый 16 2 3 2 4 9" xfId="14844" xr:uid="{00000000-0005-0000-0000-000023380000}"/>
    <cellStyle name="Финансовый 16 2 3 2 5" xfId="7194" xr:uid="{00000000-0005-0000-0000-000024380000}"/>
    <cellStyle name="Финансовый 16 2 3 2 6" xfId="8200" xr:uid="{00000000-0005-0000-0000-000025380000}"/>
    <cellStyle name="Финансовый 16 2 3 2 7" xfId="9186" xr:uid="{00000000-0005-0000-0000-000026380000}"/>
    <cellStyle name="Финансовый 16 2 3 2 8" xfId="10172" xr:uid="{00000000-0005-0000-0000-000027380000}"/>
    <cellStyle name="Финансовый 16 2 3 2 9" xfId="11158" xr:uid="{00000000-0005-0000-0000-000028380000}"/>
    <cellStyle name="Финансовый 16 2 3 3" xfId="6195" xr:uid="{00000000-0005-0000-0000-000029380000}"/>
    <cellStyle name="Финансовый 16 2 3 3 10" xfId="13132" xr:uid="{00000000-0005-0000-0000-00002A380000}"/>
    <cellStyle name="Финансовый 16 2 3 3 11" xfId="14132" xr:uid="{00000000-0005-0000-0000-00002B380000}"/>
    <cellStyle name="Финансовый 16 2 3 3 12" xfId="15118" xr:uid="{00000000-0005-0000-0000-00002C380000}"/>
    <cellStyle name="Финансовый 16 2 3 3 2" xfId="6643" xr:uid="{00000000-0005-0000-0000-00002D380000}"/>
    <cellStyle name="Финансовый 16 2 3 3 2 10" xfId="15562" xr:uid="{00000000-0005-0000-0000-00002E380000}"/>
    <cellStyle name="Финансовый 16 2 3 3 2 2" xfId="7640" xr:uid="{00000000-0005-0000-0000-00002F380000}"/>
    <cellStyle name="Финансовый 16 2 3 3 2 3" xfId="8646" xr:uid="{00000000-0005-0000-0000-000030380000}"/>
    <cellStyle name="Финансовый 16 2 3 3 2 4" xfId="9632" xr:uid="{00000000-0005-0000-0000-000031380000}"/>
    <cellStyle name="Финансовый 16 2 3 3 2 5" xfId="10618" xr:uid="{00000000-0005-0000-0000-000032380000}"/>
    <cellStyle name="Финансовый 16 2 3 3 2 6" xfId="11604" xr:uid="{00000000-0005-0000-0000-000033380000}"/>
    <cellStyle name="Финансовый 16 2 3 3 2 7" xfId="12590" xr:uid="{00000000-0005-0000-0000-000034380000}"/>
    <cellStyle name="Финансовый 16 2 3 3 2 8" xfId="13576" xr:uid="{00000000-0005-0000-0000-000035380000}"/>
    <cellStyle name="Финансовый 16 2 3 3 2 9" xfId="14576" xr:uid="{00000000-0005-0000-0000-000036380000}"/>
    <cellStyle name="Финансовый 16 2 3 3 3" xfId="6913" xr:uid="{00000000-0005-0000-0000-000037380000}"/>
    <cellStyle name="Финансовый 16 2 3 3 3 10" xfId="15832" xr:uid="{00000000-0005-0000-0000-000038380000}"/>
    <cellStyle name="Финансовый 16 2 3 3 3 2" xfId="7910" xr:uid="{00000000-0005-0000-0000-000039380000}"/>
    <cellStyle name="Финансовый 16 2 3 3 3 3" xfId="8916" xr:uid="{00000000-0005-0000-0000-00003A380000}"/>
    <cellStyle name="Финансовый 16 2 3 3 3 4" xfId="9902" xr:uid="{00000000-0005-0000-0000-00003B380000}"/>
    <cellStyle name="Финансовый 16 2 3 3 3 5" xfId="10888" xr:uid="{00000000-0005-0000-0000-00003C380000}"/>
    <cellStyle name="Финансовый 16 2 3 3 3 6" xfId="11874" xr:uid="{00000000-0005-0000-0000-00003D380000}"/>
    <cellStyle name="Финансовый 16 2 3 3 3 7" xfId="12860" xr:uid="{00000000-0005-0000-0000-00003E380000}"/>
    <cellStyle name="Финансовый 16 2 3 3 3 8" xfId="13846" xr:uid="{00000000-0005-0000-0000-00003F380000}"/>
    <cellStyle name="Финансовый 16 2 3 3 3 9" xfId="14846" xr:uid="{00000000-0005-0000-0000-000040380000}"/>
    <cellStyle name="Финансовый 16 2 3 3 4" xfId="7196" xr:uid="{00000000-0005-0000-0000-000041380000}"/>
    <cellStyle name="Финансовый 16 2 3 3 5" xfId="8202" xr:uid="{00000000-0005-0000-0000-000042380000}"/>
    <cellStyle name="Финансовый 16 2 3 3 6" xfId="9188" xr:uid="{00000000-0005-0000-0000-000043380000}"/>
    <cellStyle name="Финансовый 16 2 3 3 7" xfId="10174" xr:uid="{00000000-0005-0000-0000-000044380000}"/>
    <cellStyle name="Финансовый 16 2 3 3 8" xfId="11160" xr:uid="{00000000-0005-0000-0000-000045380000}"/>
    <cellStyle name="Финансовый 16 2 3 3 9" xfId="12146" xr:uid="{00000000-0005-0000-0000-000046380000}"/>
    <cellStyle name="Финансовый 16 2 3 4" xfId="6640" xr:uid="{00000000-0005-0000-0000-000047380000}"/>
    <cellStyle name="Финансовый 16 2 3 4 10" xfId="15559" xr:uid="{00000000-0005-0000-0000-000048380000}"/>
    <cellStyle name="Финансовый 16 2 3 4 2" xfId="7637" xr:uid="{00000000-0005-0000-0000-000049380000}"/>
    <cellStyle name="Финансовый 16 2 3 4 3" xfId="8643" xr:uid="{00000000-0005-0000-0000-00004A380000}"/>
    <cellStyle name="Финансовый 16 2 3 4 4" xfId="9629" xr:uid="{00000000-0005-0000-0000-00004B380000}"/>
    <cellStyle name="Финансовый 16 2 3 4 5" xfId="10615" xr:uid="{00000000-0005-0000-0000-00004C380000}"/>
    <cellStyle name="Финансовый 16 2 3 4 6" xfId="11601" xr:uid="{00000000-0005-0000-0000-00004D380000}"/>
    <cellStyle name="Финансовый 16 2 3 4 7" xfId="12587" xr:uid="{00000000-0005-0000-0000-00004E380000}"/>
    <cellStyle name="Финансовый 16 2 3 4 8" xfId="13573" xr:uid="{00000000-0005-0000-0000-00004F380000}"/>
    <cellStyle name="Финансовый 16 2 3 4 9" xfId="14573" xr:uid="{00000000-0005-0000-0000-000050380000}"/>
    <cellStyle name="Финансовый 16 2 3 5" xfId="6910" xr:uid="{00000000-0005-0000-0000-000051380000}"/>
    <cellStyle name="Финансовый 16 2 3 5 10" xfId="15829" xr:uid="{00000000-0005-0000-0000-000052380000}"/>
    <cellStyle name="Финансовый 16 2 3 5 2" xfId="7907" xr:uid="{00000000-0005-0000-0000-000053380000}"/>
    <cellStyle name="Финансовый 16 2 3 5 3" xfId="8913" xr:uid="{00000000-0005-0000-0000-000054380000}"/>
    <cellStyle name="Финансовый 16 2 3 5 4" xfId="9899" xr:uid="{00000000-0005-0000-0000-000055380000}"/>
    <cellStyle name="Финансовый 16 2 3 5 5" xfId="10885" xr:uid="{00000000-0005-0000-0000-000056380000}"/>
    <cellStyle name="Финансовый 16 2 3 5 6" xfId="11871" xr:uid="{00000000-0005-0000-0000-000057380000}"/>
    <cellStyle name="Финансовый 16 2 3 5 7" xfId="12857" xr:uid="{00000000-0005-0000-0000-000058380000}"/>
    <cellStyle name="Финансовый 16 2 3 5 8" xfId="13843" xr:uid="{00000000-0005-0000-0000-000059380000}"/>
    <cellStyle name="Финансовый 16 2 3 5 9" xfId="14843" xr:uid="{00000000-0005-0000-0000-00005A380000}"/>
    <cellStyle name="Финансовый 16 2 3 6" xfId="7193" xr:uid="{00000000-0005-0000-0000-00005B380000}"/>
    <cellStyle name="Финансовый 16 2 3 7" xfId="8199" xr:uid="{00000000-0005-0000-0000-00005C380000}"/>
    <cellStyle name="Финансовый 16 2 3 8" xfId="9185" xr:uid="{00000000-0005-0000-0000-00005D380000}"/>
    <cellStyle name="Финансовый 16 2 3 9" xfId="10171" xr:uid="{00000000-0005-0000-0000-00005E380000}"/>
    <cellStyle name="Финансовый 16 2 4" xfId="6196" xr:uid="{00000000-0005-0000-0000-00005F380000}"/>
    <cellStyle name="Финансовый 16 2 4 10" xfId="11161" xr:uid="{00000000-0005-0000-0000-000060380000}"/>
    <cellStyle name="Финансовый 16 2 4 11" xfId="12147" xr:uid="{00000000-0005-0000-0000-000061380000}"/>
    <cellStyle name="Финансовый 16 2 4 12" xfId="13133" xr:uid="{00000000-0005-0000-0000-000062380000}"/>
    <cellStyle name="Финансовый 16 2 4 13" xfId="14133" xr:uid="{00000000-0005-0000-0000-000063380000}"/>
    <cellStyle name="Финансовый 16 2 4 14" xfId="15119" xr:uid="{00000000-0005-0000-0000-000064380000}"/>
    <cellStyle name="Финансовый 16 2 4 2" xfId="6197" xr:uid="{00000000-0005-0000-0000-000065380000}"/>
    <cellStyle name="Финансовый 16 2 4 2 10" xfId="12148" xr:uid="{00000000-0005-0000-0000-000066380000}"/>
    <cellStyle name="Финансовый 16 2 4 2 11" xfId="13134" xr:uid="{00000000-0005-0000-0000-000067380000}"/>
    <cellStyle name="Финансовый 16 2 4 2 12" xfId="14134" xr:uid="{00000000-0005-0000-0000-000068380000}"/>
    <cellStyle name="Финансовый 16 2 4 2 13" xfId="15120" xr:uid="{00000000-0005-0000-0000-000069380000}"/>
    <cellStyle name="Финансовый 16 2 4 2 2" xfId="6198" xr:uid="{00000000-0005-0000-0000-00006A380000}"/>
    <cellStyle name="Финансовый 16 2 4 2 2 10" xfId="13135" xr:uid="{00000000-0005-0000-0000-00006B380000}"/>
    <cellStyle name="Финансовый 16 2 4 2 2 11" xfId="14135" xr:uid="{00000000-0005-0000-0000-00006C380000}"/>
    <cellStyle name="Финансовый 16 2 4 2 2 12" xfId="15121" xr:uid="{00000000-0005-0000-0000-00006D380000}"/>
    <cellStyle name="Финансовый 16 2 4 2 2 2" xfId="6646" xr:uid="{00000000-0005-0000-0000-00006E380000}"/>
    <cellStyle name="Финансовый 16 2 4 2 2 2 10" xfId="15565" xr:uid="{00000000-0005-0000-0000-00006F380000}"/>
    <cellStyle name="Финансовый 16 2 4 2 2 2 2" xfId="7643" xr:uid="{00000000-0005-0000-0000-000070380000}"/>
    <cellStyle name="Финансовый 16 2 4 2 2 2 3" xfId="8649" xr:uid="{00000000-0005-0000-0000-000071380000}"/>
    <cellStyle name="Финансовый 16 2 4 2 2 2 4" xfId="9635" xr:uid="{00000000-0005-0000-0000-000072380000}"/>
    <cellStyle name="Финансовый 16 2 4 2 2 2 5" xfId="10621" xr:uid="{00000000-0005-0000-0000-000073380000}"/>
    <cellStyle name="Финансовый 16 2 4 2 2 2 6" xfId="11607" xr:uid="{00000000-0005-0000-0000-000074380000}"/>
    <cellStyle name="Финансовый 16 2 4 2 2 2 7" xfId="12593" xr:uid="{00000000-0005-0000-0000-000075380000}"/>
    <cellStyle name="Финансовый 16 2 4 2 2 2 8" xfId="13579" xr:uid="{00000000-0005-0000-0000-000076380000}"/>
    <cellStyle name="Финансовый 16 2 4 2 2 2 9" xfId="14579" xr:uid="{00000000-0005-0000-0000-000077380000}"/>
    <cellStyle name="Финансовый 16 2 4 2 2 3" xfId="6916" xr:uid="{00000000-0005-0000-0000-000078380000}"/>
    <cellStyle name="Финансовый 16 2 4 2 2 3 10" xfId="15835" xr:uid="{00000000-0005-0000-0000-000079380000}"/>
    <cellStyle name="Финансовый 16 2 4 2 2 3 2" xfId="7913" xr:uid="{00000000-0005-0000-0000-00007A380000}"/>
    <cellStyle name="Финансовый 16 2 4 2 2 3 3" xfId="8919" xr:uid="{00000000-0005-0000-0000-00007B380000}"/>
    <cellStyle name="Финансовый 16 2 4 2 2 3 4" xfId="9905" xr:uid="{00000000-0005-0000-0000-00007C380000}"/>
    <cellStyle name="Финансовый 16 2 4 2 2 3 5" xfId="10891" xr:uid="{00000000-0005-0000-0000-00007D380000}"/>
    <cellStyle name="Финансовый 16 2 4 2 2 3 6" xfId="11877" xr:uid="{00000000-0005-0000-0000-00007E380000}"/>
    <cellStyle name="Финансовый 16 2 4 2 2 3 7" xfId="12863" xr:uid="{00000000-0005-0000-0000-00007F380000}"/>
    <cellStyle name="Финансовый 16 2 4 2 2 3 8" xfId="13849" xr:uid="{00000000-0005-0000-0000-000080380000}"/>
    <cellStyle name="Финансовый 16 2 4 2 2 3 9" xfId="14849" xr:uid="{00000000-0005-0000-0000-000081380000}"/>
    <cellStyle name="Финансовый 16 2 4 2 2 4" xfId="7199" xr:uid="{00000000-0005-0000-0000-000082380000}"/>
    <cellStyle name="Финансовый 16 2 4 2 2 5" xfId="8205" xr:uid="{00000000-0005-0000-0000-000083380000}"/>
    <cellStyle name="Финансовый 16 2 4 2 2 6" xfId="9191" xr:uid="{00000000-0005-0000-0000-000084380000}"/>
    <cellStyle name="Финансовый 16 2 4 2 2 7" xfId="10177" xr:uid="{00000000-0005-0000-0000-000085380000}"/>
    <cellStyle name="Финансовый 16 2 4 2 2 8" xfId="11163" xr:uid="{00000000-0005-0000-0000-000086380000}"/>
    <cellStyle name="Финансовый 16 2 4 2 2 9" xfId="12149" xr:uid="{00000000-0005-0000-0000-000087380000}"/>
    <cellStyle name="Финансовый 16 2 4 2 3" xfId="6645" xr:uid="{00000000-0005-0000-0000-000088380000}"/>
    <cellStyle name="Финансовый 16 2 4 2 3 10" xfId="15564" xr:uid="{00000000-0005-0000-0000-000089380000}"/>
    <cellStyle name="Финансовый 16 2 4 2 3 2" xfId="7642" xr:uid="{00000000-0005-0000-0000-00008A380000}"/>
    <cellStyle name="Финансовый 16 2 4 2 3 3" xfId="8648" xr:uid="{00000000-0005-0000-0000-00008B380000}"/>
    <cellStyle name="Финансовый 16 2 4 2 3 4" xfId="9634" xr:uid="{00000000-0005-0000-0000-00008C380000}"/>
    <cellStyle name="Финансовый 16 2 4 2 3 5" xfId="10620" xr:uid="{00000000-0005-0000-0000-00008D380000}"/>
    <cellStyle name="Финансовый 16 2 4 2 3 6" xfId="11606" xr:uid="{00000000-0005-0000-0000-00008E380000}"/>
    <cellStyle name="Финансовый 16 2 4 2 3 7" xfId="12592" xr:uid="{00000000-0005-0000-0000-00008F380000}"/>
    <cellStyle name="Финансовый 16 2 4 2 3 8" xfId="13578" xr:uid="{00000000-0005-0000-0000-000090380000}"/>
    <cellStyle name="Финансовый 16 2 4 2 3 9" xfId="14578" xr:uid="{00000000-0005-0000-0000-000091380000}"/>
    <cellStyle name="Финансовый 16 2 4 2 4" xfId="6915" xr:uid="{00000000-0005-0000-0000-000092380000}"/>
    <cellStyle name="Финансовый 16 2 4 2 4 10" xfId="15834" xr:uid="{00000000-0005-0000-0000-000093380000}"/>
    <cellStyle name="Финансовый 16 2 4 2 4 2" xfId="7912" xr:uid="{00000000-0005-0000-0000-000094380000}"/>
    <cellStyle name="Финансовый 16 2 4 2 4 3" xfId="8918" xr:uid="{00000000-0005-0000-0000-000095380000}"/>
    <cellStyle name="Финансовый 16 2 4 2 4 4" xfId="9904" xr:uid="{00000000-0005-0000-0000-000096380000}"/>
    <cellStyle name="Финансовый 16 2 4 2 4 5" xfId="10890" xr:uid="{00000000-0005-0000-0000-000097380000}"/>
    <cellStyle name="Финансовый 16 2 4 2 4 6" xfId="11876" xr:uid="{00000000-0005-0000-0000-000098380000}"/>
    <cellStyle name="Финансовый 16 2 4 2 4 7" xfId="12862" xr:uid="{00000000-0005-0000-0000-000099380000}"/>
    <cellStyle name="Финансовый 16 2 4 2 4 8" xfId="13848" xr:uid="{00000000-0005-0000-0000-00009A380000}"/>
    <cellStyle name="Финансовый 16 2 4 2 4 9" xfId="14848" xr:uid="{00000000-0005-0000-0000-00009B380000}"/>
    <cellStyle name="Финансовый 16 2 4 2 5" xfId="7198" xr:uid="{00000000-0005-0000-0000-00009C380000}"/>
    <cellStyle name="Финансовый 16 2 4 2 6" xfId="8204" xr:uid="{00000000-0005-0000-0000-00009D380000}"/>
    <cellStyle name="Финансовый 16 2 4 2 7" xfId="9190" xr:uid="{00000000-0005-0000-0000-00009E380000}"/>
    <cellStyle name="Финансовый 16 2 4 2 8" xfId="10176" xr:uid="{00000000-0005-0000-0000-00009F380000}"/>
    <cellStyle name="Финансовый 16 2 4 2 9" xfId="11162" xr:uid="{00000000-0005-0000-0000-0000A0380000}"/>
    <cellStyle name="Финансовый 16 2 4 3" xfId="6199" xr:uid="{00000000-0005-0000-0000-0000A1380000}"/>
    <cellStyle name="Финансовый 16 2 4 3 10" xfId="13136" xr:uid="{00000000-0005-0000-0000-0000A2380000}"/>
    <cellStyle name="Финансовый 16 2 4 3 11" xfId="14136" xr:uid="{00000000-0005-0000-0000-0000A3380000}"/>
    <cellStyle name="Финансовый 16 2 4 3 12" xfId="15122" xr:uid="{00000000-0005-0000-0000-0000A4380000}"/>
    <cellStyle name="Финансовый 16 2 4 3 2" xfId="6647" xr:uid="{00000000-0005-0000-0000-0000A5380000}"/>
    <cellStyle name="Финансовый 16 2 4 3 2 10" xfId="15566" xr:uid="{00000000-0005-0000-0000-0000A6380000}"/>
    <cellStyle name="Финансовый 16 2 4 3 2 2" xfId="7644" xr:uid="{00000000-0005-0000-0000-0000A7380000}"/>
    <cellStyle name="Финансовый 16 2 4 3 2 3" xfId="8650" xr:uid="{00000000-0005-0000-0000-0000A8380000}"/>
    <cellStyle name="Финансовый 16 2 4 3 2 4" xfId="9636" xr:uid="{00000000-0005-0000-0000-0000A9380000}"/>
    <cellStyle name="Финансовый 16 2 4 3 2 5" xfId="10622" xr:uid="{00000000-0005-0000-0000-0000AA380000}"/>
    <cellStyle name="Финансовый 16 2 4 3 2 6" xfId="11608" xr:uid="{00000000-0005-0000-0000-0000AB380000}"/>
    <cellStyle name="Финансовый 16 2 4 3 2 7" xfId="12594" xr:uid="{00000000-0005-0000-0000-0000AC380000}"/>
    <cellStyle name="Финансовый 16 2 4 3 2 8" xfId="13580" xr:uid="{00000000-0005-0000-0000-0000AD380000}"/>
    <cellStyle name="Финансовый 16 2 4 3 2 9" xfId="14580" xr:uid="{00000000-0005-0000-0000-0000AE380000}"/>
    <cellStyle name="Финансовый 16 2 4 3 3" xfId="6917" xr:uid="{00000000-0005-0000-0000-0000AF380000}"/>
    <cellStyle name="Финансовый 16 2 4 3 3 10" xfId="15836" xr:uid="{00000000-0005-0000-0000-0000B0380000}"/>
    <cellStyle name="Финансовый 16 2 4 3 3 2" xfId="7914" xr:uid="{00000000-0005-0000-0000-0000B1380000}"/>
    <cellStyle name="Финансовый 16 2 4 3 3 3" xfId="8920" xr:uid="{00000000-0005-0000-0000-0000B2380000}"/>
    <cellStyle name="Финансовый 16 2 4 3 3 4" xfId="9906" xr:uid="{00000000-0005-0000-0000-0000B3380000}"/>
    <cellStyle name="Финансовый 16 2 4 3 3 5" xfId="10892" xr:uid="{00000000-0005-0000-0000-0000B4380000}"/>
    <cellStyle name="Финансовый 16 2 4 3 3 6" xfId="11878" xr:uid="{00000000-0005-0000-0000-0000B5380000}"/>
    <cellStyle name="Финансовый 16 2 4 3 3 7" xfId="12864" xr:uid="{00000000-0005-0000-0000-0000B6380000}"/>
    <cellStyle name="Финансовый 16 2 4 3 3 8" xfId="13850" xr:uid="{00000000-0005-0000-0000-0000B7380000}"/>
    <cellStyle name="Финансовый 16 2 4 3 3 9" xfId="14850" xr:uid="{00000000-0005-0000-0000-0000B8380000}"/>
    <cellStyle name="Финансовый 16 2 4 3 4" xfId="7200" xr:uid="{00000000-0005-0000-0000-0000B9380000}"/>
    <cellStyle name="Финансовый 16 2 4 3 5" xfId="8206" xr:uid="{00000000-0005-0000-0000-0000BA380000}"/>
    <cellStyle name="Финансовый 16 2 4 3 6" xfId="9192" xr:uid="{00000000-0005-0000-0000-0000BB380000}"/>
    <cellStyle name="Финансовый 16 2 4 3 7" xfId="10178" xr:uid="{00000000-0005-0000-0000-0000BC380000}"/>
    <cellStyle name="Финансовый 16 2 4 3 8" xfId="11164" xr:uid="{00000000-0005-0000-0000-0000BD380000}"/>
    <cellStyle name="Финансовый 16 2 4 3 9" xfId="12150" xr:uid="{00000000-0005-0000-0000-0000BE380000}"/>
    <cellStyle name="Финансовый 16 2 4 4" xfId="6644" xr:uid="{00000000-0005-0000-0000-0000BF380000}"/>
    <cellStyle name="Финансовый 16 2 4 4 10" xfId="15563" xr:uid="{00000000-0005-0000-0000-0000C0380000}"/>
    <cellStyle name="Финансовый 16 2 4 4 2" xfId="7641" xr:uid="{00000000-0005-0000-0000-0000C1380000}"/>
    <cellStyle name="Финансовый 16 2 4 4 3" xfId="8647" xr:uid="{00000000-0005-0000-0000-0000C2380000}"/>
    <cellStyle name="Финансовый 16 2 4 4 4" xfId="9633" xr:uid="{00000000-0005-0000-0000-0000C3380000}"/>
    <cellStyle name="Финансовый 16 2 4 4 5" xfId="10619" xr:uid="{00000000-0005-0000-0000-0000C4380000}"/>
    <cellStyle name="Финансовый 16 2 4 4 6" xfId="11605" xr:uid="{00000000-0005-0000-0000-0000C5380000}"/>
    <cellStyle name="Финансовый 16 2 4 4 7" xfId="12591" xr:uid="{00000000-0005-0000-0000-0000C6380000}"/>
    <cellStyle name="Финансовый 16 2 4 4 8" xfId="13577" xr:uid="{00000000-0005-0000-0000-0000C7380000}"/>
    <cellStyle name="Финансовый 16 2 4 4 9" xfId="14577" xr:uid="{00000000-0005-0000-0000-0000C8380000}"/>
    <cellStyle name="Финансовый 16 2 4 5" xfId="6914" xr:uid="{00000000-0005-0000-0000-0000C9380000}"/>
    <cellStyle name="Финансовый 16 2 4 5 10" xfId="15833" xr:uid="{00000000-0005-0000-0000-0000CA380000}"/>
    <cellStyle name="Финансовый 16 2 4 5 2" xfId="7911" xr:uid="{00000000-0005-0000-0000-0000CB380000}"/>
    <cellStyle name="Финансовый 16 2 4 5 3" xfId="8917" xr:uid="{00000000-0005-0000-0000-0000CC380000}"/>
    <cellStyle name="Финансовый 16 2 4 5 4" xfId="9903" xr:uid="{00000000-0005-0000-0000-0000CD380000}"/>
    <cellStyle name="Финансовый 16 2 4 5 5" xfId="10889" xr:uid="{00000000-0005-0000-0000-0000CE380000}"/>
    <cellStyle name="Финансовый 16 2 4 5 6" xfId="11875" xr:uid="{00000000-0005-0000-0000-0000CF380000}"/>
    <cellStyle name="Финансовый 16 2 4 5 7" xfId="12861" xr:uid="{00000000-0005-0000-0000-0000D0380000}"/>
    <cellStyle name="Финансовый 16 2 4 5 8" xfId="13847" xr:uid="{00000000-0005-0000-0000-0000D1380000}"/>
    <cellStyle name="Финансовый 16 2 4 5 9" xfId="14847" xr:uid="{00000000-0005-0000-0000-0000D2380000}"/>
    <cellStyle name="Финансовый 16 2 4 6" xfId="7197" xr:uid="{00000000-0005-0000-0000-0000D3380000}"/>
    <cellStyle name="Финансовый 16 2 4 7" xfId="8203" xr:uid="{00000000-0005-0000-0000-0000D4380000}"/>
    <cellStyle name="Финансовый 16 2 4 8" xfId="9189" xr:uid="{00000000-0005-0000-0000-0000D5380000}"/>
    <cellStyle name="Финансовый 16 2 4 9" xfId="10175" xr:uid="{00000000-0005-0000-0000-0000D6380000}"/>
    <cellStyle name="Финансовый 16 2 5" xfId="6200" xr:uid="{00000000-0005-0000-0000-0000D7380000}"/>
    <cellStyle name="Финансовый 16 2 5 10" xfId="11165" xr:uid="{00000000-0005-0000-0000-0000D8380000}"/>
    <cellStyle name="Финансовый 16 2 5 11" xfId="12151" xr:uid="{00000000-0005-0000-0000-0000D9380000}"/>
    <cellStyle name="Финансовый 16 2 5 12" xfId="13137" xr:uid="{00000000-0005-0000-0000-0000DA380000}"/>
    <cellStyle name="Финансовый 16 2 5 13" xfId="14137" xr:uid="{00000000-0005-0000-0000-0000DB380000}"/>
    <cellStyle name="Финансовый 16 2 5 14" xfId="15123" xr:uid="{00000000-0005-0000-0000-0000DC380000}"/>
    <cellStyle name="Финансовый 16 2 5 2" xfId="6201" xr:uid="{00000000-0005-0000-0000-0000DD380000}"/>
    <cellStyle name="Финансовый 16 2 5 2 10" xfId="12152" xr:uid="{00000000-0005-0000-0000-0000DE380000}"/>
    <cellStyle name="Финансовый 16 2 5 2 11" xfId="13138" xr:uid="{00000000-0005-0000-0000-0000DF380000}"/>
    <cellStyle name="Финансовый 16 2 5 2 12" xfId="14138" xr:uid="{00000000-0005-0000-0000-0000E0380000}"/>
    <cellStyle name="Финансовый 16 2 5 2 13" xfId="15124" xr:uid="{00000000-0005-0000-0000-0000E1380000}"/>
    <cellStyle name="Финансовый 16 2 5 2 2" xfId="6202" xr:uid="{00000000-0005-0000-0000-0000E2380000}"/>
    <cellStyle name="Финансовый 16 2 5 2 2 10" xfId="13139" xr:uid="{00000000-0005-0000-0000-0000E3380000}"/>
    <cellStyle name="Финансовый 16 2 5 2 2 11" xfId="14139" xr:uid="{00000000-0005-0000-0000-0000E4380000}"/>
    <cellStyle name="Финансовый 16 2 5 2 2 12" xfId="15125" xr:uid="{00000000-0005-0000-0000-0000E5380000}"/>
    <cellStyle name="Финансовый 16 2 5 2 2 2" xfId="6650" xr:uid="{00000000-0005-0000-0000-0000E6380000}"/>
    <cellStyle name="Финансовый 16 2 5 2 2 2 10" xfId="15569" xr:uid="{00000000-0005-0000-0000-0000E7380000}"/>
    <cellStyle name="Финансовый 16 2 5 2 2 2 2" xfId="7647" xr:uid="{00000000-0005-0000-0000-0000E8380000}"/>
    <cellStyle name="Финансовый 16 2 5 2 2 2 3" xfId="8653" xr:uid="{00000000-0005-0000-0000-0000E9380000}"/>
    <cellStyle name="Финансовый 16 2 5 2 2 2 4" xfId="9639" xr:uid="{00000000-0005-0000-0000-0000EA380000}"/>
    <cellStyle name="Финансовый 16 2 5 2 2 2 5" xfId="10625" xr:uid="{00000000-0005-0000-0000-0000EB380000}"/>
    <cellStyle name="Финансовый 16 2 5 2 2 2 6" xfId="11611" xr:uid="{00000000-0005-0000-0000-0000EC380000}"/>
    <cellStyle name="Финансовый 16 2 5 2 2 2 7" xfId="12597" xr:uid="{00000000-0005-0000-0000-0000ED380000}"/>
    <cellStyle name="Финансовый 16 2 5 2 2 2 8" xfId="13583" xr:uid="{00000000-0005-0000-0000-0000EE380000}"/>
    <cellStyle name="Финансовый 16 2 5 2 2 2 9" xfId="14583" xr:uid="{00000000-0005-0000-0000-0000EF380000}"/>
    <cellStyle name="Финансовый 16 2 5 2 2 3" xfId="6920" xr:uid="{00000000-0005-0000-0000-0000F0380000}"/>
    <cellStyle name="Финансовый 16 2 5 2 2 3 10" xfId="15839" xr:uid="{00000000-0005-0000-0000-0000F1380000}"/>
    <cellStyle name="Финансовый 16 2 5 2 2 3 2" xfId="7917" xr:uid="{00000000-0005-0000-0000-0000F2380000}"/>
    <cellStyle name="Финансовый 16 2 5 2 2 3 3" xfId="8923" xr:uid="{00000000-0005-0000-0000-0000F3380000}"/>
    <cellStyle name="Финансовый 16 2 5 2 2 3 4" xfId="9909" xr:uid="{00000000-0005-0000-0000-0000F4380000}"/>
    <cellStyle name="Финансовый 16 2 5 2 2 3 5" xfId="10895" xr:uid="{00000000-0005-0000-0000-0000F5380000}"/>
    <cellStyle name="Финансовый 16 2 5 2 2 3 6" xfId="11881" xr:uid="{00000000-0005-0000-0000-0000F6380000}"/>
    <cellStyle name="Финансовый 16 2 5 2 2 3 7" xfId="12867" xr:uid="{00000000-0005-0000-0000-0000F7380000}"/>
    <cellStyle name="Финансовый 16 2 5 2 2 3 8" xfId="13853" xr:uid="{00000000-0005-0000-0000-0000F8380000}"/>
    <cellStyle name="Финансовый 16 2 5 2 2 3 9" xfId="14853" xr:uid="{00000000-0005-0000-0000-0000F9380000}"/>
    <cellStyle name="Финансовый 16 2 5 2 2 4" xfId="7203" xr:uid="{00000000-0005-0000-0000-0000FA380000}"/>
    <cellStyle name="Финансовый 16 2 5 2 2 5" xfId="8209" xr:uid="{00000000-0005-0000-0000-0000FB380000}"/>
    <cellStyle name="Финансовый 16 2 5 2 2 6" xfId="9195" xr:uid="{00000000-0005-0000-0000-0000FC380000}"/>
    <cellStyle name="Финансовый 16 2 5 2 2 7" xfId="10181" xr:uid="{00000000-0005-0000-0000-0000FD380000}"/>
    <cellStyle name="Финансовый 16 2 5 2 2 8" xfId="11167" xr:uid="{00000000-0005-0000-0000-0000FE380000}"/>
    <cellStyle name="Финансовый 16 2 5 2 2 9" xfId="12153" xr:uid="{00000000-0005-0000-0000-0000FF380000}"/>
    <cellStyle name="Финансовый 16 2 5 2 3" xfId="6649" xr:uid="{00000000-0005-0000-0000-000000390000}"/>
    <cellStyle name="Финансовый 16 2 5 2 3 10" xfId="15568" xr:uid="{00000000-0005-0000-0000-000001390000}"/>
    <cellStyle name="Финансовый 16 2 5 2 3 2" xfId="7646" xr:uid="{00000000-0005-0000-0000-000002390000}"/>
    <cellStyle name="Финансовый 16 2 5 2 3 3" xfId="8652" xr:uid="{00000000-0005-0000-0000-000003390000}"/>
    <cellStyle name="Финансовый 16 2 5 2 3 4" xfId="9638" xr:uid="{00000000-0005-0000-0000-000004390000}"/>
    <cellStyle name="Финансовый 16 2 5 2 3 5" xfId="10624" xr:uid="{00000000-0005-0000-0000-000005390000}"/>
    <cellStyle name="Финансовый 16 2 5 2 3 6" xfId="11610" xr:uid="{00000000-0005-0000-0000-000006390000}"/>
    <cellStyle name="Финансовый 16 2 5 2 3 7" xfId="12596" xr:uid="{00000000-0005-0000-0000-000007390000}"/>
    <cellStyle name="Финансовый 16 2 5 2 3 8" xfId="13582" xr:uid="{00000000-0005-0000-0000-000008390000}"/>
    <cellStyle name="Финансовый 16 2 5 2 3 9" xfId="14582" xr:uid="{00000000-0005-0000-0000-000009390000}"/>
    <cellStyle name="Финансовый 16 2 5 2 4" xfId="6919" xr:uid="{00000000-0005-0000-0000-00000A390000}"/>
    <cellStyle name="Финансовый 16 2 5 2 4 10" xfId="15838" xr:uid="{00000000-0005-0000-0000-00000B390000}"/>
    <cellStyle name="Финансовый 16 2 5 2 4 2" xfId="7916" xr:uid="{00000000-0005-0000-0000-00000C390000}"/>
    <cellStyle name="Финансовый 16 2 5 2 4 3" xfId="8922" xr:uid="{00000000-0005-0000-0000-00000D390000}"/>
    <cellStyle name="Финансовый 16 2 5 2 4 4" xfId="9908" xr:uid="{00000000-0005-0000-0000-00000E390000}"/>
    <cellStyle name="Финансовый 16 2 5 2 4 5" xfId="10894" xr:uid="{00000000-0005-0000-0000-00000F390000}"/>
    <cellStyle name="Финансовый 16 2 5 2 4 6" xfId="11880" xr:uid="{00000000-0005-0000-0000-000010390000}"/>
    <cellStyle name="Финансовый 16 2 5 2 4 7" xfId="12866" xr:uid="{00000000-0005-0000-0000-000011390000}"/>
    <cellStyle name="Финансовый 16 2 5 2 4 8" xfId="13852" xr:uid="{00000000-0005-0000-0000-000012390000}"/>
    <cellStyle name="Финансовый 16 2 5 2 4 9" xfId="14852" xr:uid="{00000000-0005-0000-0000-000013390000}"/>
    <cellStyle name="Финансовый 16 2 5 2 5" xfId="7202" xr:uid="{00000000-0005-0000-0000-000014390000}"/>
    <cellStyle name="Финансовый 16 2 5 2 6" xfId="8208" xr:uid="{00000000-0005-0000-0000-000015390000}"/>
    <cellStyle name="Финансовый 16 2 5 2 7" xfId="9194" xr:uid="{00000000-0005-0000-0000-000016390000}"/>
    <cellStyle name="Финансовый 16 2 5 2 8" xfId="10180" xr:uid="{00000000-0005-0000-0000-000017390000}"/>
    <cellStyle name="Финансовый 16 2 5 2 9" xfId="11166" xr:uid="{00000000-0005-0000-0000-000018390000}"/>
    <cellStyle name="Финансовый 16 2 5 3" xfId="6203" xr:uid="{00000000-0005-0000-0000-000019390000}"/>
    <cellStyle name="Финансовый 16 2 5 3 10" xfId="13140" xr:uid="{00000000-0005-0000-0000-00001A390000}"/>
    <cellStyle name="Финансовый 16 2 5 3 11" xfId="14140" xr:uid="{00000000-0005-0000-0000-00001B390000}"/>
    <cellStyle name="Финансовый 16 2 5 3 12" xfId="15126" xr:uid="{00000000-0005-0000-0000-00001C390000}"/>
    <cellStyle name="Финансовый 16 2 5 3 2" xfId="6651" xr:uid="{00000000-0005-0000-0000-00001D390000}"/>
    <cellStyle name="Финансовый 16 2 5 3 2 10" xfId="15570" xr:uid="{00000000-0005-0000-0000-00001E390000}"/>
    <cellStyle name="Финансовый 16 2 5 3 2 2" xfId="7648" xr:uid="{00000000-0005-0000-0000-00001F390000}"/>
    <cellStyle name="Финансовый 16 2 5 3 2 3" xfId="8654" xr:uid="{00000000-0005-0000-0000-000020390000}"/>
    <cellStyle name="Финансовый 16 2 5 3 2 4" xfId="9640" xr:uid="{00000000-0005-0000-0000-000021390000}"/>
    <cellStyle name="Финансовый 16 2 5 3 2 5" xfId="10626" xr:uid="{00000000-0005-0000-0000-000022390000}"/>
    <cellStyle name="Финансовый 16 2 5 3 2 6" xfId="11612" xr:uid="{00000000-0005-0000-0000-000023390000}"/>
    <cellStyle name="Финансовый 16 2 5 3 2 7" xfId="12598" xr:uid="{00000000-0005-0000-0000-000024390000}"/>
    <cellStyle name="Финансовый 16 2 5 3 2 8" xfId="13584" xr:uid="{00000000-0005-0000-0000-000025390000}"/>
    <cellStyle name="Финансовый 16 2 5 3 2 9" xfId="14584" xr:uid="{00000000-0005-0000-0000-000026390000}"/>
    <cellStyle name="Финансовый 16 2 5 3 3" xfId="6921" xr:uid="{00000000-0005-0000-0000-000027390000}"/>
    <cellStyle name="Финансовый 16 2 5 3 3 10" xfId="15840" xr:uid="{00000000-0005-0000-0000-000028390000}"/>
    <cellStyle name="Финансовый 16 2 5 3 3 2" xfId="7918" xr:uid="{00000000-0005-0000-0000-000029390000}"/>
    <cellStyle name="Финансовый 16 2 5 3 3 3" xfId="8924" xr:uid="{00000000-0005-0000-0000-00002A390000}"/>
    <cellStyle name="Финансовый 16 2 5 3 3 4" xfId="9910" xr:uid="{00000000-0005-0000-0000-00002B390000}"/>
    <cellStyle name="Финансовый 16 2 5 3 3 5" xfId="10896" xr:uid="{00000000-0005-0000-0000-00002C390000}"/>
    <cellStyle name="Финансовый 16 2 5 3 3 6" xfId="11882" xr:uid="{00000000-0005-0000-0000-00002D390000}"/>
    <cellStyle name="Финансовый 16 2 5 3 3 7" xfId="12868" xr:uid="{00000000-0005-0000-0000-00002E390000}"/>
    <cellStyle name="Финансовый 16 2 5 3 3 8" xfId="13854" xr:uid="{00000000-0005-0000-0000-00002F390000}"/>
    <cellStyle name="Финансовый 16 2 5 3 3 9" xfId="14854" xr:uid="{00000000-0005-0000-0000-000030390000}"/>
    <cellStyle name="Финансовый 16 2 5 3 4" xfId="7204" xr:uid="{00000000-0005-0000-0000-000031390000}"/>
    <cellStyle name="Финансовый 16 2 5 3 5" xfId="8210" xr:uid="{00000000-0005-0000-0000-000032390000}"/>
    <cellStyle name="Финансовый 16 2 5 3 6" xfId="9196" xr:uid="{00000000-0005-0000-0000-000033390000}"/>
    <cellStyle name="Финансовый 16 2 5 3 7" xfId="10182" xr:uid="{00000000-0005-0000-0000-000034390000}"/>
    <cellStyle name="Финансовый 16 2 5 3 8" xfId="11168" xr:uid="{00000000-0005-0000-0000-000035390000}"/>
    <cellStyle name="Финансовый 16 2 5 3 9" xfId="12154" xr:uid="{00000000-0005-0000-0000-000036390000}"/>
    <cellStyle name="Финансовый 16 2 5 4" xfId="6648" xr:uid="{00000000-0005-0000-0000-000037390000}"/>
    <cellStyle name="Финансовый 16 2 5 4 10" xfId="15567" xr:uid="{00000000-0005-0000-0000-000038390000}"/>
    <cellStyle name="Финансовый 16 2 5 4 2" xfId="7645" xr:uid="{00000000-0005-0000-0000-000039390000}"/>
    <cellStyle name="Финансовый 16 2 5 4 3" xfId="8651" xr:uid="{00000000-0005-0000-0000-00003A390000}"/>
    <cellStyle name="Финансовый 16 2 5 4 4" xfId="9637" xr:uid="{00000000-0005-0000-0000-00003B390000}"/>
    <cellStyle name="Финансовый 16 2 5 4 5" xfId="10623" xr:uid="{00000000-0005-0000-0000-00003C390000}"/>
    <cellStyle name="Финансовый 16 2 5 4 6" xfId="11609" xr:uid="{00000000-0005-0000-0000-00003D390000}"/>
    <cellStyle name="Финансовый 16 2 5 4 7" xfId="12595" xr:uid="{00000000-0005-0000-0000-00003E390000}"/>
    <cellStyle name="Финансовый 16 2 5 4 8" xfId="13581" xr:uid="{00000000-0005-0000-0000-00003F390000}"/>
    <cellStyle name="Финансовый 16 2 5 4 9" xfId="14581" xr:uid="{00000000-0005-0000-0000-000040390000}"/>
    <cellStyle name="Финансовый 16 2 5 5" xfId="6918" xr:uid="{00000000-0005-0000-0000-000041390000}"/>
    <cellStyle name="Финансовый 16 2 5 5 10" xfId="15837" xr:uid="{00000000-0005-0000-0000-000042390000}"/>
    <cellStyle name="Финансовый 16 2 5 5 2" xfId="7915" xr:uid="{00000000-0005-0000-0000-000043390000}"/>
    <cellStyle name="Финансовый 16 2 5 5 3" xfId="8921" xr:uid="{00000000-0005-0000-0000-000044390000}"/>
    <cellStyle name="Финансовый 16 2 5 5 4" xfId="9907" xr:uid="{00000000-0005-0000-0000-000045390000}"/>
    <cellStyle name="Финансовый 16 2 5 5 5" xfId="10893" xr:uid="{00000000-0005-0000-0000-000046390000}"/>
    <cellStyle name="Финансовый 16 2 5 5 6" xfId="11879" xr:uid="{00000000-0005-0000-0000-000047390000}"/>
    <cellStyle name="Финансовый 16 2 5 5 7" xfId="12865" xr:uid="{00000000-0005-0000-0000-000048390000}"/>
    <cellStyle name="Финансовый 16 2 5 5 8" xfId="13851" xr:uid="{00000000-0005-0000-0000-000049390000}"/>
    <cellStyle name="Финансовый 16 2 5 5 9" xfId="14851" xr:uid="{00000000-0005-0000-0000-00004A390000}"/>
    <cellStyle name="Финансовый 16 2 5 6" xfId="7201" xr:uid="{00000000-0005-0000-0000-00004B390000}"/>
    <cellStyle name="Финансовый 16 2 5 7" xfId="8207" xr:uid="{00000000-0005-0000-0000-00004C390000}"/>
    <cellStyle name="Финансовый 16 2 5 8" xfId="9193" xr:uid="{00000000-0005-0000-0000-00004D390000}"/>
    <cellStyle name="Финансовый 16 2 5 9" xfId="10179" xr:uid="{00000000-0005-0000-0000-00004E390000}"/>
    <cellStyle name="Финансовый 16 2 6" xfId="6204" xr:uid="{00000000-0005-0000-0000-00004F390000}"/>
    <cellStyle name="Финансовый 16 2 6 10" xfId="12155" xr:uid="{00000000-0005-0000-0000-000050390000}"/>
    <cellStyle name="Финансовый 16 2 6 11" xfId="13141" xr:uid="{00000000-0005-0000-0000-000051390000}"/>
    <cellStyle name="Финансовый 16 2 6 12" xfId="14141" xr:uid="{00000000-0005-0000-0000-000052390000}"/>
    <cellStyle name="Финансовый 16 2 6 13" xfId="15127" xr:uid="{00000000-0005-0000-0000-000053390000}"/>
    <cellStyle name="Финансовый 16 2 6 2" xfId="6205" xr:uid="{00000000-0005-0000-0000-000054390000}"/>
    <cellStyle name="Финансовый 16 2 6 2 10" xfId="13142" xr:uid="{00000000-0005-0000-0000-000055390000}"/>
    <cellStyle name="Финансовый 16 2 6 2 11" xfId="14142" xr:uid="{00000000-0005-0000-0000-000056390000}"/>
    <cellStyle name="Финансовый 16 2 6 2 12" xfId="15128" xr:uid="{00000000-0005-0000-0000-000057390000}"/>
    <cellStyle name="Финансовый 16 2 6 2 2" xfId="6653" xr:uid="{00000000-0005-0000-0000-000058390000}"/>
    <cellStyle name="Финансовый 16 2 6 2 2 10" xfId="15572" xr:uid="{00000000-0005-0000-0000-000059390000}"/>
    <cellStyle name="Финансовый 16 2 6 2 2 2" xfId="7650" xr:uid="{00000000-0005-0000-0000-00005A390000}"/>
    <cellStyle name="Финансовый 16 2 6 2 2 3" xfId="8656" xr:uid="{00000000-0005-0000-0000-00005B390000}"/>
    <cellStyle name="Финансовый 16 2 6 2 2 4" xfId="9642" xr:uid="{00000000-0005-0000-0000-00005C390000}"/>
    <cellStyle name="Финансовый 16 2 6 2 2 5" xfId="10628" xr:uid="{00000000-0005-0000-0000-00005D390000}"/>
    <cellStyle name="Финансовый 16 2 6 2 2 6" xfId="11614" xr:uid="{00000000-0005-0000-0000-00005E390000}"/>
    <cellStyle name="Финансовый 16 2 6 2 2 7" xfId="12600" xr:uid="{00000000-0005-0000-0000-00005F390000}"/>
    <cellStyle name="Финансовый 16 2 6 2 2 8" xfId="13586" xr:uid="{00000000-0005-0000-0000-000060390000}"/>
    <cellStyle name="Финансовый 16 2 6 2 2 9" xfId="14586" xr:uid="{00000000-0005-0000-0000-000061390000}"/>
    <cellStyle name="Финансовый 16 2 6 2 3" xfId="6923" xr:uid="{00000000-0005-0000-0000-000062390000}"/>
    <cellStyle name="Финансовый 16 2 6 2 3 10" xfId="15842" xr:uid="{00000000-0005-0000-0000-000063390000}"/>
    <cellStyle name="Финансовый 16 2 6 2 3 2" xfId="7920" xr:uid="{00000000-0005-0000-0000-000064390000}"/>
    <cellStyle name="Финансовый 16 2 6 2 3 3" xfId="8926" xr:uid="{00000000-0005-0000-0000-000065390000}"/>
    <cellStyle name="Финансовый 16 2 6 2 3 4" xfId="9912" xr:uid="{00000000-0005-0000-0000-000066390000}"/>
    <cellStyle name="Финансовый 16 2 6 2 3 5" xfId="10898" xr:uid="{00000000-0005-0000-0000-000067390000}"/>
    <cellStyle name="Финансовый 16 2 6 2 3 6" xfId="11884" xr:uid="{00000000-0005-0000-0000-000068390000}"/>
    <cellStyle name="Финансовый 16 2 6 2 3 7" xfId="12870" xr:uid="{00000000-0005-0000-0000-000069390000}"/>
    <cellStyle name="Финансовый 16 2 6 2 3 8" xfId="13856" xr:uid="{00000000-0005-0000-0000-00006A390000}"/>
    <cellStyle name="Финансовый 16 2 6 2 3 9" xfId="14856" xr:uid="{00000000-0005-0000-0000-00006B390000}"/>
    <cellStyle name="Финансовый 16 2 6 2 4" xfId="7206" xr:uid="{00000000-0005-0000-0000-00006C390000}"/>
    <cellStyle name="Финансовый 16 2 6 2 5" xfId="8212" xr:uid="{00000000-0005-0000-0000-00006D390000}"/>
    <cellStyle name="Финансовый 16 2 6 2 6" xfId="9198" xr:uid="{00000000-0005-0000-0000-00006E390000}"/>
    <cellStyle name="Финансовый 16 2 6 2 7" xfId="10184" xr:uid="{00000000-0005-0000-0000-00006F390000}"/>
    <cellStyle name="Финансовый 16 2 6 2 8" xfId="11170" xr:uid="{00000000-0005-0000-0000-000070390000}"/>
    <cellStyle name="Финансовый 16 2 6 2 9" xfId="12156" xr:uid="{00000000-0005-0000-0000-000071390000}"/>
    <cellStyle name="Финансовый 16 2 6 3" xfId="6652" xr:uid="{00000000-0005-0000-0000-000072390000}"/>
    <cellStyle name="Финансовый 16 2 6 3 10" xfId="15571" xr:uid="{00000000-0005-0000-0000-000073390000}"/>
    <cellStyle name="Финансовый 16 2 6 3 2" xfId="7649" xr:uid="{00000000-0005-0000-0000-000074390000}"/>
    <cellStyle name="Финансовый 16 2 6 3 3" xfId="8655" xr:uid="{00000000-0005-0000-0000-000075390000}"/>
    <cellStyle name="Финансовый 16 2 6 3 4" xfId="9641" xr:uid="{00000000-0005-0000-0000-000076390000}"/>
    <cellStyle name="Финансовый 16 2 6 3 5" xfId="10627" xr:uid="{00000000-0005-0000-0000-000077390000}"/>
    <cellStyle name="Финансовый 16 2 6 3 6" xfId="11613" xr:uid="{00000000-0005-0000-0000-000078390000}"/>
    <cellStyle name="Финансовый 16 2 6 3 7" xfId="12599" xr:uid="{00000000-0005-0000-0000-000079390000}"/>
    <cellStyle name="Финансовый 16 2 6 3 8" xfId="13585" xr:uid="{00000000-0005-0000-0000-00007A390000}"/>
    <cellStyle name="Финансовый 16 2 6 3 9" xfId="14585" xr:uid="{00000000-0005-0000-0000-00007B390000}"/>
    <cellStyle name="Финансовый 16 2 6 4" xfId="6922" xr:uid="{00000000-0005-0000-0000-00007C390000}"/>
    <cellStyle name="Финансовый 16 2 6 4 10" xfId="15841" xr:uid="{00000000-0005-0000-0000-00007D390000}"/>
    <cellStyle name="Финансовый 16 2 6 4 2" xfId="7919" xr:uid="{00000000-0005-0000-0000-00007E390000}"/>
    <cellStyle name="Финансовый 16 2 6 4 3" xfId="8925" xr:uid="{00000000-0005-0000-0000-00007F390000}"/>
    <cellStyle name="Финансовый 16 2 6 4 4" xfId="9911" xr:uid="{00000000-0005-0000-0000-000080390000}"/>
    <cellStyle name="Финансовый 16 2 6 4 5" xfId="10897" xr:uid="{00000000-0005-0000-0000-000081390000}"/>
    <cellStyle name="Финансовый 16 2 6 4 6" xfId="11883" xr:uid="{00000000-0005-0000-0000-000082390000}"/>
    <cellStyle name="Финансовый 16 2 6 4 7" xfId="12869" xr:uid="{00000000-0005-0000-0000-000083390000}"/>
    <cellStyle name="Финансовый 16 2 6 4 8" xfId="13855" xr:uid="{00000000-0005-0000-0000-000084390000}"/>
    <cellStyle name="Финансовый 16 2 6 4 9" xfId="14855" xr:uid="{00000000-0005-0000-0000-000085390000}"/>
    <cellStyle name="Финансовый 16 2 6 5" xfId="7205" xr:uid="{00000000-0005-0000-0000-000086390000}"/>
    <cellStyle name="Финансовый 16 2 6 6" xfId="8211" xr:uid="{00000000-0005-0000-0000-000087390000}"/>
    <cellStyle name="Финансовый 16 2 6 7" xfId="9197" xr:uid="{00000000-0005-0000-0000-000088390000}"/>
    <cellStyle name="Финансовый 16 2 6 8" xfId="10183" xr:uid="{00000000-0005-0000-0000-000089390000}"/>
    <cellStyle name="Финансовый 16 2 6 9" xfId="11169" xr:uid="{00000000-0005-0000-0000-00008A390000}"/>
    <cellStyle name="Финансовый 16 2 7" xfId="6206" xr:uid="{00000000-0005-0000-0000-00008B390000}"/>
    <cellStyle name="Финансовый 16 2 7 10" xfId="13143" xr:uid="{00000000-0005-0000-0000-00008C390000}"/>
    <cellStyle name="Финансовый 16 2 7 11" xfId="14143" xr:uid="{00000000-0005-0000-0000-00008D390000}"/>
    <cellStyle name="Финансовый 16 2 7 12" xfId="15129" xr:uid="{00000000-0005-0000-0000-00008E390000}"/>
    <cellStyle name="Финансовый 16 2 7 2" xfId="6654" xr:uid="{00000000-0005-0000-0000-00008F390000}"/>
    <cellStyle name="Финансовый 16 2 7 2 10" xfId="15573" xr:uid="{00000000-0005-0000-0000-000090390000}"/>
    <cellStyle name="Финансовый 16 2 7 2 2" xfId="7651" xr:uid="{00000000-0005-0000-0000-000091390000}"/>
    <cellStyle name="Финансовый 16 2 7 2 3" xfId="8657" xr:uid="{00000000-0005-0000-0000-000092390000}"/>
    <cellStyle name="Финансовый 16 2 7 2 4" xfId="9643" xr:uid="{00000000-0005-0000-0000-000093390000}"/>
    <cellStyle name="Финансовый 16 2 7 2 5" xfId="10629" xr:uid="{00000000-0005-0000-0000-000094390000}"/>
    <cellStyle name="Финансовый 16 2 7 2 6" xfId="11615" xr:uid="{00000000-0005-0000-0000-000095390000}"/>
    <cellStyle name="Финансовый 16 2 7 2 7" xfId="12601" xr:uid="{00000000-0005-0000-0000-000096390000}"/>
    <cellStyle name="Финансовый 16 2 7 2 8" xfId="13587" xr:uid="{00000000-0005-0000-0000-000097390000}"/>
    <cellStyle name="Финансовый 16 2 7 2 9" xfId="14587" xr:uid="{00000000-0005-0000-0000-000098390000}"/>
    <cellStyle name="Финансовый 16 2 7 3" xfId="6924" xr:uid="{00000000-0005-0000-0000-000099390000}"/>
    <cellStyle name="Финансовый 16 2 7 3 10" xfId="15843" xr:uid="{00000000-0005-0000-0000-00009A390000}"/>
    <cellStyle name="Финансовый 16 2 7 3 2" xfId="7921" xr:uid="{00000000-0005-0000-0000-00009B390000}"/>
    <cellStyle name="Финансовый 16 2 7 3 3" xfId="8927" xr:uid="{00000000-0005-0000-0000-00009C390000}"/>
    <cellStyle name="Финансовый 16 2 7 3 4" xfId="9913" xr:uid="{00000000-0005-0000-0000-00009D390000}"/>
    <cellStyle name="Финансовый 16 2 7 3 5" xfId="10899" xr:uid="{00000000-0005-0000-0000-00009E390000}"/>
    <cellStyle name="Финансовый 16 2 7 3 6" xfId="11885" xr:uid="{00000000-0005-0000-0000-00009F390000}"/>
    <cellStyle name="Финансовый 16 2 7 3 7" xfId="12871" xr:uid="{00000000-0005-0000-0000-0000A0390000}"/>
    <cellStyle name="Финансовый 16 2 7 3 8" xfId="13857" xr:uid="{00000000-0005-0000-0000-0000A1390000}"/>
    <cellStyle name="Финансовый 16 2 7 3 9" xfId="14857" xr:uid="{00000000-0005-0000-0000-0000A2390000}"/>
    <cellStyle name="Финансовый 16 2 7 4" xfId="7207" xr:uid="{00000000-0005-0000-0000-0000A3390000}"/>
    <cellStyle name="Финансовый 16 2 7 5" xfId="8213" xr:uid="{00000000-0005-0000-0000-0000A4390000}"/>
    <cellStyle name="Финансовый 16 2 7 6" xfId="9199" xr:uid="{00000000-0005-0000-0000-0000A5390000}"/>
    <cellStyle name="Финансовый 16 2 7 7" xfId="10185" xr:uid="{00000000-0005-0000-0000-0000A6390000}"/>
    <cellStyle name="Финансовый 16 2 7 8" xfId="11171" xr:uid="{00000000-0005-0000-0000-0000A7390000}"/>
    <cellStyle name="Финансовый 16 2 7 9" xfId="12157" xr:uid="{00000000-0005-0000-0000-0000A8390000}"/>
    <cellStyle name="Финансовый 16 2 8" xfId="6207" xr:uid="{00000000-0005-0000-0000-0000A9390000}"/>
    <cellStyle name="Финансовый 16 2 8 10" xfId="13144" xr:uid="{00000000-0005-0000-0000-0000AA390000}"/>
    <cellStyle name="Финансовый 16 2 8 11" xfId="14144" xr:uid="{00000000-0005-0000-0000-0000AB390000}"/>
    <cellStyle name="Финансовый 16 2 8 12" xfId="15130" xr:uid="{00000000-0005-0000-0000-0000AC390000}"/>
    <cellStyle name="Финансовый 16 2 8 2" xfId="6655" xr:uid="{00000000-0005-0000-0000-0000AD390000}"/>
    <cellStyle name="Финансовый 16 2 8 2 10" xfId="15574" xr:uid="{00000000-0005-0000-0000-0000AE390000}"/>
    <cellStyle name="Финансовый 16 2 8 2 2" xfId="7652" xr:uid="{00000000-0005-0000-0000-0000AF390000}"/>
    <cellStyle name="Финансовый 16 2 8 2 3" xfId="8658" xr:uid="{00000000-0005-0000-0000-0000B0390000}"/>
    <cellStyle name="Финансовый 16 2 8 2 4" xfId="9644" xr:uid="{00000000-0005-0000-0000-0000B1390000}"/>
    <cellStyle name="Финансовый 16 2 8 2 5" xfId="10630" xr:uid="{00000000-0005-0000-0000-0000B2390000}"/>
    <cellStyle name="Финансовый 16 2 8 2 6" xfId="11616" xr:uid="{00000000-0005-0000-0000-0000B3390000}"/>
    <cellStyle name="Финансовый 16 2 8 2 7" xfId="12602" xr:uid="{00000000-0005-0000-0000-0000B4390000}"/>
    <cellStyle name="Финансовый 16 2 8 2 8" xfId="13588" xr:uid="{00000000-0005-0000-0000-0000B5390000}"/>
    <cellStyle name="Финансовый 16 2 8 2 9" xfId="14588" xr:uid="{00000000-0005-0000-0000-0000B6390000}"/>
    <cellStyle name="Финансовый 16 2 8 3" xfId="6925" xr:uid="{00000000-0005-0000-0000-0000B7390000}"/>
    <cellStyle name="Финансовый 16 2 8 3 10" xfId="15844" xr:uid="{00000000-0005-0000-0000-0000B8390000}"/>
    <cellStyle name="Финансовый 16 2 8 3 2" xfId="7922" xr:uid="{00000000-0005-0000-0000-0000B9390000}"/>
    <cellStyle name="Финансовый 16 2 8 3 3" xfId="8928" xr:uid="{00000000-0005-0000-0000-0000BA390000}"/>
    <cellStyle name="Финансовый 16 2 8 3 4" xfId="9914" xr:uid="{00000000-0005-0000-0000-0000BB390000}"/>
    <cellStyle name="Финансовый 16 2 8 3 5" xfId="10900" xr:uid="{00000000-0005-0000-0000-0000BC390000}"/>
    <cellStyle name="Финансовый 16 2 8 3 6" xfId="11886" xr:uid="{00000000-0005-0000-0000-0000BD390000}"/>
    <cellStyle name="Финансовый 16 2 8 3 7" xfId="12872" xr:uid="{00000000-0005-0000-0000-0000BE390000}"/>
    <cellStyle name="Финансовый 16 2 8 3 8" xfId="13858" xr:uid="{00000000-0005-0000-0000-0000BF390000}"/>
    <cellStyle name="Финансовый 16 2 8 3 9" xfId="14858" xr:uid="{00000000-0005-0000-0000-0000C0390000}"/>
    <cellStyle name="Финансовый 16 2 8 4" xfId="7208" xr:uid="{00000000-0005-0000-0000-0000C1390000}"/>
    <cellStyle name="Финансовый 16 2 8 5" xfId="8214" xr:uid="{00000000-0005-0000-0000-0000C2390000}"/>
    <cellStyle name="Финансовый 16 2 8 6" xfId="9200" xr:uid="{00000000-0005-0000-0000-0000C3390000}"/>
    <cellStyle name="Финансовый 16 2 8 7" xfId="10186" xr:uid="{00000000-0005-0000-0000-0000C4390000}"/>
    <cellStyle name="Финансовый 16 2 8 8" xfId="11172" xr:uid="{00000000-0005-0000-0000-0000C5390000}"/>
    <cellStyle name="Финансовый 16 2 8 9" xfId="12158" xr:uid="{00000000-0005-0000-0000-0000C6390000}"/>
    <cellStyle name="Финансовый 16 2 9" xfId="6600" xr:uid="{00000000-0005-0000-0000-0000C7390000}"/>
    <cellStyle name="Финансовый 16 2 9 10" xfId="15519" xr:uid="{00000000-0005-0000-0000-0000C8390000}"/>
    <cellStyle name="Финансовый 16 2 9 2" xfId="7597" xr:uid="{00000000-0005-0000-0000-0000C9390000}"/>
    <cellStyle name="Финансовый 16 2 9 3" xfId="8603" xr:uid="{00000000-0005-0000-0000-0000CA390000}"/>
    <cellStyle name="Финансовый 16 2 9 4" xfId="9589" xr:uid="{00000000-0005-0000-0000-0000CB390000}"/>
    <cellStyle name="Финансовый 16 2 9 5" xfId="10575" xr:uid="{00000000-0005-0000-0000-0000CC390000}"/>
    <cellStyle name="Финансовый 16 2 9 6" xfId="11561" xr:uid="{00000000-0005-0000-0000-0000CD390000}"/>
    <cellStyle name="Финансовый 16 2 9 7" xfId="12547" xr:uid="{00000000-0005-0000-0000-0000CE390000}"/>
    <cellStyle name="Финансовый 16 2 9 8" xfId="13533" xr:uid="{00000000-0005-0000-0000-0000CF390000}"/>
    <cellStyle name="Финансовый 16 2 9 9" xfId="14533" xr:uid="{00000000-0005-0000-0000-0000D0390000}"/>
    <cellStyle name="Финансовый 16 3" xfId="6635" xr:uid="{00000000-0005-0000-0000-0000D1390000}"/>
    <cellStyle name="Финансовый 16 3 10" xfId="15554" xr:uid="{00000000-0005-0000-0000-0000D2390000}"/>
    <cellStyle name="Финансовый 16 3 2" xfId="7632" xr:uid="{00000000-0005-0000-0000-0000D3390000}"/>
    <cellStyle name="Финансовый 16 3 3" xfId="8638" xr:uid="{00000000-0005-0000-0000-0000D4390000}"/>
    <cellStyle name="Финансовый 16 3 4" xfId="9624" xr:uid="{00000000-0005-0000-0000-0000D5390000}"/>
    <cellStyle name="Финансовый 16 3 5" xfId="10610" xr:uid="{00000000-0005-0000-0000-0000D6390000}"/>
    <cellStyle name="Финансовый 16 3 6" xfId="11596" xr:uid="{00000000-0005-0000-0000-0000D7390000}"/>
    <cellStyle name="Финансовый 16 3 7" xfId="12582" xr:uid="{00000000-0005-0000-0000-0000D8390000}"/>
    <cellStyle name="Финансовый 16 3 8" xfId="13568" xr:uid="{00000000-0005-0000-0000-0000D9390000}"/>
    <cellStyle name="Финансовый 16 3 9" xfId="14568" xr:uid="{00000000-0005-0000-0000-0000DA390000}"/>
    <cellStyle name="Финансовый 16 4" xfId="6905" xr:uid="{00000000-0005-0000-0000-0000DB390000}"/>
    <cellStyle name="Финансовый 16 4 10" xfId="15824" xr:uid="{00000000-0005-0000-0000-0000DC390000}"/>
    <cellStyle name="Финансовый 16 4 2" xfId="7902" xr:uid="{00000000-0005-0000-0000-0000DD390000}"/>
    <cellStyle name="Финансовый 16 4 3" xfId="8908" xr:uid="{00000000-0005-0000-0000-0000DE390000}"/>
    <cellStyle name="Финансовый 16 4 4" xfId="9894" xr:uid="{00000000-0005-0000-0000-0000DF390000}"/>
    <cellStyle name="Финансовый 16 4 5" xfId="10880" xr:uid="{00000000-0005-0000-0000-0000E0390000}"/>
    <cellStyle name="Финансовый 16 4 6" xfId="11866" xr:uid="{00000000-0005-0000-0000-0000E1390000}"/>
    <cellStyle name="Финансовый 16 4 7" xfId="12852" xr:uid="{00000000-0005-0000-0000-0000E2390000}"/>
    <cellStyle name="Финансовый 16 4 8" xfId="13838" xr:uid="{00000000-0005-0000-0000-0000E3390000}"/>
    <cellStyle name="Финансовый 16 4 9" xfId="14838" xr:uid="{00000000-0005-0000-0000-0000E4390000}"/>
    <cellStyle name="Финансовый 16 5" xfId="7188" xr:uid="{00000000-0005-0000-0000-0000E5390000}"/>
    <cellStyle name="Финансовый 16 6" xfId="8194" xr:uid="{00000000-0005-0000-0000-0000E6390000}"/>
    <cellStyle name="Финансовый 16 7" xfId="9180" xr:uid="{00000000-0005-0000-0000-0000E7390000}"/>
    <cellStyle name="Финансовый 16 8" xfId="10166" xr:uid="{00000000-0005-0000-0000-0000E8390000}"/>
    <cellStyle name="Финансовый 16 9" xfId="11152" xr:uid="{00000000-0005-0000-0000-0000E9390000}"/>
    <cellStyle name="Финансовый 17" xfId="6691" xr:uid="{00000000-0005-0000-0000-0000EA390000}"/>
    <cellStyle name="Финансовый 17 10" xfId="14624" xr:uid="{00000000-0005-0000-0000-0000EB390000}"/>
    <cellStyle name="Финансовый 17 11" xfId="15610" xr:uid="{00000000-0005-0000-0000-0000EC390000}"/>
    <cellStyle name="Финансовый 17 2" xfId="6961" xr:uid="{00000000-0005-0000-0000-0000ED390000}"/>
    <cellStyle name="Финансовый 17 2 10" xfId="15880" xr:uid="{00000000-0005-0000-0000-0000EE390000}"/>
    <cellStyle name="Финансовый 17 2 2" xfId="7958" xr:uid="{00000000-0005-0000-0000-0000EF390000}"/>
    <cellStyle name="Финансовый 17 2 3" xfId="8964" xr:uid="{00000000-0005-0000-0000-0000F0390000}"/>
    <cellStyle name="Финансовый 17 2 4" xfId="9950" xr:uid="{00000000-0005-0000-0000-0000F1390000}"/>
    <cellStyle name="Финансовый 17 2 5" xfId="10936" xr:uid="{00000000-0005-0000-0000-0000F2390000}"/>
    <cellStyle name="Финансовый 17 2 6" xfId="11922" xr:uid="{00000000-0005-0000-0000-0000F3390000}"/>
    <cellStyle name="Финансовый 17 2 7" xfId="12908" xr:uid="{00000000-0005-0000-0000-0000F4390000}"/>
    <cellStyle name="Финансовый 17 2 8" xfId="13894" xr:uid="{00000000-0005-0000-0000-0000F5390000}"/>
    <cellStyle name="Финансовый 17 2 9" xfId="14894" xr:uid="{00000000-0005-0000-0000-0000F6390000}"/>
    <cellStyle name="Финансовый 17 3" xfId="7688" xr:uid="{00000000-0005-0000-0000-0000F7390000}"/>
    <cellStyle name="Финансовый 17 4" xfId="8694" xr:uid="{00000000-0005-0000-0000-0000F8390000}"/>
    <cellStyle name="Финансовый 17 5" xfId="9680" xr:uid="{00000000-0005-0000-0000-0000F9390000}"/>
    <cellStyle name="Финансовый 17 6" xfId="10666" xr:uid="{00000000-0005-0000-0000-0000FA390000}"/>
    <cellStyle name="Финансовый 17 7" xfId="11652" xr:uid="{00000000-0005-0000-0000-0000FB390000}"/>
    <cellStyle name="Финансовый 17 8" xfId="12638" xr:uid="{00000000-0005-0000-0000-0000FC390000}"/>
    <cellStyle name="Финансовый 17 9" xfId="13624" xr:uid="{00000000-0005-0000-0000-0000FD390000}"/>
    <cellStyle name="Финансовый 2" xfId="2662" xr:uid="{00000000-0005-0000-0000-0000FE390000}"/>
    <cellStyle name="Финансовый 2 2" xfId="2663" xr:uid="{00000000-0005-0000-0000-0000FF390000}"/>
    <cellStyle name="Финансовый 2 2 2" xfId="6022" xr:uid="{00000000-0005-0000-0000-0000003A0000}"/>
    <cellStyle name="Финансовый 2 2 3" xfId="6208" xr:uid="{00000000-0005-0000-0000-0000013A0000}"/>
    <cellStyle name="Финансовый 2 2 3 10" xfId="13145" xr:uid="{00000000-0005-0000-0000-0000023A0000}"/>
    <cellStyle name="Финансовый 2 2 3 11" xfId="14145" xr:uid="{00000000-0005-0000-0000-0000033A0000}"/>
    <cellStyle name="Финансовый 2 2 3 12" xfId="15131" xr:uid="{00000000-0005-0000-0000-0000043A0000}"/>
    <cellStyle name="Финансовый 2 2 3 2" xfId="6656" xr:uid="{00000000-0005-0000-0000-0000053A0000}"/>
    <cellStyle name="Финансовый 2 2 3 2 10" xfId="15575" xr:uid="{00000000-0005-0000-0000-0000063A0000}"/>
    <cellStyle name="Финансовый 2 2 3 2 2" xfId="7653" xr:uid="{00000000-0005-0000-0000-0000073A0000}"/>
    <cellStyle name="Финансовый 2 2 3 2 3" xfId="8659" xr:uid="{00000000-0005-0000-0000-0000083A0000}"/>
    <cellStyle name="Финансовый 2 2 3 2 4" xfId="9645" xr:uid="{00000000-0005-0000-0000-0000093A0000}"/>
    <cellStyle name="Финансовый 2 2 3 2 5" xfId="10631" xr:uid="{00000000-0005-0000-0000-00000A3A0000}"/>
    <cellStyle name="Финансовый 2 2 3 2 6" xfId="11617" xr:uid="{00000000-0005-0000-0000-00000B3A0000}"/>
    <cellStyle name="Финансовый 2 2 3 2 7" xfId="12603" xr:uid="{00000000-0005-0000-0000-00000C3A0000}"/>
    <cellStyle name="Финансовый 2 2 3 2 8" xfId="13589" xr:uid="{00000000-0005-0000-0000-00000D3A0000}"/>
    <cellStyle name="Финансовый 2 2 3 2 9" xfId="14589" xr:uid="{00000000-0005-0000-0000-00000E3A0000}"/>
    <cellStyle name="Финансовый 2 2 3 3" xfId="6926" xr:uid="{00000000-0005-0000-0000-00000F3A0000}"/>
    <cellStyle name="Финансовый 2 2 3 3 10" xfId="15845" xr:uid="{00000000-0005-0000-0000-0000103A0000}"/>
    <cellStyle name="Финансовый 2 2 3 3 2" xfId="7923" xr:uid="{00000000-0005-0000-0000-0000113A0000}"/>
    <cellStyle name="Финансовый 2 2 3 3 3" xfId="8929" xr:uid="{00000000-0005-0000-0000-0000123A0000}"/>
    <cellStyle name="Финансовый 2 2 3 3 4" xfId="9915" xr:uid="{00000000-0005-0000-0000-0000133A0000}"/>
    <cellStyle name="Финансовый 2 2 3 3 5" xfId="10901" xr:uid="{00000000-0005-0000-0000-0000143A0000}"/>
    <cellStyle name="Финансовый 2 2 3 3 6" xfId="11887" xr:uid="{00000000-0005-0000-0000-0000153A0000}"/>
    <cellStyle name="Финансовый 2 2 3 3 7" xfId="12873" xr:uid="{00000000-0005-0000-0000-0000163A0000}"/>
    <cellStyle name="Финансовый 2 2 3 3 8" xfId="13859" xr:uid="{00000000-0005-0000-0000-0000173A0000}"/>
    <cellStyle name="Финансовый 2 2 3 3 9" xfId="14859" xr:uid="{00000000-0005-0000-0000-0000183A0000}"/>
    <cellStyle name="Финансовый 2 2 3 4" xfId="7209" xr:uid="{00000000-0005-0000-0000-0000193A0000}"/>
    <cellStyle name="Финансовый 2 2 3 5" xfId="8215" xr:uid="{00000000-0005-0000-0000-00001A3A0000}"/>
    <cellStyle name="Финансовый 2 2 3 6" xfId="9201" xr:uid="{00000000-0005-0000-0000-00001B3A0000}"/>
    <cellStyle name="Финансовый 2 2 3 7" xfId="10187" xr:uid="{00000000-0005-0000-0000-00001C3A0000}"/>
    <cellStyle name="Финансовый 2 2 3 8" xfId="11173" xr:uid="{00000000-0005-0000-0000-00001D3A0000}"/>
    <cellStyle name="Финансовый 2 2 3 9" xfId="12159" xr:uid="{00000000-0005-0000-0000-00001E3A0000}"/>
    <cellStyle name="Финансовый 2 3" xfId="3413" xr:uid="{00000000-0005-0000-0000-00001F3A0000}"/>
    <cellStyle name="Финансовый 2 4" xfId="6209" xr:uid="{00000000-0005-0000-0000-0000203A0000}"/>
    <cellStyle name="Финансовый 3" xfId="2664" xr:uid="{00000000-0005-0000-0000-0000213A0000}"/>
    <cellStyle name="Финансовый 3 2" xfId="2665" xr:uid="{00000000-0005-0000-0000-0000223A0000}"/>
    <cellStyle name="Финансовый 3 2 2" xfId="2666" xr:uid="{00000000-0005-0000-0000-0000233A0000}"/>
    <cellStyle name="Финансовый 3 3" xfId="6210" xr:uid="{00000000-0005-0000-0000-0000243A0000}"/>
    <cellStyle name="Финансовый 4" xfId="2667" xr:uid="{00000000-0005-0000-0000-0000253A0000}"/>
    <cellStyle name="Финансовый 4 2" xfId="3429" xr:uid="{00000000-0005-0000-0000-0000263A0000}"/>
    <cellStyle name="Финансовый 4 2 2" xfId="6211" xr:uid="{00000000-0005-0000-0000-0000273A0000}"/>
    <cellStyle name="Финансовый 4 3" xfId="6212" xr:uid="{00000000-0005-0000-0000-0000283A0000}"/>
    <cellStyle name="Финансовый 4 3 10" xfId="12160" xr:uid="{00000000-0005-0000-0000-0000293A0000}"/>
    <cellStyle name="Финансовый 4 3 11" xfId="13146" xr:uid="{00000000-0005-0000-0000-00002A3A0000}"/>
    <cellStyle name="Финансовый 4 3 12" xfId="14146" xr:uid="{00000000-0005-0000-0000-00002B3A0000}"/>
    <cellStyle name="Финансовый 4 3 13" xfId="15132" xr:uid="{00000000-0005-0000-0000-00002C3A0000}"/>
    <cellStyle name="Финансовый 4 3 2" xfId="6213" xr:uid="{00000000-0005-0000-0000-00002D3A0000}"/>
    <cellStyle name="Финансовый 4 3 2 10" xfId="13147" xr:uid="{00000000-0005-0000-0000-00002E3A0000}"/>
    <cellStyle name="Финансовый 4 3 2 11" xfId="14147" xr:uid="{00000000-0005-0000-0000-00002F3A0000}"/>
    <cellStyle name="Финансовый 4 3 2 12" xfId="15133" xr:uid="{00000000-0005-0000-0000-0000303A0000}"/>
    <cellStyle name="Финансовый 4 3 2 2" xfId="6658" xr:uid="{00000000-0005-0000-0000-0000313A0000}"/>
    <cellStyle name="Финансовый 4 3 2 2 10" xfId="15577" xr:uid="{00000000-0005-0000-0000-0000323A0000}"/>
    <cellStyle name="Финансовый 4 3 2 2 2" xfId="7655" xr:uid="{00000000-0005-0000-0000-0000333A0000}"/>
    <cellStyle name="Финансовый 4 3 2 2 3" xfId="8661" xr:uid="{00000000-0005-0000-0000-0000343A0000}"/>
    <cellStyle name="Финансовый 4 3 2 2 4" xfId="9647" xr:uid="{00000000-0005-0000-0000-0000353A0000}"/>
    <cellStyle name="Финансовый 4 3 2 2 5" xfId="10633" xr:uid="{00000000-0005-0000-0000-0000363A0000}"/>
    <cellStyle name="Финансовый 4 3 2 2 6" xfId="11619" xr:uid="{00000000-0005-0000-0000-0000373A0000}"/>
    <cellStyle name="Финансовый 4 3 2 2 7" xfId="12605" xr:uid="{00000000-0005-0000-0000-0000383A0000}"/>
    <cellStyle name="Финансовый 4 3 2 2 8" xfId="13591" xr:uid="{00000000-0005-0000-0000-0000393A0000}"/>
    <cellStyle name="Финансовый 4 3 2 2 9" xfId="14591" xr:uid="{00000000-0005-0000-0000-00003A3A0000}"/>
    <cellStyle name="Финансовый 4 3 2 3" xfId="6928" xr:uid="{00000000-0005-0000-0000-00003B3A0000}"/>
    <cellStyle name="Финансовый 4 3 2 3 10" xfId="15847" xr:uid="{00000000-0005-0000-0000-00003C3A0000}"/>
    <cellStyle name="Финансовый 4 3 2 3 2" xfId="7925" xr:uid="{00000000-0005-0000-0000-00003D3A0000}"/>
    <cellStyle name="Финансовый 4 3 2 3 3" xfId="8931" xr:uid="{00000000-0005-0000-0000-00003E3A0000}"/>
    <cellStyle name="Финансовый 4 3 2 3 4" xfId="9917" xr:uid="{00000000-0005-0000-0000-00003F3A0000}"/>
    <cellStyle name="Финансовый 4 3 2 3 5" xfId="10903" xr:uid="{00000000-0005-0000-0000-0000403A0000}"/>
    <cellStyle name="Финансовый 4 3 2 3 6" xfId="11889" xr:uid="{00000000-0005-0000-0000-0000413A0000}"/>
    <cellStyle name="Финансовый 4 3 2 3 7" xfId="12875" xr:uid="{00000000-0005-0000-0000-0000423A0000}"/>
    <cellStyle name="Финансовый 4 3 2 3 8" xfId="13861" xr:uid="{00000000-0005-0000-0000-0000433A0000}"/>
    <cellStyle name="Финансовый 4 3 2 3 9" xfId="14861" xr:uid="{00000000-0005-0000-0000-0000443A0000}"/>
    <cellStyle name="Финансовый 4 3 2 4" xfId="7211" xr:uid="{00000000-0005-0000-0000-0000453A0000}"/>
    <cellStyle name="Финансовый 4 3 2 5" xfId="8217" xr:uid="{00000000-0005-0000-0000-0000463A0000}"/>
    <cellStyle name="Финансовый 4 3 2 6" xfId="9203" xr:uid="{00000000-0005-0000-0000-0000473A0000}"/>
    <cellStyle name="Финансовый 4 3 2 7" xfId="10189" xr:uid="{00000000-0005-0000-0000-0000483A0000}"/>
    <cellStyle name="Финансовый 4 3 2 8" xfId="11175" xr:uid="{00000000-0005-0000-0000-0000493A0000}"/>
    <cellStyle name="Финансовый 4 3 2 9" xfId="12161" xr:uid="{00000000-0005-0000-0000-00004A3A0000}"/>
    <cellStyle name="Финансовый 4 3 3" xfId="6657" xr:uid="{00000000-0005-0000-0000-00004B3A0000}"/>
    <cellStyle name="Финансовый 4 3 3 10" xfId="15576" xr:uid="{00000000-0005-0000-0000-00004C3A0000}"/>
    <cellStyle name="Финансовый 4 3 3 2" xfId="7654" xr:uid="{00000000-0005-0000-0000-00004D3A0000}"/>
    <cellStyle name="Финансовый 4 3 3 3" xfId="8660" xr:uid="{00000000-0005-0000-0000-00004E3A0000}"/>
    <cellStyle name="Финансовый 4 3 3 4" xfId="9646" xr:uid="{00000000-0005-0000-0000-00004F3A0000}"/>
    <cellStyle name="Финансовый 4 3 3 5" xfId="10632" xr:uid="{00000000-0005-0000-0000-0000503A0000}"/>
    <cellStyle name="Финансовый 4 3 3 6" xfId="11618" xr:uid="{00000000-0005-0000-0000-0000513A0000}"/>
    <cellStyle name="Финансовый 4 3 3 7" xfId="12604" xr:uid="{00000000-0005-0000-0000-0000523A0000}"/>
    <cellStyle name="Финансовый 4 3 3 8" xfId="13590" xr:uid="{00000000-0005-0000-0000-0000533A0000}"/>
    <cellStyle name="Финансовый 4 3 3 9" xfId="14590" xr:uid="{00000000-0005-0000-0000-0000543A0000}"/>
    <cellStyle name="Финансовый 4 3 4" xfId="6927" xr:uid="{00000000-0005-0000-0000-0000553A0000}"/>
    <cellStyle name="Финансовый 4 3 4 10" xfId="15846" xr:uid="{00000000-0005-0000-0000-0000563A0000}"/>
    <cellStyle name="Финансовый 4 3 4 2" xfId="7924" xr:uid="{00000000-0005-0000-0000-0000573A0000}"/>
    <cellStyle name="Финансовый 4 3 4 3" xfId="8930" xr:uid="{00000000-0005-0000-0000-0000583A0000}"/>
    <cellStyle name="Финансовый 4 3 4 4" xfId="9916" xr:uid="{00000000-0005-0000-0000-0000593A0000}"/>
    <cellStyle name="Финансовый 4 3 4 5" xfId="10902" xr:uid="{00000000-0005-0000-0000-00005A3A0000}"/>
    <cellStyle name="Финансовый 4 3 4 6" xfId="11888" xr:uid="{00000000-0005-0000-0000-00005B3A0000}"/>
    <cellStyle name="Финансовый 4 3 4 7" xfId="12874" xr:uid="{00000000-0005-0000-0000-00005C3A0000}"/>
    <cellStyle name="Финансовый 4 3 4 8" xfId="13860" xr:uid="{00000000-0005-0000-0000-00005D3A0000}"/>
    <cellStyle name="Финансовый 4 3 4 9" xfId="14860" xr:uid="{00000000-0005-0000-0000-00005E3A0000}"/>
    <cellStyle name="Финансовый 4 3 5" xfId="7210" xr:uid="{00000000-0005-0000-0000-00005F3A0000}"/>
    <cellStyle name="Финансовый 4 3 6" xfId="8216" xr:uid="{00000000-0005-0000-0000-0000603A0000}"/>
    <cellStyle name="Финансовый 4 3 7" xfId="9202" xr:uid="{00000000-0005-0000-0000-0000613A0000}"/>
    <cellStyle name="Финансовый 4 3 8" xfId="10188" xr:uid="{00000000-0005-0000-0000-0000623A0000}"/>
    <cellStyle name="Финансовый 4 3 9" xfId="11174" xr:uid="{00000000-0005-0000-0000-0000633A0000}"/>
    <cellStyle name="Финансовый 4 4" xfId="6214" xr:uid="{00000000-0005-0000-0000-0000643A0000}"/>
    <cellStyle name="Финансовый 4 4 10" xfId="13148" xr:uid="{00000000-0005-0000-0000-0000653A0000}"/>
    <cellStyle name="Финансовый 4 4 11" xfId="14148" xr:uid="{00000000-0005-0000-0000-0000663A0000}"/>
    <cellStyle name="Финансовый 4 4 12" xfId="15134" xr:uid="{00000000-0005-0000-0000-0000673A0000}"/>
    <cellStyle name="Финансовый 4 4 2" xfId="6659" xr:uid="{00000000-0005-0000-0000-0000683A0000}"/>
    <cellStyle name="Финансовый 4 4 2 10" xfId="15578" xr:uid="{00000000-0005-0000-0000-0000693A0000}"/>
    <cellStyle name="Финансовый 4 4 2 2" xfId="7656" xr:uid="{00000000-0005-0000-0000-00006A3A0000}"/>
    <cellStyle name="Финансовый 4 4 2 3" xfId="8662" xr:uid="{00000000-0005-0000-0000-00006B3A0000}"/>
    <cellStyle name="Финансовый 4 4 2 4" xfId="9648" xr:uid="{00000000-0005-0000-0000-00006C3A0000}"/>
    <cellStyle name="Финансовый 4 4 2 5" xfId="10634" xr:uid="{00000000-0005-0000-0000-00006D3A0000}"/>
    <cellStyle name="Финансовый 4 4 2 6" xfId="11620" xr:uid="{00000000-0005-0000-0000-00006E3A0000}"/>
    <cellStyle name="Финансовый 4 4 2 7" xfId="12606" xr:uid="{00000000-0005-0000-0000-00006F3A0000}"/>
    <cellStyle name="Финансовый 4 4 2 8" xfId="13592" xr:uid="{00000000-0005-0000-0000-0000703A0000}"/>
    <cellStyle name="Финансовый 4 4 2 9" xfId="14592" xr:uid="{00000000-0005-0000-0000-0000713A0000}"/>
    <cellStyle name="Финансовый 4 4 3" xfId="6929" xr:uid="{00000000-0005-0000-0000-0000723A0000}"/>
    <cellStyle name="Финансовый 4 4 3 10" xfId="15848" xr:uid="{00000000-0005-0000-0000-0000733A0000}"/>
    <cellStyle name="Финансовый 4 4 3 2" xfId="7926" xr:uid="{00000000-0005-0000-0000-0000743A0000}"/>
    <cellStyle name="Финансовый 4 4 3 3" xfId="8932" xr:uid="{00000000-0005-0000-0000-0000753A0000}"/>
    <cellStyle name="Финансовый 4 4 3 4" xfId="9918" xr:uid="{00000000-0005-0000-0000-0000763A0000}"/>
    <cellStyle name="Финансовый 4 4 3 5" xfId="10904" xr:uid="{00000000-0005-0000-0000-0000773A0000}"/>
    <cellStyle name="Финансовый 4 4 3 6" xfId="11890" xr:uid="{00000000-0005-0000-0000-0000783A0000}"/>
    <cellStyle name="Финансовый 4 4 3 7" xfId="12876" xr:uid="{00000000-0005-0000-0000-0000793A0000}"/>
    <cellStyle name="Финансовый 4 4 3 8" xfId="13862" xr:uid="{00000000-0005-0000-0000-00007A3A0000}"/>
    <cellStyle name="Финансовый 4 4 3 9" xfId="14862" xr:uid="{00000000-0005-0000-0000-00007B3A0000}"/>
    <cellStyle name="Финансовый 4 4 4" xfId="7212" xr:uid="{00000000-0005-0000-0000-00007C3A0000}"/>
    <cellStyle name="Финансовый 4 4 5" xfId="8218" xr:uid="{00000000-0005-0000-0000-00007D3A0000}"/>
    <cellStyle name="Финансовый 4 4 6" xfId="9204" xr:uid="{00000000-0005-0000-0000-00007E3A0000}"/>
    <cellStyle name="Финансовый 4 4 7" xfId="10190" xr:uid="{00000000-0005-0000-0000-00007F3A0000}"/>
    <cellStyle name="Финансовый 4 4 8" xfId="11176" xr:uid="{00000000-0005-0000-0000-0000803A0000}"/>
    <cellStyle name="Финансовый 4 4 9" xfId="12162" xr:uid="{00000000-0005-0000-0000-0000813A0000}"/>
    <cellStyle name="Финансовый 4 5" xfId="6215" xr:uid="{00000000-0005-0000-0000-0000823A0000}"/>
    <cellStyle name="Финансовый 4 5 10" xfId="13149" xr:uid="{00000000-0005-0000-0000-0000833A0000}"/>
    <cellStyle name="Финансовый 4 5 11" xfId="14149" xr:uid="{00000000-0005-0000-0000-0000843A0000}"/>
    <cellStyle name="Финансовый 4 5 12" xfId="15135" xr:uid="{00000000-0005-0000-0000-0000853A0000}"/>
    <cellStyle name="Финансовый 4 5 2" xfId="6660" xr:uid="{00000000-0005-0000-0000-0000863A0000}"/>
    <cellStyle name="Финансовый 4 5 2 10" xfId="15579" xr:uid="{00000000-0005-0000-0000-0000873A0000}"/>
    <cellStyle name="Финансовый 4 5 2 2" xfId="7657" xr:uid="{00000000-0005-0000-0000-0000883A0000}"/>
    <cellStyle name="Финансовый 4 5 2 3" xfId="8663" xr:uid="{00000000-0005-0000-0000-0000893A0000}"/>
    <cellStyle name="Финансовый 4 5 2 4" xfId="9649" xr:uid="{00000000-0005-0000-0000-00008A3A0000}"/>
    <cellStyle name="Финансовый 4 5 2 5" xfId="10635" xr:uid="{00000000-0005-0000-0000-00008B3A0000}"/>
    <cellStyle name="Финансовый 4 5 2 6" xfId="11621" xr:uid="{00000000-0005-0000-0000-00008C3A0000}"/>
    <cellStyle name="Финансовый 4 5 2 7" xfId="12607" xr:uid="{00000000-0005-0000-0000-00008D3A0000}"/>
    <cellStyle name="Финансовый 4 5 2 8" xfId="13593" xr:uid="{00000000-0005-0000-0000-00008E3A0000}"/>
    <cellStyle name="Финансовый 4 5 2 9" xfId="14593" xr:uid="{00000000-0005-0000-0000-00008F3A0000}"/>
    <cellStyle name="Финансовый 4 5 3" xfId="6930" xr:uid="{00000000-0005-0000-0000-0000903A0000}"/>
    <cellStyle name="Финансовый 4 5 3 10" xfId="15849" xr:uid="{00000000-0005-0000-0000-0000913A0000}"/>
    <cellStyle name="Финансовый 4 5 3 2" xfId="7927" xr:uid="{00000000-0005-0000-0000-0000923A0000}"/>
    <cellStyle name="Финансовый 4 5 3 3" xfId="8933" xr:uid="{00000000-0005-0000-0000-0000933A0000}"/>
    <cellStyle name="Финансовый 4 5 3 4" xfId="9919" xr:uid="{00000000-0005-0000-0000-0000943A0000}"/>
    <cellStyle name="Финансовый 4 5 3 5" xfId="10905" xr:uid="{00000000-0005-0000-0000-0000953A0000}"/>
    <cellStyle name="Финансовый 4 5 3 6" xfId="11891" xr:uid="{00000000-0005-0000-0000-0000963A0000}"/>
    <cellStyle name="Финансовый 4 5 3 7" xfId="12877" xr:uid="{00000000-0005-0000-0000-0000973A0000}"/>
    <cellStyle name="Финансовый 4 5 3 8" xfId="13863" xr:uid="{00000000-0005-0000-0000-0000983A0000}"/>
    <cellStyle name="Финансовый 4 5 3 9" xfId="14863" xr:uid="{00000000-0005-0000-0000-0000993A0000}"/>
    <cellStyle name="Финансовый 4 5 4" xfId="7213" xr:uid="{00000000-0005-0000-0000-00009A3A0000}"/>
    <cellStyle name="Финансовый 4 5 5" xfId="8219" xr:uid="{00000000-0005-0000-0000-00009B3A0000}"/>
    <cellStyle name="Финансовый 4 5 6" xfId="9205" xr:uid="{00000000-0005-0000-0000-00009C3A0000}"/>
    <cellStyle name="Финансовый 4 5 7" xfId="10191" xr:uid="{00000000-0005-0000-0000-00009D3A0000}"/>
    <cellStyle name="Финансовый 4 5 8" xfId="11177" xr:uid="{00000000-0005-0000-0000-00009E3A0000}"/>
    <cellStyle name="Финансовый 4 5 9" xfId="12163" xr:uid="{00000000-0005-0000-0000-00009F3A0000}"/>
    <cellStyle name="Финансовый 5" xfId="3414" xr:uid="{00000000-0005-0000-0000-0000A03A0000}"/>
    <cellStyle name="Финансовый 5 10" xfId="8025" xr:uid="{00000000-0005-0000-0000-0000A13A0000}"/>
    <cellStyle name="Финансовый 5 11" xfId="9011" xr:uid="{00000000-0005-0000-0000-0000A23A0000}"/>
    <cellStyle name="Финансовый 5 12" xfId="9997" xr:uid="{00000000-0005-0000-0000-0000A33A0000}"/>
    <cellStyle name="Финансовый 5 13" xfId="10983" xr:uid="{00000000-0005-0000-0000-0000A43A0000}"/>
    <cellStyle name="Финансовый 5 14" xfId="11969" xr:uid="{00000000-0005-0000-0000-0000A53A0000}"/>
    <cellStyle name="Финансовый 5 15" xfId="12955" xr:uid="{00000000-0005-0000-0000-0000A63A0000}"/>
    <cellStyle name="Финансовый 5 16" xfId="13955" xr:uid="{00000000-0005-0000-0000-0000A73A0000}"/>
    <cellStyle name="Финансовый 5 17" xfId="14941" xr:uid="{00000000-0005-0000-0000-0000A83A0000}"/>
    <cellStyle name="Финансовый 5 2" xfId="6060" xr:uid="{00000000-0005-0000-0000-0000A93A0000}"/>
    <cellStyle name="Финансовый 5 2 10" xfId="10056" xr:uid="{00000000-0005-0000-0000-0000AA3A0000}"/>
    <cellStyle name="Финансовый 5 2 11" xfId="11042" xr:uid="{00000000-0005-0000-0000-0000AB3A0000}"/>
    <cellStyle name="Финансовый 5 2 12" xfId="12028" xr:uid="{00000000-0005-0000-0000-0000AC3A0000}"/>
    <cellStyle name="Финансовый 5 2 13" xfId="13014" xr:uid="{00000000-0005-0000-0000-0000AD3A0000}"/>
    <cellStyle name="Финансовый 5 2 14" xfId="14014" xr:uid="{00000000-0005-0000-0000-0000AE3A0000}"/>
    <cellStyle name="Финансовый 5 2 15" xfId="15000" xr:uid="{00000000-0005-0000-0000-0000AF3A0000}"/>
    <cellStyle name="Финансовый 5 2 2" xfId="6216" xr:uid="{00000000-0005-0000-0000-0000B03A0000}"/>
    <cellStyle name="Финансовый 5 2 2 10" xfId="12164" xr:uid="{00000000-0005-0000-0000-0000B13A0000}"/>
    <cellStyle name="Финансовый 5 2 2 11" xfId="13150" xr:uid="{00000000-0005-0000-0000-0000B23A0000}"/>
    <cellStyle name="Финансовый 5 2 2 12" xfId="14150" xr:uid="{00000000-0005-0000-0000-0000B33A0000}"/>
    <cellStyle name="Финансовый 5 2 2 13" xfId="15136" xr:uid="{00000000-0005-0000-0000-0000B43A0000}"/>
    <cellStyle name="Финансовый 5 2 2 2" xfId="6217" xr:uid="{00000000-0005-0000-0000-0000B53A0000}"/>
    <cellStyle name="Финансовый 5 2 2 2 10" xfId="13151" xr:uid="{00000000-0005-0000-0000-0000B63A0000}"/>
    <cellStyle name="Финансовый 5 2 2 2 11" xfId="14151" xr:uid="{00000000-0005-0000-0000-0000B73A0000}"/>
    <cellStyle name="Финансовый 5 2 2 2 12" xfId="15137" xr:uid="{00000000-0005-0000-0000-0000B83A0000}"/>
    <cellStyle name="Финансовый 5 2 2 2 2" xfId="6662" xr:uid="{00000000-0005-0000-0000-0000B93A0000}"/>
    <cellStyle name="Финансовый 5 2 2 2 2 10" xfId="15581" xr:uid="{00000000-0005-0000-0000-0000BA3A0000}"/>
    <cellStyle name="Финансовый 5 2 2 2 2 2" xfId="7659" xr:uid="{00000000-0005-0000-0000-0000BB3A0000}"/>
    <cellStyle name="Финансовый 5 2 2 2 2 3" xfId="8665" xr:uid="{00000000-0005-0000-0000-0000BC3A0000}"/>
    <cellStyle name="Финансовый 5 2 2 2 2 4" xfId="9651" xr:uid="{00000000-0005-0000-0000-0000BD3A0000}"/>
    <cellStyle name="Финансовый 5 2 2 2 2 5" xfId="10637" xr:uid="{00000000-0005-0000-0000-0000BE3A0000}"/>
    <cellStyle name="Финансовый 5 2 2 2 2 6" xfId="11623" xr:uid="{00000000-0005-0000-0000-0000BF3A0000}"/>
    <cellStyle name="Финансовый 5 2 2 2 2 7" xfId="12609" xr:uid="{00000000-0005-0000-0000-0000C03A0000}"/>
    <cellStyle name="Финансовый 5 2 2 2 2 8" xfId="13595" xr:uid="{00000000-0005-0000-0000-0000C13A0000}"/>
    <cellStyle name="Финансовый 5 2 2 2 2 9" xfId="14595" xr:uid="{00000000-0005-0000-0000-0000C23A0000}"/>
    <cellStyle name="Финансовый 5 2 2 2 3" xfId="6932" xr:uid="{00000000-0005-0000-0000-0000C33A0000}"/>
    <cellStyle name="Финансовый 5 2 2 2 3 10" xfId="15851" xr:uid="{00000000-0005-0000-0000-0000C43A0000}"/>
    <cellStyle name="Финансовый 5 2 2 2 3 2" xfId="7929" xr:uid="{00000000-0005-0000-0000-0000C53A0000}"/>
    <cellStyle name="Финансовый 5 2 2 2 3 3" xfId="8935" xr:uid="{00000000-0005-0000-0000-0000C63A0000}"/>
    <cellStyle name="Финансовый 5 2 2 2 3 4" xfId="9921" xr:uid="{00000000-0005-0000-0000-0000C73A0000}"/>
    <cellStyle name="Финансовый 5 2 2 2 3 5" xfId="10907" xr:uid="{00000000-0005-0000-0000-0000C83A0000}"/>
    <cellStyle name="Финансовый 5 2 2 2 3 6" xfId="11893" xr:uid="{00000000-0005-0000-0000-0000C93A0000}"/>
    <cellStyle name="Финансовый 5 2 2 2 3 7" xfId="12879" xr:uid="{00000000-0005-0000-0000-0000CA3A0000}"/>
    <cellStyle name="Финансовый 5 2 2 2 3 8" xfId="13865" xr:uid="{00000000-0005-0000-0000-0000CB3A0000}"/>
    <cellStyle name="Финансовый 5 2 2 2 3 9" xfId="14865" xr:uid="{00000000-0005-0000-0000-0000CC3A0000}"/>
    <cellStyle name="Финансовый 5 2 2 2 4" xfId="7215" xr:uid="{00000000-0005-0000-0000-0000CD3A0000}"/>
    <cellStyle name="Финансовый 5 2 2 2 5" xfId="8221" xr:uid="{00000000-0005-0000-0000-0000CE3A0000}"/>
    <cellStyle name="Финансовый 5 2 2 2 6" xfId="9207" xr:uid="{00000000-0005-0000-0000-0000CF3A0000}"/>
    <cellStyle name="Финансовый 5 2 2 2 7" xfId="10193" xr:uid="{00000000-0005-0000-0000-0000D03A0000}"/>
    <cellStyle name="Финансовый 5 2 2 2 8" xfId="11179" xr:uid="{00000000-0005-0000-0000-0000D13A0000}"/>
    <cellStyle name="Финансовый 5 2 2 2 9" xfId="12165" xr:uid="{00000000-0005-0000-0000-0000D23A0000}"/>
    <cellStyle name="Финансовый 5 2 2 3" xfId="6661" xr:uid="{00000000-0005-0000-0000-0000D33A0000}"/>
    <cellStyle name="Финансовый 5 2 2 3 10" xfId="15580" xr:uid="{00000000-0005-0000-0000-0000D43A0000}"/>
    <cellStyle name="Финансовый 5 2 2 3 2" xfId="7658" xr:uid="{00000000-0005-0000-0000-0000D53A0000}"/>
    <cellStyle name="Финансовый 5 2 2 3 3" xfId="8664" xr:uid="{00000000-0005-0000-0000-0000D63A0000}"/>
    <cellStyle name="Финансовый 5 2 2 3 4" xfId="9650" xr:uid="{00000000-0005-0000-0000-0000D73A0000}"/>
    <cellStyle name="Финансовый 5 2 2 3 5" xfId="10636" xr:uid="{00000000-0005-0000-0000-0000D83A0000}"/>
    <cellStyle name="Финансовый 5 2 2 3 6" xfId="11622" xr:uid="{00000000-0005-0000-0000-0000D93A0000}"/>
    <cellStyle name="Финансовый 5 2 2 3 7" xfId="12608" xr:uid="{00000000-0005-0000-0000-0000DA3A0000}"/>
    <cellStyle name="Финансовый 5 2 2 3 8" xfId="13594" xr:uid="{00000000-0005-0000-0000-0000DB3A0000}"/>
    <cellStyle name="Финансовый 5 2 2 3 9" xfId="14594" xr:uid="{00000000-0005-0000-0000-0000DC3A0000}"/>
    <cellStyle name="Финансовый 5 2 2 4" xfId="6931" xr:uid="{00000000-0005-0000-0000-0000DD3A0000}"/>
    <cellStyle name="Финансовый 5 2 2 4 10" xfId="15850" xr:uid="{00000000-0005-0000-0000-0000DE3A0000}"/>
    <cellStyle name="Финансовый 5 2 2 4 2" xfId="7928" xr:uid="{00000000-0005-0000-0000-0000DF3A0000}"/>
    <cellStyle name="Финансовый 5 2 2 4 3" xfId="8934" xr:uid="{00000000-0005-0000-0000-0000E03A0000}"/>
    <cellStyle name="Финансовый 5 2 2 4 4" xfId="9920" xr:uid="{00000000-0005-0000-0000-0000E13A0000}"/>
    <cellStyle name="Финансовый 5 2 2 4 5" xfId="10906" xr:uid="{00000000-0005-0000-0000-0000E23A0000}"/>
    <cellStyle name="Финансовый 5 2 2 4 6" xfId="11892" xr:uid="{00000000-0005-0000-0000-0000E33A0000}"/>
    <cellStyle name="Финансовый 5 2 2 4 7" xfId="12878" xr:uid="{00000000-0005-0000-0000-0000E43A0000}"/>
    <cellStyle name="Финансовый 5 2 2 4 8" xfId="13864" xr:uid="{00000000-0005-0000-0000-0000E53A0000}"/>
    <cellStyle name="Финансовый 5 2 2 4 9" xfId="14864" xr:uid="{00000000-0005-0000-0000-0000E63A0000}"/>
    <cellStyle name="Финансовый 5 2 2 5" xfId="7214" xr:uid="{00000000-0005-0000-0000-0000E73A0000}"/>
    <cellStyle name="Финансовый 5 2 2 6" xfId="8220" xr:uid="{00000000-0005-0000-0000-0000E83A0000}"/>
    <cellStyle name="Финансовый 5 2 2 7" xfId="9206" xr:uid="{00000000-0005-0000-0000-0000E93A0000}"/>
    <cellStyle name="Финансовый 5 2 2 8" xfId="10192" xr:uid="{00000000-0005-0000-0000-0000EA3A0000}"/>
    <cellStyle name="Финансовый 5 2 2 9" xfId="11178" xr:uid="{00000000-0005-0000-0000-0000EB3A0000}"/>
    <cellStyle name="Финансовый 5 2 3" xfId="6218" xr:uid="{00000000-0005-0000-0000-0000EC3A0000}"/>
    <cellStyle name="Финансовый 5 2 3 10" xfId="13152" xr:uid="{00000000-0005-0000-0000-0000ED3A0000}"/>
    <cellStyle name="Финансовый 5 2 3 11" xfId="14152" xr:uid="{00000000-0005-0000-0000-0000EE3A0000}"/>
    <cellStyle name="Финансовый 5 2 3 12" xfId="15138" xr:uid="{00000000-0005-0000-0000-0000EF3A0000}"/>
    <cellStyle name="Финансовый 5 2 3 2" xfId="6663" xr:uid="{00000000-0005-0000-0000-0000F03A0000}"/>
    <cellStyle name="Финансовый 5 2 3 2 10" xfId="15582" xr:uid="{00000000-0005-0000-0000-0000F13A0000}"/>
    <cellStyle name="Финансовый 5 2 3 2 2" xfId="7660" xr:uid="{00000000-0005-0000-0000-0000F23A0000}"/>
    <cellStyle name="Финансовый 5 2 3 2 3" xfId="8666" xr:uid="{00000000-0005-0000-0000-0000F33A0000}"/>
    <cellStyle name="Финансовый 5 2 3 2 4" xfId="9652" xr:uid="{00000000-0005-0000-0000-0000F43A0000}"/>
    <cellStyle name="Финансовый 5 2 3 2 5" xfId="10638" xr:uid="{00000000-0005-0000-0000-0000F53A0000}"/>
    <cellStyle name="Финансовый 5 2 3 2 6" xfId="11624" xr:uid="{00000000-0005-0000-0000-0000F63A0000}"/>
    <cellStyle name="Финансовый 5 2 3 2 7" xfId="12610" xr:uid="{00000000-0005-0000-0000-0000F73A0000}"/>
    <cellStyle name="Финансовый 5 2 3 2 8" xfId="13596" xr:uid="{00000000-0005-0000-0000-0000F83A0000}"/>
    <cellStyle name="Финансовый 5 2 3 2 9" xfId="14596" xr:uid="{00000000-0005-0000-0000-0000F93A0000}"/>
    <cellStyle name="Финансовый 5 2 3 3" xfId="6933" xr:uid="{00000000-0005-0000-0000-0000FA3A0000}"/>
    <cellStyle name="Финансовый 5 2 3 3 10" xfId="15852" xr:uid="{00000000-0005-0000-0000-0000FB3A0000}"/>
    <cellStyle name="Финансовый 5 2 3 3 2" xfId="7930" xr:uid="{00000000-0005-0000-0000-0000FC3A0000}"/>
    <cellStyle name="Финансовый 5 2 3 3 3" xfId="8936" xr:uid="{00000000-0005-0000-0000-0000FD3A0000}"/>
    <cellStyle name="Финансовый 5 2 3 3 4" xfId="9922" xr:uid="{00000000-0005-0000-0000-0000FE3A0000}"/>
    <cellStyle name="Финансовый 5 2 3 3 5" xfId="10908" xr:uid="{00000000-0005-0000-0000-0000FF3A0000}"/>
    <cellStyle name="Финансовый 5 2 3 3 6" xfId="11894" xr:uid="{00000000-0005-0000-0000-0000003B0000}"/>
    <cellStyle name="Финансовый 5 2 3 3 7" xfId="12880" xr:uid="{00000000-0005-0000-0000-0000013B0000}"/>
    <cellStyle name="Финансовый 5 2 3 3 8" xfId="13866" xr:uid="{00000000-0005-0000-0000-0000023B0000}"/>
    <cellStyle name="Финансовый 5 2 3 3 9" xfId="14866" xr:uid="{00000000-0005-0000-0000-0000033B0000}"/>
    <cellStyle name="Финансовый 5 2 3 4" xfId="7216" xr:uid="{00000000-0005-0000-0000-0000043B0000}"/>
    <cellStyle name="Финансовый 5 2 3 5" xfId="8222" xr:uid="{00000000-0005-0000-0000-0000053B0000}"/>
    <cellStyle name="Финансовый 5 2 3 6" xfId="9208" xr:uid="{00000000-0005-0000-0000-0000063B0000}"/>
    <cellStyle name="Финансовый 5 2 3 7" xfId="10194" xr:uid="{00000000-0005-0000-0000-0000073B0000}"/>
    <cellStyle name="Финансовый 5 2 3 8" xfId="11180" xr:uid="{00000000-0005-0000-0000-0000083B0000}"/>
    <cellStyle name="Финансовый 5 2 3 9" xfId="12166" xr:uid="{00000000-0005-0000-0000-0000093B0000}"/>
    <cellStyle name="Финансовый 5 2 4" xfId="6219" xr:uid="{00000000-0005-0000-0000-00000A3B0000}"/>
    <cellStyle name="Финансовый 5 2 4 10" xfId="13153" xr:uid="{00000000-0005-0000-0000-00000B3B0000}"/>
    <cellStyle name="Финансовый 5 2 4 11" xfId="14153" xr:uid="{00000000-0005-0000-0000-00000C3B0000}"/>
    <cellStyle name="Финансовый 5 2 4 12" xfId="15139" xr:uid="{00000000-0005-0000-0000-00000D3B0000}"/>
    <cellStyle name="Финансовый 5 2 4 2" xfId="6664" xr:uid="{00000000-0005-0000-0000-00000E3B0000}"/>
    <cellStyle name="Финансовый 5 2 4 2 10" xfId="15583" xr:uid="{00000000-0005-0000-0000-00000F3B0000}"/>
    <cellStyle name="Финансовый 5 2 4 2 2" xfId="7661" xr:uid="{00000000-0005-0000-0000-0000103B0000}"/>
    <cellStyle name="Финансовый 5 2 4 2 3" xfId="8667" xr:uid="{00000000-0005-0000-0000-0000113B0000}"/>
    <cellStyle name="Финансовый 5 2 4 2 4" xfId="9653" xr:uid="{00000000-0005-0000-0000-0000123B0000}"/>
    <cellStyle name="Финансовый 5 2 4 2 5" xfId="10639" xr:uid="{00000000-0005-0000-0000-0000133B0000}"/>
    <cellStyle name="Финансовый 5 2 4 2 6" xfId="11625" xr:uid="{00000000-0005-0000-0000-0000143B0000}"/>
    <cellStyle name="Финансовый 5 2 4 2 7" xfId="12611" xr:uid="{00000000-0005-0000-0000-0000153B0000}"/>
    <cellStyle name="Финансовый 5 2 4 2 8" xfId="13597" xr:uid="{00000000-0005-0000-0000-0000163B0000}"/>
    <cellStyle name="Финансовый 5 2 4 2 9" xfId="14597" xr:uid="{00000000-0005-0000-0000-0000173B0000}"/>
    <cellStyle name="Финансовый 5 2 4 3" xfId="6934" xr:uid="{00000000-0005-0000-0000-0000183B0000}"/>
    <cellStyle name="Финансовый 5 2 4 3 10" xfId="15853" xr:uid="{00000000-0005-0000-0000-0000193B0000}"/>
    <cellStyle name="Финансовый 5 2 4 3 2" xfId="7931" xr:uid="{00000000-0005-0000-0000-00001A3B0000}"/>
    <cellStyle name="Финансовый 5 2 4 3 3" xfId="8937" xr:uid="{00000000-0005-0000-0000-00001B3B0000}"/>
    <cellStyle name="Финансовый 5 2 4 3 4" xfId="9923" xr:uid="{00000000-0005-0000-0000-00001C3B0000}"/>
    <cellStyle name="Финансовый 5 2 4 3 5" xfId="10909" xr:uid="{00000000-0005-0000-0000-00001D3B0000}"/>
    <cellStyle name="Финансовый 5 2 4 3 6" xfId="11895" xr:uid="{00000000-0005-0000-0000-00001E3B0000}"/>
    <cellStyle name="Финансовый 5 2 4 3 7" xfId="12881" xr:uid="{00000000-0005-0000-0000-00001F3B0000}"/>
    <cellStyle name="Финансовый 5 2 4 3 8" xfId="13867" xr:uid="{00000000-0005-0000-0000-0000203B0000}"/>
    <cellStyle name="Финансовый 5 2 4 3 9" xfId="14867" xr:uid="{00000000-0005-0000-0000-0000213B0000}"/>
    <cellStyle name="Финансовый 5 2 4 4" xfId="7217" xr:uid="{00000000-0005-0000-0000-0000223B0000}"/>
    <cellStyle name="Финансовый 5 2 4 5" xfId="8223" xr:uid="{00000000-0005-0000-0000-0000233B0000}"/>
    <cellStyle name="Финансовый 5 2 4 6" xfId="9209" xr:uid="{00000000-0005-0000-0000-0000243B0000}"/>
    <cellStyle name="Финансовый 5 2 4 7" xfId="10195" xr:uid="{00000000-0005-0000-0000-0000253B0000}"/>
    <cellStyle name="Финансовый 5 2 4 8" xfId="11181" xr:uid="{00000000-0005-0000-0000-0000263B0000}"/>
    <cellStyle name="Финансовый 5 2 4 9" xfId="12167" xr:uid="{00000000-0005-0000-0000-0000273B0000}"/>
    <cellStyle name="Финансовый 5 2 5" xfId="6525" xr:uid="{00000000-0005-0000-0000-0000283B0000}"/>
    <cellStyle name="Финансовый 5 2 5 10" xfId="15444" xr:uid="{00000000-0005-0000-0000-0000293B0000}"/>
    <cellStyle name="Финансовый 5 2 5 2" xfId="7522" xr:uid="{00000000-0005-0000-0000-00002A3B0000}"/>
    <cellStyle name="Финансовый 5 2 5 3" xfId="8528" xr:uid="{00000000-0005-0000-0000-00002B3B0000}"/>
    <cellStyle name="Финансовый 5 2 5 4" xfId="9514" xr:uid="{00000000-0005-0000-0000-00002C3B0000}"/>
    <cellStyle name="Финансовый 5 2 5 5" xfId="10500" xr:uid="{00000000-0005-0000-0000-00002D3B0000}"/>
    <cellStyle name="Финансовый 5 2 5 6" xfId="11486" xr:uid="{00000000-0005-0000-0000-00002E3B0000}"/>
    <cellStyle name="Финансовый 5 2 5 7" xfId="12472" xr:uid="{00000000-0005-0000-0000-00002F3B0000}"/>
    <cellStyle name="Финансовый 5 2 5 8" xfId="13458" xr:uid="{00000000-0005-0000-0000-0000303B0000}"/>
    <cellStyle name="Финансовый 5 2 5 9" xfId="14458" xr:uid="{00000000-0005-0000-0000-0000313B0000}"/>
    <cellStyle name="Финансовый 5 2 6" xfId="6795" xr:uid="{00000000-0005-0000-0000-0000323B0000}"/>
    <cellStyle name="Финансовый 5 2 6 10" xfId="15714" xr:uid="{00000000-0005-0000-0000-0000333B0000}"/>
    <cellStyle name="Финансовый 5 2 6 2" xfId="7792" xr:uid="{00000000-0005-0000-0000-0000343B0000}"/>
    <cellStyle name="Финансовый 5 2 6 3" xfId="8798" xr:uid="{00000000-0005-0000-0000-0000353B0000}"/>
    <cellStyle name="Финансовый 5 2 6 4" xfId="9784" xr:uid="{00000000-0005-0000-0000-0000363B0000}"/>
    <cellStyle name="Финансовый 5 2 6 5" xfId="10770" xr:uid="{00000000-0005-0000-0000-0000373B0000}"/>
    <cellStyle name="Финансовый 5 2 6 6" xfId="11756" xr:uid="{00000000-0005-0000-0000-0000383B0000}"/>
    <cellStyle name="Финансовый 5 2 6 7" xfId="12742" xr:uid="{00000000-0005-0000-0000-0000393B0000}"/>
    <cellStyle name="Финансовый 5 2 6 8" xfId="13728" xr:uid="{00000000-0005-0000-0000-00003A3B0000}"/>
    <cellStyle name="Финансовый 5 2 6 9" xfId="14728" xr:uid="{00000000-0005-0000-0000-00003B3B0000}"/>
    <cellStyle name="Финансовый 5 2 7" xfId="7078" xr:uid="{00000000-0005-0000-0000-00003C3B0000}"/>
    <cellStyle name="Финансовый 5 2 8" xfId="8084" xr:uid="{00000000-0005-0000-0000-00003D3B0000}"/>
    <cellStyle name="Финансовый 5 2 9" xfId="9070" xr:uid="{00000000-0005-0000-0000-00003E3B0000}"/>
    <cellStyle name="Финансовый 5 3" xfId="6117" xr:uid="{00000000-0005-0000-0000-00003F3B0000}"/>
    <cellStyle name="Финансовый 5 3 10" xfId="10109" xr:uid="{00000000-0005-0000-0000-0000403B0000}"/>
    <cellStyle name="Финансовый 5 3 11" xfId="11095" xr:uid="{00000000-0005-0000-0000-0000413B0000}"/>
    <cellStyle name="Финансовый 5 3 12" xfId="12081" xr:uid="{00000000-0005-0000-0000-0000423B0000}"/>
    <cellStyle name="Финансовый 5 3 13" xfId="13067" xr:uid="{00000000-0005-0000-0000-0000433B0000}"/>
    <cellStyle name="Финансовый 5 3 14" xfId="14067" xr:uid="{00000000-0005-0000-0000-0000443B0000}"/>
    <cellStyle name="Финансовый 5 3 15" xfId="15053" xr:uid="{00000000-0005-0000-0000-0000453B0000}"/>
    <cellStyle name="Финансовый 5 3 2" xfId="6220" xr:uid="{00000000-0005-0000-0000-0000463B0000}"/>
    <cellStyle name="Финансовый 5 3 2 10" xfId="12168" xr:uid="{00000000-0005-0000-0000-0000473B0000}"/>
    <cellStyle name="Финансовый 5 3 2 11" xfId="13154" xr:uid="{00000000-0005-0000-0000-0000483B0000}"/>
    <cellStyle name="Финансовый 5 3 2 12" xfId="14154" xr:uid="{00000000-0005-0000-0000-0000493B0000}"/>
    <cellStyle name="Финансовый 5 3 2 13" xfId="15140" xr:uid="{00000000-0005-0000-0000-00004A3B0000}"/>
    <cellStyle name="Финансовый 5 3 2 2" xfId="6221" xr:uid="{00000000-0005-0000-0000-00004B3B0000}"/>
    <cellStyle name="Финансовый 5 3 2 2 10" xfId="13155" xr:uid="{00000000-0005-0000-0000-00004C3B0000}"/>
    <cellStyle name="Финансовый 5 3 2 2 11" xfId="14155" xr:uid="{00000000-0005-0000-0000-00004D3B0000}"/>
    <cellStyle name="Финансовый 5 3 2 2 12" xfId="15141" xr:uid="{00000000-0005-0000-0000-00004E3B0000}"/>
    <cellStyle name="Финансовый 5 3 2 2 2" xfId="6666" xr:uid="{00000000-0005-0000-0000-00004F3B0000}"/>
    <cellStyle name="Финансовый 5 3 2 2 2 10" xfId="15585" xr:uid="{00000000-0005-0000-0000-0000503B0000}"/>
    <cellStyle name="Финансовый 5 3 2 2 2 2" xfId="7663" xr:uid="{00000000-0005-0000-0000-0000513B0000}"/>
    <cellStyle name="Финансовый 5 3 2 2 2 3" xfId="8669" xr:uid="{00000000-0005-0000-0000-0000523B0000}"/>
    <cellStyle name="Финансовый 5 3 2 2 2 4" xfId="9655" xr:uid="{00000000-0005-0000-0000-0000533B0000}"/>
    <cellStyle name="Финансовый 5 3 2 2 2 5" xfId="10641" xr:uid="{00000000-0005-0000-0000-0000543B0000}"/>
    <cellStyle name="Финансовый 5 3 2 2 2 6" xfId="11627" xr:uid="{00000000-0005-0000-0000-0000553B0000}"/>
    <cellStyle name="Финансовый 5 3 2 2 2 7" xfId="12613" xr:uid="{00000000-0005-0000-0000-0000563B0000}"/>
    <cellStyle name="Финансовый 5 3 2 2 2 8" xfId="13599" xr:uid="{00000000-0005-0000-0000-0000573B0000}"/>
    <cellStyle name="Финансовый 5 3 2 2 2 9" xfId="14599" xr:uid="{00000000-0005-0000-0000-0000583B0000}"/>
    <cellStyle name="Финансовый 5 3 2 2 3" xfId="6936" xr:uid="{00000000-0005-0000-0000-0000593B0000}"/>
    <cellStyle name="Финансовый 5 3 2 2 3 10" xfId="15855" xr:uid="{00000000-0005-0000-0000-00005A3B0000}"/>
    <cellStyle name="Финансовый 5 3 2 2 3 2" xfId="7933" xr:uid="{00000000-0005-0000-0000-00005B3B0000}"/>
    <cellStyle name="Финансовый 5 3 2 2 3 3" xfId="8939" xr:uid="{00000000-0005-0000-0000-00005C3B0000}"/>
    <cellStyle name="Финансовый 5 3 2 2 3 4" xfId="9925" xr:uid="{00000000-0005-0000-0000-00005D3B0000}"/>
    <cellStyle name="Финансовый 5 3 2 2 3 5" xfId="10911" xr:uid="{00000000-0005-0000-0000-00005E3B0000}"/>
    <cellStyle name="Финансовый 5 3 2 2 3 6" xfId="11897" xr:uid="{00000000-0005-0000-0000-00005F3B0000}"/>
    <cellStyle name="Финансовый 5 3 2 2 3 7" xfId="12883" xr:uid="{00000000-0005-0000-0000-0000603B0000}"/>
    <cellStyle name="Финансовый 5 3 2 2 3 8" xfId="13869" xr:uid="{00000000-0005-0000-0000-0000613B0000}"/>
    <cellStyle name="Финансовый 5 3 2 2 3 9" xfId="14869" xr:uid="{00000000-0005-0000-0000-0000623B0000}"/>
    <cellStyle name="Финансовый 5 3 2 2 4" xfId="7219" xr:uid="{00000000-0005-0000-0000-0000633B0000}"/>
    <cellStyle name="Финансовый 5 3 2 2 5" xfId="8225" xr:uid="{00000000-0005-0000-0000-0000643B0000}"/>
    <cellStyle name="Финансовый 5 3 2 2 6" xfId="9211" xr:uid="{00000000-0005-0000-0000-0000653B0000}"/>
    <cellStyle name="Финансовый 5 3 2 2 7" xfId="10197" xr:uid="{00000000-0005-0000-0000-0000663B0000}"/>
    <cellStyle name="Финансовый 5 3 2 2 8" xfId="11183" xr:uid="{00000000-0005-0000-0000-0000673B0000}"/>
    <cellStyle name="Финансовый 5 3 2 2 9" xfId="12169" xr:uid="{00000000-0005-0000-0000-0000683B0000}"/>
    <cellStyle name="Финансовый 5 3 2 3" xfId="6665" xr:uid="{00000000-0005-0000-0000-0000693B0000}"/>
    <cellStyle name="Финансовый 5 3 2 3 10" xfId="15584" xr:uid="{00000000-0005-0000-0000-00006A3B0000}"/>
    <cellStyle name="Финансовый 5 3 2 3 2" xfId="7662" xr:uid="{00000000-0005-0000-0000-00006B3B0000}"/>
    <cellStyle name="Финансовый 5 3 2 3 3" xfId="8668" xr:uid="{00000000-0005-0000-0000-00006C3B0000}"/>
    <cellStyle name="Финансовый 5 3 2 3 4" xfId="9654" xr:uid="{00000000-0005-0000-0000-00006D3B0000}"/>
    <cellStyle name="Финансовый 5 3 2 3 5" xfId="10640" xr:uid="{00000000-0005-0000-0000-00006E3B0000}"/>
    <cellStyle name="Финансовый 5 3 2 3 6" xfId="11626" xr:uid="{00000000-0005-0000-0000-00006F3B0000}"/>
    <cellStyle name="Финансовый 5 3 2 3 7" xfId="12612" xr:uid="{00000000-0005-0000-0000-0000703B0000}"/>
    <cellStyle name="Финансовый 5 3 2 3 8" xfId="13598" xr:uid="{00000000-0005-0000-0000-0000713B0000}"/>
    <cellStyle name="Финансовый 5 3 2 3 9" xfId="14598" xr:uid="{00000000-0005-0000-0000-0000723B0000}"/>
    <cellStyle name="Финансовый 5 3 2 4" xfId="6935" xr:uid="{00000000-0005-0000-0000-0000733B0000}"/>
    <cellStyle name="Финансовый 5 3 2 4 10" xfId="15854" xr:uid="{00000000-0005-0000-0000-0000743B0000}"/>
    <cellStyle name="Финансовый 5 3 2 4 2" xfId="7932" xr:uid="{00000000-0005-0000-0000-0000753B0000}"/>
    <cellStyle name="Финансовый 5 3 2 4 3" xfId="8938" xr:uid="{00000000-0005-0000-0000-0000763B0000}"/>
    <cellStyle name="Финансовый 5 3 2 4 4" xfId="9924" xr:uid="{00000000-0005-0000-0000-0000773B0000}"/>
    <cellStyle name="Финансовый 5 3 2 4 5" xfId="10910" xr:uid="{00000000-0005-0000-0000-0000783B0000}"/>
    <cellStyle name="Финансовый 5 3 2 4 6" xfId="11896" xr:uid="{00000000-0005-0000-0000-0000793B0000}"/>
    <cellStyle name="Финансовый 5 3 2 4 7" xfId="12882" xr:uid="{00000000-0005-0000-0000-00007A3B0000}"/>
    <cellStyle name="Финансовый 5 3 2 4 8" xfId="13868" xr:uid="{00000000-0005-0000-0000-00007B3B0000}"/>
    <cellStyle name="Финансовый 5 3 2 4 9" xfId="14868" xr:uid="{00000000-0005-0000-0000-00007C3B0000}"/>
    <cellStyle name="Финансовый 5 3 2 5" xfId="7218" xr:uid="{00000000-0005-0000-0000-00007D3B0000}"/>
    <cellStyle name="Финансовый 5 3 2 6" xfId="8224" xr:uid="{00000000-0005-0000-0000-00007E3B0000}"/>
    <cellStyle name="Финансовый 5 3 2 7" xfId="9210" xr:uid="{00000000-0005-0000-0000-00007F3B0000}"/>
    <cellStyle name="Финансовый 5 3 2 8" xfId="10196" xr:uid="{00000000-0005-0000-0000-0000803B0000}"/>
    <cellStyle name="Финансовый 5 3 2 9" xfId="11182" xr:uid="{00000000-0005-0000-0000-0000813B0000}"/>
    <cellStyle name="Финансовый 5 3 3" xfId="6222" xr:uid="{00000000-0005-0000-0000-0000823B0000}"/>
    <cellStyle name="Финансовый 5 3 3 10" xfId="13156" xr:uid="{00000000-0005-0000-0000-0000833B0000}"/>
    <cellStyle name="Финансовый 5 3 3 11" xfId="14156" xr:uid="{00000000-0005-0000-0000-0000843B0000}"/>
    <cellStyle name="Финансовый 5 3 3 12" xfId="15142" xr:uid="{00000000-0005-0000-0000-0000853B0000}"/>
    <cellStyle name="Финансовый 5 3 3 2" xfId="6667" xr:uid="{00000000-0005-0000-0000-0000863B0000}"/>
    <cellStyle name="Финансовый 5 3 3 2 10" xfId="15586" xr:uid="{00000000-0005-0000-0000-0000873B0000}"/>
    <cellStyle name="Финансовый 5 3 3 2 2" xfId="7664" xr:uid="{00000000-0005-0000-0000-0000883B0000}"/>
    <cellStyle name="Финансовый 5 3 3 2 3" xfId="8670" xr:uid="{00000000-0005-0000-0000-0000893B0000}"/>
    <cellStyle name="Финансовый 5 3 3 2 4" xfId="9656" xr:uid="{00000000-0005-0000-0000-00008A3B0000}"/>
    <cellStyle name="Финансовый 5 3 3 2 5" xfId="10642" xr:uid="{00000000-0005-0000-0000-00008B3B0000}"/>
    <cellStyle name="Финансовый 5 3 3 2 6" xfId="11628" xr:uid="{00000000-0005-0000-0000-00008C3B0000}"/>
    <cellStyle name="Финансовый 5 3 3 2 7" xfId="12614" xr:uid="{00000000-0005-0000-0000-00008D3B0000}"/>
    <cellStyle name="Финансовый 5 3 3 2 8" xfId="13600" xr:uid="{00000000-0005-0000-0000-00008E3B0000}"/>
    <cellStyle name="Финансовый 5 3 3 2 9" xfId="14600" xr:uid="{00000000-0005-0000-0000-00008F3B0000}"/>
    <cellStyle name="Финансовый 5 3 3 3" xfId="6937" xr:uid="{00000000-0005-0000-0000-0000903B0000}"/>
    <cellStyle name="Финансовый 5 3 3 3 10" xfId="15856" xr:uid="{00000000-0005-0000-0000-0000913B0000}"/>
    <cellStyle name="Финансовый 5 3 3 3 2" xfId="7934" xr:uid="{00000000-0005-0000-0000-0000923B0000}"/>
    <cellStyle name="Финансовый 5 3 3 3 3" xfId="8940" xr:uid="{00000000-0005-0000-0000-0000933B0000}"/>
    <cellStyle name="Финансовый 5 3 3 3 4" xfId="9926" xr:uid="{00000000-0005-0000-0000-0000943B0000}"/>
    <cellStyle name="Финансовый 5 3 3 3 5" xfId="10912" xr:uid="{00000000-0005-0000-0000-0000953B0000}"/>
    <cellStyle name="Финансовый 5 3 3 3 6" xfId="11898" xr:uid="{00000000-0005-0000-0000-0000963B0000}"/>
    <cellStyle name="Финансовый 5 3 3 3 7" xfId="12884" xr:uid="{00000000-0005-0000-0000-0000973B0000}"/>
    <cellStyle name="Финансовый 5 3 3 3 8" xfId="13870" xr:uid="{00000000-0005-0000-0000-0000983B0000}"/>
    <cellStyle name="Финансовый 5 3 3 3 9" xfId="14870" xr:uid="{00000000-0005-0000-0000-0000993B0000}"/>
    <cellStyle name="Финансовый 5 3 3 4" xfId="7220" xr:uid="{00000000-0005-0000-0000-00009A3B0000}"/>
    <cellStyle name="Финансовый 5 3 3 5" xfId="8226" xr:uid="{00000000-0005-0000-0000-00009B3B0000}"/>
    <cellStyle name="Финансовый 5 3 3 6" xfId="9212" xr:uid="{00000000-0005-0000-0000-00009C3B0000}"/>
    <cellStyle name="Финансовый 5 3 3 7" xfId="10198" xr:uid="{00000000-0005-0000-0000-00009D3B0000}"/>
    <cellStyle name="Финансовый 5 3 3 8" xfId="11184" xr:uid="{00000000-0005-0000-0000-00009E3B0000}"/>
    <cellStyle name="Финансовый 5 3 3 9" xfId="12170" xr:uid="{00000000-0005-0000-0000-00009F3B0000}"/>
    <cellStyle name="Финансовый 5 3 4" xfId="6223" xr:uid="{00000000-0005-0000-0000-0000A03B0000}"/>
    <cellStyle name="Финансовый 5 3 4 10" xfId="13157" xr:uid="{00000000-0005-0000-0000-0000A13B0000}"/>
    <cellStyle name="Финансовый 5 3 4 11" xfId="14157" xr:uid="{00000000-0005-0000-0000-0000A23B0000}"/>
    <cellStyle name="Финансовый 5 3 4 12" xfId="15143" xr:uid="{00000000-0005-0000-0000-0000A33B0000}"/>
    <cellStyle name="Финансовый 5 3 4 2" xfId="6668" xr:uid="{00000000-0005-0000-0000-0000A43B0000}"/>
    <cellStyle name="Финансовый 5 3 4 2 10" xfId="15587" xr:uid="{00000000-0005-0000-0000-0000A53B0000}"/>
    <cellStyle name="Финансовый 5 3 4 2 2" xfId="7665" xr:uid="{00000000-0005-0000-0000-0000A63B0000}"/>
    <cellStyle name="Финансовый 5 3 4 2 3" xfId="8671" xr:uid="{00000000-0005-0000-0000-0000A73B0000}"/>
    <cellStyle name="Финансовый 5 3 4 2 4" xfId="9657" xr:uid="{00000000-0005-0000-0000-0000A83B0000}"/>
    <cellStyle name="Финансовый 5 3 4 2 5" xfId="10643" xr:uid="{00000000-0005-0000-0000-0000A93B0000}"/>
    <cellStyle name="Финансовый 5 3 4 2 6" xfId="11629" xr:uid="{00000000-0005-0000-0000-0000AA3B0000}"/>
    <cellStyle name="Финансовый 5 3 4 2 7" xfId="12615" xr:uid="{00000000-0005-0000-0000-0000AB3B0000}"/>
    <cellStyle name="Финансовый 5 3 4 2 8" xfId="13601" xr:uid="{00000000-0005-0000-0000-0000AC3B0000}"/>
    <cellStyle name="Финансовый 5 3 4 2 9" xfId="14601" xr:uid="{00000000-0005-0000-0000-0000AD3B0000}"/>
    <cellStyle name="Финансовый 5 3 4 3" xfId="6938" xr:uid="{00000000-0005-0000-0000-0000AE3B0000}"/>
    <cellStyle name="Финансовый 5 3 4 3 10" xfId="15857" xr:uid="{00000000-0005-0000-0000-0000AF3B0000}"/>
    <cellStyle name="Финансовый 5 3 4 3 2" xfId="7935" xr:uid="{00000000-0005-0000-0000-0000B03B0000}"/>
    <cellStyle name="Финансовый 5 3 4 3 3" xfId="8941" xr:uid="{00000000-0005-0000-0000-0000B13B0000}"/>
    <cellStyle name="Финансовый 5 3 4 3 4" xfId="9927" xr:uid="{00000000-0005-0000-0000-0000B23B0000}"/>
    <cellStyle name="Финансовый 5 3 4 3 5" xfId="10913" xr:uid="{00000000-0005-0000-0000-0000B33B0000}"/>
    <cellStyle name="Финансовый 5 3 4 3 6" xfId="11899" xr:uid="{00000000-0005-0000-0000-0000B43B0000}"/>
    <cellStyle name="Финансовый 5 3 4 3 7" xfId="12885" xr:uid="{00000000-0005-0000-0000-0000B53B0000}"/>
    <cellStyle name="Финансовый 5 3 4 3 8" xfId="13871" xr:uid="{00000000-0005-0000-0000-0000B63B0000}"/>
    <cellStyle name="Финансовый 5 3 4 3 9" xfId="14871" xr:uid="{00000000-0005-0000-0000-0000B73B0000}"/>
    <cellStyle name="Финансовый 5 3 4 4" xfId="7221" xr:uid="{00000000-0005-0000-0000-0000B83B0000}"/>
    <cellStyle name="Финансовый 5 3 4 5" xfId="8227" xr:uid="{00000000-0005-0000-0000-0000B93B0000}"/>
    <cellStyle name="Финансовый 5 3 4 6" xfId="9213" xr:uid="{00000000-0005-0000-0000-0000BA3B0000}"/>
    <cellStyle name="Финансовый 5 3 4 7" xfId="10199" xr:uid="{00000000-0005-0000-0000-0000BB3B0000}"/>
    <cellStyle name="Финансовый 5 3 4 8" xfId="11185" xr:uid="{00000000-0005-0000-0000-0000BC3B0000}"/>
    <cellStyle name="Финансовый 5 3 4 9" xfId="12171" xr:uid="{00000000-0005-0000-0000-0000BD3B0000}"/>
    <cellStyle name="Финансовый 5 3 5" xfId="6578" xr:uid="{00000000-0005-0000-0000-0000BE3B0000}"/>
    <cellStyle name="Финансовый 5 3 5 10" xfId="15497" xr:uid="{00000000-0005-0000-0000-0000BF3B0000}"/>
    <cellStyle name="Финансовый 5 3 5 2" xfId="7575" xr:uid="{00000000-0005-0000-0000-0000C03B0000}"/>
    <cellStyle name="Финансовый 5 3 5 3" xfId="8581" xr:uid="{00000000-0005-0000-0000-0000C13B0000}"/>
    <cellStyle name="Финансовый 5 3 5 4" xfId="9567" xr:uid="{00000000-0005-0000-0000-0000C23B0000}"/>
    <cellStyle name="Финансовый 5 3 5 5" xfId="10553" xr:uid="{00000000-0005-0000-0000-0000C33B0000}"/>
    <cellStyle name="Финансовый 5 3 5 6" xfId="11539" xr:uid="{00000000-0005-0000-0000-0000C43B0000}"/>
    <cellStyle name="Финансовый 5 3 5 7" xfId="12525" xr:uid="{00000000-0005-0000-0000-0000C53B0000}"/>
    <cellStyle name="Финансовый 5 3 5 8" xfId="13511" xr:uid="{00000000-0005-0000-0000-0000C63B0000}"/>
    <cellStyle name="Финансовый 5 3 5 9" xfId="14511" xr:uid="{00000000-0005-0000-0000-0000C73B0000}"/>
    <cellStyle name="Финансовый 5 3 6" xfId="6848" xr:uid="{00000000-0005-0000-0000-0000C83B0000}"/>
    <cellStyle name="Финансовый 5 3 6 10" xfId="15767" xr:uid="{00000000-0005-0000-0000-0000C93B0000}"/>
    <cellStyle name="Финансовый 5 3 6 2" xfId="7845" xr:uid="{00000000-0005-0000-0000-0000CA3B0000}"/>
    <cellStyle name="Финансовый 5 3 6 3" xfId="8851" xr:uid="{00000000-0005-0000-0000-0000CB3B0000}"/>
    <cellStyle name="Финансовый 5 3 6 4" xfId="9837" xr:uid="{00000000-0005-0000-0000-0000CC3B0000}"/>
    <cellStyle name="Финансовый 5 3 6 5" xfId="10823" xr:uid="{00000000-0005-0000-0000-0000CD3B0000}"/>
    <cellStyle name="Финансовый 5 3 6 6" xfId="11809" xr:uid="{00000000-0005-0000-0000-0000CE3B0000}"/>
    <cellStyle name="Финансовый 5 3 6 7" xfId="12795" xr:uid="{00000000-0005-0000-0000-0000CF3B0000}"/>
    <cellStyle name="Финансовый 5 3 6 8" xfId="13781" xr:uid="{00000000-0005-0000-0000-0000D03B0000}"/>
    <cellStyle name="Финансовый 5 3 6 9" xfId="14781" xr:uid="{00000000-0005-0000-0000-0000D13B0000}"/>
    <cellStyle name="Финансовый 5 3 7" xfId="7131" xr:uid="{00000000-0005-0000-0000-0000D23B0000}"/>
    <cellStyle name="Финансовый 5 3 8" xfId="8137" xr:uid="{00000000-0005-0000-0000-0000D33B0000}"/>
    <cellStyle name="Финансовый 5 3 9" xfId="9123" xr:uid="{00000000-0005-0000-0000-0000D43B0000}"/>
    <cellStyle name="Финансовый 5 4" xfId="6224" xr:uid="{00000000-0005-0000-0000-0000D53B0000}"/>
    <cellStyle name="Финансовый 5 4 10" xfId="12172" xr:uid="{00000000-0005-0000-0000-0000D63B0000}"/>
    <cellStyle name="Финансовый 5 4 11" xfId="13158" xr:uid="{00000000-0005-0000-0000-0000D73B0000}"/>
    <cellStyle name="Финансовый 5 4 12" xfId="14158" xr:uid="{00000000-0005-0000-0000-0000D83B0000}"/>
    <cellStyle name="Финансовый 5 4 13" xfId="15144" xr:uid="{00000000-0005-0000-0000-0000D93B0000}"/>
    <cellStyle name="Финансовый 5 4 2" xfId="6225" xr:uid="{00000000-0005-0000-0000-0000DA3B0000}"/>
    <cellStyle name="Финансовый 5 4 2 10" xfId="13159" xr:uid="{00000000-0005-0000-0000-0000DB3B0000}"/>
    <cellStyle name="Финансовый 5 4 2 11" xfId="14159" xr:uid="{00000000-0005-0000-0000-0000DC3B0000}"/>
    <cellStyle name="Финансовый 5 4 2 12" xfId="15145" xr:uid="{00000000-0005-0000-0000-0000DD3B0000}"/>
    <cellStyle name="Финансовый 5 4 2 2" xfId="6670" xr:uid="{00000000-0005-0000-0000-0000DE3B0000}"/>
    <cellStyle name="Финансовый 5 4 2 2 10" xfId="15589" xr:uid="{00000000-0005-0000-0000-0000DF3B0000}"/>
    <cellStyle name="Финансовый 5 4 2 2 2" xfId="7667" xr:uid="{00000000-0005-0000-0000-0000E03B0000}"/>
    <cellStyle name="Финансовый 5 4 2 2 3" xfId="8673" xr:uid="{00000000-0005-0000-0000-0000E13B0000}"/>
    <cellStyle name="Финансовый 5 4 2 2 4" xfId="9659" xr:uid="{00000000-0005-0000-0000-0000E23B0000}"/>
    <cellStyle name="Финансовый 5 4 2 2 5" xfId="10645" xr:uid="{00000000-0005-0000-0000-0000E33B0000}"/>
    <cellStyle name="Финансовый 5 4 2 2 6" xfId="11631" xr:uid="{00000000-0005-0000-0000-0000E43B0000}"/>
    <cellStyle name="Финансовый 5 4 2 2 7" xfId="12617" xr:uid="{00000000-0005-0000-0000-0000E53B0000}"/>
    <cellStyle name="Финансовый 5 4 2 2 8" xfId="13603" xr:uid="{00000000-0005-0000-0000-0000E63B0000}"/>
    <cellStyle name="Финансовый 5 4 2 2 9" xfId="14603" xr:uid="{00000000-0005-0000-0000-0000E73B0000}"/>
    <cellStyle name="Финансовый 5 4 2 3" xfId="6940" xr:uid="{00000000-0005-0000-0000-0000E83B0000}"/>
    <cellStyle name="Финансовый 5 4 2 3 10" xfId="15859" xr:uid="{00000000-0005-0000-0000-0000E93B0000}"/>
    <cellStyle name="Финансовый 5 4 2 3 2" xfId="7937" xr:uid="{00000000-0005-0000-0000-0000EA3B0000}"/>
    <cellStyle name="Финансовый 5 4 2 3 3" xfId="8943" xr:uid="{00000000-0005-0000-0000-0000EB3B0000}"/>
    <cellStyle name="Финансовый 5 4 2 3 4" xfId="9929" xr:uid="{00000000-0005-0000-0000-0000EC3B0000}"/>
    <cellStyle name="Финансовый 5 4 2 3 5" xfId="10915" xr:uid="{00000000-0005-0000-0000-0000ED3B0000}"/>
    <cellStyle name="Финансовый 5 4 2 3 6" xfId="11901" xr:uid="{00000000-0005-0000-0000-0000EE3B0000}"/>
    <cellStyle name="Финансовый 5 4 2 3 7" xfId="12887" xr:uid="{00000000-0005-0000-0000-0000EF3B0000}"/>
    <cellStyle name="Финансовый 5 4 2 3 8" xfId="13873" xr:uid="{00000000-0005-0000-0000-0000F03B0000}"/>
    <cellStyle name="Финансовый 5 4 2 3 9" xfId="14873" xr:uid="{00000000-0005-0000-0000-0000F13B0000}"/>
    <cellStyle name="Финансовый 5 4 2 4" xfId="7223" xr:uid="{00000000-0005-0000-0000-0000F23B0000}"/>
    <cellStyle name="Финансовый 5 4 2 5" xfId="8229" xr:uid="{00000000-0005-0000-0000-0000F33B0000}"/>
    <cellStyle name="Финансовый 5 4 2 6" xfId="9215" xr:uid="{00000000-0005-0000-0000-0000F43B0000}"/>
    <cellStyle name="Финансовый 5 4 2 7" xfId="10201" xr:uid="{00000000-0005-0000-0000-0000F53B0000}"/>
    <cellStyle name="Финансовый 5 4 2 8" xfId="11187" xr:uid="{00000000-0005-0000-0000-0000F63B0000}"/>
    <cellStyle name="Финансовый 5 4 2 9" xfId="12173" xr:uid="{00000000-0005-0000-0000-0000F73B0000}"/>
    <cellStyle name="Финансовый 5 4 3" xfId="6669" xr:uid="{00000000-0005-0000-0000-0000F83B0000}"/>
    <cellStyle name="Финансовый 5 4 3 10" xfId="15588" xr:uid="{00000000-0005-0000-0000-0000F93B0000}"/>
    <cellStyle name="Финансовый 5 4 3 2" xfId="7666" xr:uid="{00000000-0005-0000-0000-0000FA3B0000}"/>
    <cellStyle name="Финансовый 5 4 3 3" xfId="8672" xr:uid="{00000000-0005-0000-0000-0000FB3B0000}"/>
    <cellStyle name="Финансовый 5 4 3 4" xfId="9658" xr:uid="{00000000-0005-0000-0000-0000FC3B0000}"/>
    <cellStyle name="Финансовый 5 4 3 5" xfId="10644" xr:uid="{00000000-0005-0000-0000-0000FD3B0000}"/>
    <cellStyle name="Финансовый 5 4 3 6" xfId="11630" xr:uid="{00000000-0005-0000-0000-0000FE3B0000}"/>
    <cellStyle name="Финансовый 5 4 3 7" xfId="12616" xr:uid="{00000000-0005-0000-0000-0000FF3B0000}"/>
    <cellStyle name="Финансовый 5 4 3 8" xfId="13602" xr:uid="{00000000-0005-0000-0000-0000003C0000}"/>
    <cellStyle name="Финансовый 5 4 3 9" xfId="14602" xr:uid="{00000000-0005-0000-0000-0000013C0000}"/>
    <cellStyle name="Финансовый 5 4 4" xfId="6939" xr:uid="{00000000-0005-0000-0000-0000023C0000}"/>
    <cellStyle name="Финансовый 5 4 4 10" xfId="15858" xr:uid="{00000000-0005-0000-0000-0000033C0000}"/>
    <cellStyle name="Финансовый 5 4 4 2" xfId="7936" xr:uid="{00000000-0005-0000-0000-0000043C0000}"/>
    <cellStyle name="Финансовый 5 4 4 3" xfId="8942" xr:uid="{00000000-0005-0000-0000-0000053C0000}"/>
    <cellStyle name="Финансовый 5 4 4 4" xfId="9928" xr:uid="{00000000-0005-0000-0000-0000063C0000}"/>
    <cellStyle name="Финансовый 5 4 4 5" xfId="10914" xr:uid="{00000000-0005-0000-0000-0000073C0000}"/>
    <cellStyle name="Финансовый 5 4 4 6" xfId="11900" xr:uid="{00000000-0005-0000-0000-0000083C0000}"/>
    <cellStyle name="Финансовый 5 4 4 7" xfId="12886" xr:uid="{00000000-0005-0000-0000-0000093C0000}"/>
    <cellStyle name="Финансовый 5 4 4 8" xfId="13872" xr:uid="{00000000-0005-0000-0000-00000A3C0000}"/>
    <cellStyle name="Финансовый 5 4 4 9" xfId="14872" xr:uid="{00000000-0005-0000-0000-00000B3C0000}"/>
    <cellStyle name="Финансовый 5 4 5" xfId="7222" xr:uid="{00000000-0005-0000-0000-00000C3C0000}"/>
    <cellStyle name="Финансовый 5 4 6" xfId="8228" xr:uid="{00000000-0005-0000-0000-00000D3C0000}"/>
    <cellStyle name="Финансовый 5 4 7" xfId="9214" xr:uid="{00000000-0005-0000-0000-00000E3C0000}"/>
    <cellStyle name="Финансовый 5 4 8" xfId="10200" xr:uid="{00000000-0005-0000-0000-00000F3C0000}"/>
    <cellStyle name="Финансовый 5 4 9" xfId="11186" xr:uid="{00000000-0005-0000-0000-0000103C0000}"/>
    <cellStyle name="Финансовый 5 5" xfId="6226" xr:uid="{00000000-0005-0000-0000-0000113C0000}"/>
    <cellStyle name="Финансовый 5 5 10" xfId="13160" xr:uid="{00000000-0005-0000-0000-0000123C0000}"/>
    <cellStyle name="Финансовый 5 5 11" xfId="14160" xr:uid="{00000000-0005-0000-0000-0000133C0000}"/>
    <cellStyle name="Финансовый 5 5 12" xfId="15146" xr:uid="{00000000-0005-0000-0000-0000143C0000}"/>
    <cellStyle name="Финансовый 5 5 2" xfId="6671" xr:uid="{00000000-0005-0000-0000-0000153C0000}"/>
    <cellStyle name="Финансовый 5 5 2 10" xfId="15590" xr:uid="{00000000-0005-0000-0000-0000163C0000}"/>
    <cellStyle name="Финансовый 5 5 2 2" xfId="7668" xr:uid="{00000000-0005-0000-0000-0000173C0000}"/>
    <cellStyle name="Финансовый 5 5 2 3" xfId="8674" xr:uid="{00000000-0005-0000-0000-0000183C0000}"/>
    <cellStyle name="Финансовый 5 5 2 4" xfId="9660" xr:uid="{00000000-0005-0000-0000-0000193C0000}"/>
    <cellStyle name="Финансовый 5 5 2 5" xfId="10646" xr:uid="{00000000-0005-0000-0000-00001A3C0000}"/>
    <cellStyle name="Финансовый 5 5 2 6" xfId="11632" xr:uid="{00000000-0005-0000-0000-00001B3C0000}"/>
    <cellStyle name="Финансовый 5 5 2 7" xfId="12618" xr:uid="{00000000-0005-0000-0000-00001C3C0000}"/>
    <cellStyle name="Финансовый 5 5 2 8" xfId="13604" xr:uid="{00000000-0005-0000-0000-00001D3C0000}"/>
    <cellStyle name="Финансовый 5 5 2 9" xfId="14604" xr:uid="{00000000-0005-0000-0000-00001E3C0000}"/>
    <cellStyle name="Финансовый 5 5 3" xfId="6941" xr:uid="{00000000-0005-0000-0000-00001F3C0000}"/>
    <cellStyle name="Финансовый 5 5 3 10" xfId="15860" xr:uid="{00000000-0005-0000-0000-0000203C0000}"/>
    <cellStyle name="Финансовый 5 5 3 2" xfId="7938" xr:uid="{00000000-0005-0000-0000-0000213C0000}"/>
    <cellStyle name="Финансовый 5 5 3 3" xfId="8944" xr:uid="{00000000-0005-0000-0000-0000223C0000}"/>
    <cellStyle name="Финансовый 5 5 3 4" xfId="9930" xr:uid="{00000000-0005-0000-0000-0000233C0000}"/>
    <cellStyle name="Финансовый 5 5 3 5" xfId="10916" xr:uid="{00000000-0005-0000-0000-0000243C0000}"/>
    <cellStyle name="Финансовый 5 5 3 6" xfId="11902" xr:uid="{00000000-0005-0000-0000-0000253C0000}"/>
    <cellStyle name="Финансовый 5 5 3 7" xfId="12888" xr:uid="{00000000-0005-0000-0000-0000263C0000}"/>
    <cellStyle name="Финансовый 5 5 3 8" xfId="13874" xr:uid="{00000000-0005-0000-0000-0000273C0000}"/>
    <cellStyle name="Финансовый 5 5 3 9" xfId="14874" xr:uid="{00000000-0005-0000-0000-0000283C0000}"/>
    <cellStyle name="Финансовый 5 5 4" xfId="7224" xr:uid="{00000000-0005-0000-0000-0000293C0000}"/>
    <cellStyle name="Финансовый 5 5 5" xfId="8230" xr:uid="{00000000-0005-0000-0000-00002A3C0000}"/>
    <cellStyle name="Финансовый 5 5 6" xfId="9216" xr:uid="{00000000-0005-0000-0000-00002B3C0000}"/>
    <cellStyle name="Финансовый 5 5 7" xfId="10202" xr:uid="{00000000-0005-0000-0000-00002C3C0000}"/>
    <cellStyle name="Финансовый 5 5 8" xfId="11188" xr:uid="{00000000-0005-0000-0000-00002D3C0000}"/>
    <cellStyle name="Финансовый 5 5 9" xfId="12174" xr:uid="{00000000-0005-0000-0000-00002E3C0000}"/>
    <cellStyle name="Финансовый 5 6" xfId="6227" xr:uid="{00000000-0005-0000-0000-00002F3C0000}"/>
    <cellStyle name="Финансовый 5 6 10" xfId="13161" xr:uid="{00000000-0005-0000-0000-0000303C0000}"/>
    <cellStyle name="Финансовый 5 6 11" xfId="14161" xr:uid="{00000000-0005-0000-0000-0000313C0000}"/>
    <cellStyle name="Финансовый 5 6 12" xfId="15147" xr:uid="{00000000-0005-0000-0000-0000323C0000}"/>
    <cellStyle name="Финансовый 5 6 2" xfId="6672" xr:uid="{00000000-0005-0000-0000-0000333C0000}"/>
    <cellStyle name="Финансовый 5 6 2 10" xfId="15591" xr:uid="{00000000-0005-0000-0000-0000343C0000}"/>
    <cellStyle name="Финансовый 5 6 2 2" xfId="7669" xr:uid="{00000000-0005-0000-0000-0000353C0000}"/>
    <cellStyle name="Финансовый 5 6 2 3" xfId="8675" xr:uid="{00000000-0005-0000-0000-0000363C0000}"/>
    <cellStyle name="Финансовый 5 6 2 4" xfId="9661" xr:uid="{00000000-0005-0000-0000-0000373C0000}"/>
    <cellStyle name="Финансовый 5 6 2 5" xfId="10647" xr:uid="{00000000-0005-0000-0000-0000383C0000}"/>
    <cellStyle name="Финансовый 5 6 2 6" xfId="11633" xr:uid="{00000000-0005-0000-0000-0000393C0000}"/>
    <cellStyle name="Финансовый 5 6 2 7" xfId="12619" xr:uid="{00000000-0005-0000-0000-00003A3C0000}"/>
    <cellStyle name="Финансовый 5 6 2 8" xfId="13605" xr:uid="{00000000-0005-0000-0000-00003B3C0000}"/>
    <cellStyle name="Финансовый 5 6 2 9" xfId="14605" xr:uid="{00000000-0005-0000-0000-00003C3C0000}"/>
    <cellStyle name="Финансовый 5 6 3" xfId="6942" xr:uid="{00000000-0005-0000-0000-00003D3C0000}"/>
    <cellStyle name="Финансовый 5 6 3 10" xfId="15861" xr:uid="{00000000-0005-0000-0000-00003E3C0000}"/>
    <cellStyle name="Финансовый 5 6 3 2" xfId="7939" xr:uid="{00000000-0005-0000-0000-00003F3C0000}"/>
    <cellStyle name="Финансовый 5 6 3 3" xfId="8945" xr:uid="{00000000-0005-0000-0000-0000403C0000}"/>
    <cellStyle name="Финансовый 5 6 3 4" xfId="9931" xr:uid="{00000000-0005-0000-0000-0000413C0000}"/>
    <cellStyle name="Финансовый 5 6 3 5" xfId="10917" xr:uid="{00000000-0005-0000-0000-0000423C0000}"/>
    <cellStyle name="Финансовый 5 6 3 6" xfId="11903" xr:uid="{00000000-0005-0000-0000-0000433C0000}"/>
    <cellStyle name="Финансовый 5 6 3 7" xfId="12889" xr:uid="{00000000-0005-0000-0000-0000443C0000}"/>
    <cellStyle name="Финансовый 5 6 3 8" xfId="13875" xr:uid="{00000000-0005-0000-0000-0000453C0000}"/>
    <cellStyle name="Финансовый 5 6 3 9" xfId="14875" xr:uid="{00000000-0005-0000-0000-0000463C0000}"/>
    <cellStyle name="Финансовый 5 6 4" xfId="7225" xr:uid="{00000000-0005-0000-0000-0000473C0000}"/>
    <cellStyle name="Финансовый 5 6 5" xfId="8231" xr:uid="{00000000-0005-0000-0000-0000483C0000}"/>
    <cellStyle name="Финансовый 5 6 6" xfId="9217" xr:uid="{00000000-0005-0000-0000-0000493C0000}"/>
    <cellStyle name="Финансовый 5 6 7" xfId="10203" xr:uid="{00000000-0005-0000-0000-00004A3C0000}"/>
    <cellStyle name="Финансовый 5 6 8" xfId="11189" xr:uid="{00000000-0005-0000-0000-00004B3C0000}"/>
    <cellStyle name="Финансовый 5 6 9" xfId="12175" xr:uid="{00000000-0005-0000-0000-00004C3C0000}"/>
    <cellStyle name="Финансовый 5 7" xfId="6466" xr:uid="{00000000-0005-0000-0000-00004D3C0000}"/>
    <cellStyle name="Финансовый 5 7 10" xfId="15385" xr:uid="{00000000-0005-0000-0000-00004E3C0000}"/>
    <cellStyle name="Финансовый 5 7 2" xfId="7463" xr:uid="{00000000-0005-0000-0000-00004F3C0000}"/>
    <cellStyle name="Финансовый 5 7 3" xfId="8469" xr:uid="{00000000-0005-0000-0000-0000503C0000}"/>
    <cellStyle name="Финансовый 5 7 4" xfId="9455" xr:uid="{00000000-0005-0000-0000-0000513C0000}"/>
    <cellStyle name="Финансовый 5 7 5" xfId="10441" xr:uid="{00000000-0005-0000-0000-0000523C0000}"/>
    <cellStyle name="Финансовый 5 7 6" xfId="11427" xr:uid="{00000000-0005-0000-0000-0000533C0000}"/>
    <cellStyle name="Финансовый 5 7 7" xfId="12413" xr:uid="{00000000-0005-0000-0000-0000543C0000}"/>
    <cellStyle name="Финансовый 5 7 8" xfId="13399" xr:uid="{00000000-0005-0000-0000-0000553C0000}"/>
    <cellStyle name="Финансовый 5 7 9" xfId="14399" xr:uid="{00000000-0005-0000-0000-0000563C0000}"/>
    <cellStyle name="Финансовый 5 8" xfId="6736" xr:uid="{00000000-0005-0000-0000-0000573C0000}"/>
    <cellStyle name="Финансовый 5 8 10" xfId="15655" xr:uid="{00000000-0005-0000-0000-0000583C0000}"/>
    <cellStyle name="Финансовый 5 8 2" xfId="7733" xr:uid="{00000000-0005-0000-0000-0000593C0000}"/>
    <cellStyle name="Финансовый 5 8 3" xfId="8739" xr:uid="{00000000-0005-0000-0000-00005A3C0000}"/>
    <cellStyle name="Финансовый 5 8 4" xfId="9725" xr:uid="{00000000-0005-0000-0000-00005B3C0000}"/>
    <cellStyle name="Финансовый 5 8 5" xfId="10711" xr:uid="{00000000-0005-0000-0000-00005C3C0000}"/>
    <cellStyle name="Финансовый 5 8 6" xfId="11697" xr:uid="{00000000-0005-0000-0000-00005D3C0000}"/>
    <cellStyle name="Финансовый 5 8 7" xfId="12683" xr:uid="{00000000-0005-0000-0000-00005E3C0000}"/>
    <cellStyle name="Финансовый 5 8 8" xfId="13669" xr:uid="{00000000-0005-0000-0000-00005F3C0000}"/>
    <cellStyle name="Финансовый 5 8 9" xfId="14669" xr:uid="{00000000-0005-0000-0000-0000603C0000}"/>
    <cellStyle name="Финансовый 5 9" xfId="7019" xr:uid="{00000000-0005-0000-0000-0000613C0000}"/>
    <cellStyle name="Финансовый 6" xfId="3415" xr:uid="{00000000-0005-0000-0000-0000623C0000}"/>
    <cellStyle name="Финансовый 6 10" xfId="7020" xr:uid="{00000000-0005-0000-0000-0000633C0000}"/>
    <cellStyle name="Финансовый 6 11" xfId="8026" xr:uid="{00000000-0005-0000-0000-0000643C0000}"/>
    <cellStyle name="Финансовый 6 12" xfId="9012" xr:uid="{00000000-0005-0000-0000-0000653C0000}"/>
    <cellStyle name="Финансовый 6 13" xfId="9998" xr:uid="{00000000-0005-0000-0000-0000663C0000}"/>
    <cellStyle name="Финансовый 6 14" xfId="10984" xr:uid="{00000000-0005-0000-0000-0000673C0000}"/>
    <cellStyle name="Финансовый 6 15" xfId="11970" xr:uid="{00000000-0005-0000-0000-0000683C0000}"/>
    <cellStyle name="Финансовый 6 16" xfId="12956" xr:uid="{00000000-0005-0000-0000-0000693C0000}"/>
    <cellStyle name="Финансовый 6 17" xfId="13956" xr:uid="{00000000-0005-0000-0000-00006A3C0000}"/>
    <cellStyle name="Финансовый 6 18" xfId="14942" xr:uid="{00000000-0005-0000-0000-00006B3C0000}"/>
    <cellStyle name="Финансовый 6 2" xfId="3416" xr:uid="{00000000-0005-0000-0000-00006C3C0000}"/>
    <cellStyle name="Финансовый 6 3" xfId="3417" xr:uid="{00000000-0005-0000-0000-00006D3C0000}"/>
    <cellStyle name="Финансовый 6 4" xfId="3418" xr:uid="{00000000-0005-0000-0000-00006E3C0000}"/>
    <cellStyle name="Финансовый 6 5" xfId="6061" xr:uid="{00000000-0005-0000-0000-00006F3C0000}"/>
    <cellStyle name="Финансовый 6 5 10" xfId="13015" xr:uid="{00000000-0005-0000-0000-0000703C0000}"/>
    <cellStyle name="Финансовый 6 5 11" xfId="14015" xr:uid="{00000000-0005-0000-0000-0000713C0000}"/>
    <cellStyle name="Финансовый 6 5 12" xfId="15001" xr:uid="{00000000-0005-0000-0000-0000723C0000}"/>
    <cellStyle name="Финансовый 6 5 2" xfId="6526" xr:uid="{00000000-0005-0000-0000-0000733C0000}"/>
    <cellStyle name="Финансовый 6 5 2 10" xfId="15445" xr:uid="{00000000-0005-0000-0000-0000743C0000}"/>
    <cellStyle name="Финансовый 6 5 2 2" xfId="7523" xr:uid="{00000000-0005-0000-0000-0000753C0000}"/>
    <cellStyle name="Финансовый 6 5 2 3" xfId="8529" xr:uid="{00000000-0005-0000-0000-0000763C0000}"/>
    <cellStyle name="Финансовый 6 5 2 4" xfId="9515" xr:uid="{00000000-0005-0000-0000-0000773C0000}"/>
    <cellStyle name="Финансовый 6 5 2 5" xfId="10501" xr:uid="{00000000-0005-0000-0000-0000783C0000}"/>
    <cellStyle name="Финансовый 6 5 2 6" xfId="11487" xr:uid="{00000000-0005-0000-0000-0000793C0000}"/>
    <cellStyle name="Финансовый 6 5 2 7" xfId="12473" xr:uid="{00000000-0005-0000-0000-00007A3C0000}"/>
    <cellStyle name="Финансовый 6 5 2 8" xfId="13459" xr:uid="{00000000-0005-0000-0000-00007B3C0000}"/>
    <cellStyle name="Финансовый 6 5 2 9" xfId="14459" xr:uid="{00000000-0005-0000-0000-00007C3C0000}"/>
    <cellStyle name="Финансовый 6 5 3" xfId="6796" xr:uid="{00000000-0005-0000-0000-00007D3C0000}"/>
    <cellStyle name="Финансовый 6 5 3 10" xfId="15715" xr:uid="{00000000-0005-0000-0000-00007E3C0000}"/>
    <cellStyle name="Финансовый 6 5 3 2" xfId="7793" xr:uid="{00000000-0005-0000-0000-00007F3C0000}"/>
    <cellStyle name="Финансовый 6 5 3 3" xfId="8799" xr:uid="{00000000-0005-0000-0000-0000803C0000}"/>
    <cellStyle name="Финансовый 6 5 3 4" xfId="9785" xr:uid="{00000000-0005-0000-0000-0000813C0000}"/>
    <cellStyle name="Финансовый 6 5 3 5" xfId="10771" xr:uid="{00000000-0005-0000-0000-0000823C0000}"/>
    <cellStyle name="Финансовый 6 5 3 6" xfId="11757" xr:uid="{00000000-0005-0000-0000-0000833C0000}"/>
    <cellStyle name="Финансовый 6 5 3 7" xfId="12743" xr:uid="{00000000-0005-0000-0000-0000843C0000}"/>
    <cellStyle name="Финансовый 6 5 3 8" xfId="13729" xr:uid="{00000000-0005-0000-0000-0000853C0000}"/>
    <cellStyle name="Финансовый 6 5 3 9" xfId="14729" xr:uid="{00000000-0005-0000-0000-0000863C0000}"/>
    <cellStyle name="Финансовый 6 5 4" xfId="7079" xr:uid="{00000000-0005-0000-0000-0000873C0000}"/>
    <cellStyle name="Финансовый 6 5 5" xfId="8085" xr:uid="{00000000-0005-0000-0000-0000883C0000}"/>
    <cellStyle name="Финансовый 6 5 6" xfId="9071" xr:uid="{00000000-0005-0000-0000-0000893C0000}"/>
    <cellStyle name="Финансовый 6 5 7" xfId="10057" xr:uid="{00000000-0005-0000-0000-00008A3C0000}"/>
    <cellStyle name="Финансовый 6 5 8" xfId="11043" xr:uid="{00000000-0005-0000-0000-00008B3C0000}"/>
    <cellStyle name="Финансовый 6 5 9" xfId="12029" xr:uid="{00000000-0005-0000-0000-00008C3C0000}"/>
    <cellStyle name="Финансовый 6 6" xfId="6118" xr:uid="{00000000-0005-0000-0000-00008D3C0000}"/>
    <cellStyle name="Финансовый 6 6 10" xfId="13068" xr:uid="{00000000-0005-0000-0000-00008E3C0000}"/>
    <cellStyle name="Финансовый 6 6 11" xfId="14068" xr:uid="{00000000-0005-0000-0000-00008F3C0000}"/>
    <cellStyle name="Финансовый 6 6 12" xfId="15054" xr:uid="{00000000-0005-0000-0000-0000903C0000}"/>
    <cellStyle name="Финансовый 6 6 2" xfId="6579" xr:uid="{00000000-0005-0000-0000-0000913C0000}"/>
    <cellStyle name="Финансовый 6 6 2 10" xfId="15498" xr:uid="{00000000-0005-0000-0000-0000923C0000}"/>
    <cellStyle name="Финансовый 6 6 2 2" xfId="7576" xr:uid="{00000000-0005-0000-0000-0000933C0000}"/>
    <cellStyle name="Финансовый 6 6 2 3" xfId="8582" xr:uid="{00000000-0005-0000-0000-0000943C0000}"/>
    <cellStyle name="Финансовый 6 6 2 4" xfId="9568" xr:uid="{00000000-0005-0000-0000-0000953C0000}"/>
    <cellStyle name="Финансовый 6 6 2 5" xfId="10554" xr:uid="{00000000-0005-0000-0000-0000963C0000}"/>
    <cellStyle name="Финансовый 6 6 2 6" xfId="11540" xr:uid="{00000000-0005-0000-0000-0000973C0000}"/>
    <cellStyle name="Финансовый 6 6 2 7" xfId="12526" xr:uid="{00000000-0005-0000-0000-0000983C0000}"/>
    <cellStyle name="Финансовый 6 6 2 8" xfId="13512" xr:uid="{00000000-0005-0000-0000-0000993C0000}"/>
    <cellStyle name="Финансовый 6 6 2 9" xfId="14512" xr:uid="{00000000-0005-0000-0000-00009A3C0000}"/>
    <cellStyle name="Финансовый 6 6 3" xfId="6849" xr:uid="{00000000-0005-0000-0000-00009B3C0000}"/>
    <cellStyle name="Финансовый 6 6 3 10" xfId="15768" xr:uid="{00000000-0005-0000-0000-00009C3C0000}"/>
    <cellStyle name="Финансовый 6 6 3 2" xfId="7846" xr:uid="{00000000-0005-0000-0000-00009D3C0000}"/>
    <cellStyle name="Финансовый 6 6 3 3" xfId="8852" xr:uid="{00000000-0005-0000-0000-00009E3C0000}"/>
    <cellStyle name="Финансовый 6 6 3 4" xfId="9838" xr:uid="{00000000-0005-0000-0000-00009F3C0000}"/>
    <cellStyle name="Финансовый 6 6 3 5" xfId="10824" xr:uid="{00000000-0005-0000-0000-0000A03C0000}"/>
    <cellStyle name="Финансовый 6 6 3 6" xfId="11810" xr:uid="{00000000-0005-0000-0000-0000A13C0000}"/>
    <cellStyle name="Финансовый 6 6 3 7" xfId="12796" xr:uid="{00000000-0005-0000-0000-0000A23C0000}"/>
    <cellStyle name="Финансовый 6 6 3 8" xfId="13782" xr:uid="{00000000-0005-0000-0000-0000A33C0000}"/>
    <cellStyle name="Финансовый 6 6 3 9" xfId="14782" xr:uid="{00000000-0005-0000-0000-0000A43C0000}"/>
    <cellStyle name="Финансовый 6 6 4" xfId="7132" xr:uid="{00000000-0005-0000-0000-0000A53C0000}"/>
    <cellStyle name="Финансовый 6 6 5" xfId="8138" xr:uid="{00000000-0005-0000-0000-0000A63C0000}"/>
    <cellStyle name="Финансовый 6 6 6" xfId="9124" xr:uid="{00000000-0005-0000-0000-0000A73C0000}"/>
    <cellStyle name="Финансовый 6 6 7" xfId="10110" xr:uid="{00000000-0005-0000-0000-0000A83C0000}"/>
    <cellStyle name="Финансовый 6 6 8" xfId="11096" xr:uid="{00000000-0005-0000-0000-0000A93C0000}"/>
    <cellStyle name="Финансовый 6 6 9" xfId="12082" xr:uid="{00000000-0005-0000-0000-0000AA3C0000}"/>
    <cellStyle name="Финансовый 6 7" xfId="6228" xr:uid="{00000000-0005-0000-0000-0000AB3C0000}"/>
    <cellStyle name="Финансовый 6 8" xfId="6467" xr:uid="{00000000-0005-0000-0000-0000AC3C0000}"/>
    <cellStyle name="Финансовый 6 8 10" xfId="15386" xr:uid="{00000000-0005-0000-0000-0000AD3C0000}"/>
    <cellStyle name="Финансовый 6 8 2" xfId="7464" xr:uid="{00000000-0005-0000-0000-0000AE3C0000}"/>
    <cellStyle name="Финансовый 6 8 3" xfId="8470" xr:uid="{00000000-0005-0000-0000-0000AF3C0000}"/>
    <cellStyle name="Финансовый 6 8 4" xfId="9456" xr:uid="{00000000-0005-0000-0000-0000B03C0000}"/>
    <cellStyle name="Финансовый 6 8 5" xfId="10442" xr:uid="{00000000-0005-0000-0000-0000B13C0000}"/>
    <cellStyle name="Финансовый 6 8 6" xfId="11428" xr:uid="{00000000-0005-0000-0000-0000B23C0000}"/>
    <cellStyle name="Финансовый 6 8 7" xfId="12414" xr:uid="{00000000-0005-0000-0000-0000B33C0000}"/>
    <cellStyle name="Финансовый 6 8 8" xfId="13400" xr:uid="{00000000-0005-0000-0000-0000B43C0000}"/>
    <cellStyle name="Финансовый 6 8 9" xfId="14400" xr:uid="{00000000-0005-0000-0000-0000B53C0000}"/>
    <cellStyle name="Финансовый 6 9" xfId="6737" xr:uid="{00000000-0005-0000-0000-0000B63C0000}"/>
    <cellStyle name="Финансовый 6 9 10" xfId="15656" xr:uid="{00000000-0005-0000-0000-0000B73C0000}"/>
    <cellStyle name="Финансовый 6 9 2" xfId="7734" xr:uid="{00000000-0005-0000-0000-0000B83C0000}"/>
    <cellStyle name="Финансовый 6 9 3" xfId="8740" xr:uid="{00000000-0005-0000-0000-0000B93C0000}"/>
    <cellStyle name="Финансовый 6 9 4" xfId="9726" xr:uid="{00000000-0005-0000-0000-0000BA3C0000}"/>
    <cellStyle name="Финансовый 6 9 5" xfId="10712" xr:uid="{00000000-0005-0000-0000-0000BB3C0000}"/>
    <cellStyle name="Финансовый 6 9 6" xfId="11698" xr:uid="{00000000-0005-0000-0000-0000BC3C0000}"/>
    <cellStyle name="Финансовый 6 9 7" xfId="12684" xr:uid="{00000000-0005-0000-0000-0000BD3C0000}"/>
    <cellStyle name="Финансовый 6 9 8" xfId="13670" xr:uid="{00000000-0005-0000-0000-0000BE3C0000}"/>
    <cellStyle name="Финансовый 6 9 9" xfId="14670" xr:uid="{00000000-0005-0000-0000-0000BF3C0000}"/>
    <cellStyle name="Финансовый 7" xfId="3419" xr:uid="{00000000-0005-0000-0000-0000C03C0000}"/>
    <cellStyle name="Финансовый 7 10" xfId="9999" xr:uid="{00000000-0005-0000-0000-0000C13C0000}"/>
    <cellStyle name="Финансовый 7 11" xfId="10985" xr:uid="{00000000-0005-0000-0000-0000C23C0000}"/>
    <cellStyle name="Финансовый 7 12" xfId="11971" xr:uid="{00000000-0005-0000-0000-0000C33C0000}"/>
    <cellStyle name="Финансовый 7 13" xfId="12957" xr:uid="{00000000-0005-0000-0000-0000C43C0000}"/>
    <cellStyle name="Финансовый 7 14" xfId="13957" xr:uid="{00000000-0005-0000-0000-0000C53C0000}"/>
    <cellStyle name="Финансовый 7 15" xfId="14943" xr:uid="{00000000-0005-0000-0000-0000C63C0000}"/>
    <cellStyle name="Финансовый 7 2" xfId="6062" xr:uid="{00000000-0005-0000-0000-0000C73C0000}"/>
    <cellStyle name="Финансовый 7 2 10" xfId="12030" xr:uid="{00000000-0005-0000-0000-0000C83C0000}"/>
    <cellStyle name="Финансовый 7 2 11" xfId="13016" xr:uid="{00000000-0005-0000-0000-0000C93C0000}"/>
    <cellStyle name="Финансовый 7 2 12" xfId="14016" xr:uid="{00000000-0005-0000-0000-0000CA3C0000}"/>
    <cellStyle name="Финансовый 7 2 13" xfId="15002" xr:uid="{00000000-0005-0000-0000-0000CB3C0000}"/>
    <cellStyle name="Финансовый 7 2 2" xfId="6229" xr:uid="{00000000-0005-0000-0000-0000CC3C0000}"/>
    <cellStyle name="Финансовый 7 2 2 10" xfId="13162" xr:uid="{00000000-0005-0000-0000-0000CD3C0000}"/>
    <cellStyle name="Финансовый 7 2 2 11" xfId="14162" xr:uid="{00000000-0005-0000-0000-0000CE3C0000}"/>
    <cellStyle name="Финансовый 7 2 2 12" xfId="15148" xr:uid="{00000000-0005-0000-0000-0000CF3C0000}"/>
    <cellStyle name="Финансовый 7 2 2 2" xfId="6673" xr:uid="{00000000-0005-0000-0000-0000D03C0000}"/>
    <cellStyle name="Финансовый 7 2 2 2 10" xfId="15592" xr:uid="{00000000-0005-0000-0000-0000D13C0000}"/>
    <cellStyle name="Финансовый 7 2 2 2 2" xfId="7670" xr:uid="{00000000-0005-0000-0000-0000D23C0000}"/>
    <cellStyle name="Финансовый 7 2 2 2 3" xfId="8676" xr:uid="{00000000-0005-0000-0000-0000D33C0000}"/>
    <cellStyle name="Финансовый 7 2 2 2 4" xfId="9662" xr:uid="{00000000-0005-0000-0000-0000D43C0000}"/>
    <cellStyle name="Финансовый 7 2 2 2 5" xfId="10648" xr:uid="{00000000-0005-0000-0000-0000D53C0000}"/>
    <cellStyle name="Финансовый 7 2 2 2 6" xfId="11634" xr:uid="{00000000-0005-0000-0000-0000D63C0000}"/>
    <cellStyle name="Финансовый 7 2 2 2 7" xfId="12620" xr:uid="{00000000-0005-0000-0000-0000D73C0000}"/>
    <cellStyle name="Финансовый 7 2 2 2 8" xfId="13606" xr:uid="{00000000-0005-0000-0000-0000D83C0000}"/>
    <cellStyle name="Финансовый 7 2 2 2 9" xfId="14606" xr:uid="{00000000-0005-0000-0000-0000D93C0000}"/>
    <cellStyle name="Финансовый 7 2 2 3" xfId="6943" xr:uid="{00000000-0005-0000-0000-0000DA3C0000}"/>
    <cellStyle name="Финансовый 7 2 2 3 10" xfId="15862" xr:uid="{00000000-0005-0000-0000-0000DB3C0000}"/>
    <cellStyle name="Финансовый 7 2 2 3 2" xfId="7940" xr:uid="{00000000-0005-0000-0000-0000DC3C0000}"/>
    <cellStyle name="Финансовый 7 2 2 3 3" xfId="8946" xr:uid="{00000000-0005-0000-0000-0000DD3C0000}"/>
    <cellStyle name="Финансовый 7 2 2 3 4" xfId="9932" xr:uid="{00000000-0005-0000-0000-0000DE3C0000}"/>
    <cellStyle name="Финансовый 7 2 2 3 5" xfId="10918" xr:uid="{00000000-0005-0000-0000-0000DF3C0000}"/>
    <cellStyle name="Финансовый 7 2 2 3 6" xfId="11904" xr:uid="{00000000-0005-0000-0000-0000E03C0000}"/>
    <cellStyle name="Финансовый 7 2 2 3 7" xfId="12890" xr:uid="{00000000-0005-0000-0000-0000E13C0000}"/>
    <cellStyle name="Финансовый 7 2 2 3 8" xfId="13876" xr:uid="{00000000-0005-0000-0000-0000E23C0000}"/>
    <cellStyle name="Финансовый 7 2 2 3 9" xfId="14876" xr:uid="{00000000-0005-0000-0000-0000E33C0000}"/>
    <cellStyle name="Финансовый 7 2 2 4" xfId="7226" xr:uid="{00000000-0005-0000-0000-0000E43C0000}"/>
    <cellStyle name="Финансовый 7 2 2 5" xfId="8232" xr:uid="{00000000-0005-0000-0000-0000E53C0000}"/>
    <cellStyle name="Финансовый 7 2 2 6" xfId="9218" xr:uid="{00000000-0005-0000-0000-0000E63C0000}"/>
    <cellStyle name="Финансовый 7 2 2 7" xfId="10204" xr:uid="{00000000-0005-0000-0000-0000E73C0000}"/>
    <cellStyle name="Финансовый 7 2 2 8" xfId="11190" xr:uid="{00000000-0005-0000-0000-0000E83C0000}"/>
    <cellStyle name="Финансовый 7 2 2 9" xfId="12176" xr:uid="{00000000-0005-0000-0000-0000E93C0000}"/>
    <cellStyle name="Финансовый 7 2 3" xfId="6527" xr:uid="{00000000-0005-0000-0000-0000EA3C0000}"/>
    <cellStyle name="Финансовый 7 2 3 10" xfId="15446" xr:uid="{00000000-0005-0000-0000-0000EB3C0000}"/>
    <cellStyle name="Финансовый 7 2 3 2" xfId="7524" xr:uid="{00000000-0005-0000-0000-0000EC3C0000}"/>
    <cellStyle name="Финансовый 7 2 3 3" xfId="8530" xr:uid="{00000000-0005-0000-0000-0000ED3C0000}"/>
    <cellStyle name="Финансовый 7 2 3 4" xfId="9516" xr:uid="{00000000-0005-0000-0000-0000EE3C0000}"/>
    <cellStyle name="Финансовый 7 2 3 5" xfId="10502" xr:uid="{00000000-0005-0000-0000-0000EF3C0000}"/>
    <cellStyle name="Финансовый 7 2 3 6" xfId="11488" xr:uid="{00000000-0005-0000-0000-0000F03C0000}"/>
    <cellStyle name="Финансовый 7 2 3 7" xfId="12474" xr:uid="{00000000-0005-0000-0000-0000F13C0000}"/>
    <cellStyle name="Финансовый 7 2 3 8" xfId="13460" xr:uid="{00000000-0005-0000-0000-0000F23C0000}"/>
    <cellStyle name="Финансовый 7 2 3 9" xfId="14460" xr:uid="{00000000-0005-0000-0000-0000F33C0000}"/>
    <cellStyle name="Финансовый 7 2 4" xfId="6797" xr:uid="{00000000-0005-0000-0000-0000F43C0000}"/>
    <cellStyle name="Финансовый 7 2 4 10" xfId="15716" xr:uid="{00000000-0005-0000-0000-0000F53C0000}"/>
    <cellStyle name="Финансовый 7 2 4 2" xfId="7794" xr:uid="{00000000-0005-0000-0000-0000F63C0000}"/>
    <cellStyle name="Финансовый 7 2 4 3" xfId="8800" xr:uid="{00000000-0005-0000-0000-0000F73C0000}"/>
    <cellStyle name="Финансовый 7 2 4 4" xfId="9786" xr:uid="{00000000-0005-0000-0000-0000F83C0000}"/>
    <cellStyle name="Финансовый 7 2 4 5" xfId="10772" xr:uid="{00000000-0005-0000-0000-0000F93C0000}"/>
    <cellStyle name="Финансовый 7 2 4 6" xfId="11758" xr:uid="{00000000-0005-0000-0000-0000FA3C0000}"/>
    <cellStyle name="Финансовый 7 2 4 7" xfId="12744" xr:uid="{00000000-0005-0000-0000-0000FB3C0000}"/>
    <cellStyle name="Финансовый 7 2 4 8" xfId="13730" xr:uid="{00000000-0005-0000-0000-0000FC3C0000}"/>
    <cellStyle name="Финансовый 7 2 4 9" xfId="14730" xr:uid="{00000000-0005-0000-0000-0000FD3C0000}"/>
    <cellStyle name="Финансовый 7 2 5" xfId="7080" xr:uid="{00000000-0005-0000-0000-0000FE3C0000}"/>
    <cellStyle name="Финансовый 7 2 6" xfId="8086" xr:uid="{00000000-0005-0000-0000-0000FF3C0000}"/>
    <cellStyle name="Финансовый 7 2 7" xfId="9072" xr:uid="{00000000-0005-0000-0000-0000003D0000}"/>
    <cellStyle name="Финансовый 7 2 8" xfId="10058" xr:uid="{00000000-0005-0000-0000-0000013D0000}"/>
    <cellStyle name="Финансовый 7 2 9" xfId="11044" xr:uid="{00000000-0005-0000-0000-0000023D0000}"/>
    <cellStyle name="Финансовый 7 3" xfId="6119" xr:uid="{00000000-0005-0000-0000-0000033D0000}"/>
    <cellStyle name="Финансовый 7 3 10" xfId="13069" xr:uid="{00000000-0005-0000-0000-0000043D0000}"/>
    <cellStyle name="Финансовый 7 3 11" xfId="14069" xr:uid="{00000000-0005-0000-0000-0000053D0000}"/>
    <cellStyle name="Финансовый 7 3 12" xfId="15055" xr:uid="{00000000-0005-0000-0000-0000063D0000}"/>
    <cellStyle name="Финансовый 7 3 2" xfId="6580" xr:uid="{00000000-0005-0000-0000-0000073D0000}"/>
    <cellStyle name="Финансовый 7 3 2 10" xfId="15499" xr:uid="{00000000-0005-0000-0000-0000083D0000}"/>
    <cellStyle name="Финансовый 7 3 2 2" xfId="7577" xr:uid="{00000000-0005-0000-0000-0000093D0000}"/>
    <cellStyle name="Финансовый 7 3 2 3" xfId="8583" xr:uid="{00000000-0005-0000-0000-00000A3D0000}"/>
    <cellStyle name="Финансовый 7 3 2 4" xfId="9569" xr:uid="{00000000-0005-0000-0000-00000B3D0000}"/>
    <cellStyle name="Финансовый 7 3 2 5" xfId="10555" xr:uid="{00000000-0005-0000-0000-00000C3D0000}"/>
    <cellStyle name="Финансовый 7 3 2 6" xfId="11541" xr:uid="{00000000-0005-0000-0000-00000D3D0000}"/>
    <cellStyle name="Финансовый 7 3 2 7" xfId="12527" xr:uid="{00000000-0005-0000-0000-00000E3D0000}"/>
    <cellStyle name="Финансовый 7 3 2 8" xfId="13513" xr:uid="{00000000-0005-0000-0000-00000F3D0000}"/>
    <cellStyle name="Финансовый 7 3 2 9" xfId="14513" xr:uid="{00000000-0005-0000-0000-0000103D0000}"/>
    <cellStyle name="Финансовый 7 3 3" xfId="6850" xr:uid="{00000000-0005-0000-0000-0000113D0000}"/>
    <cellStyle name="Финансовый 7 3 3 10" xfId="15769" xr:uid="{00000000-0005-0000-0000-0000123D0000}"/>
    <cellStyle name="Финансовый 7 3 3 2" xfId="7847" xr:uid="{00000000-0005-0000-0000-0000133D0000}"/>
    <cellStyle name="Финансовый 7 3 3 3" xfId="8853" xr:uid="{00000000-0005-0000-0000-0000143D0000}"/>
    <cellStyle name="Финансовый 7 3 3 4" xfId="9839" xr:uid="{00000000-0005-0000-0000-0000153D0000}"/>
    <cellStyle name="Финансовый 7 3 3 5" xfId="10825" xr:uid="{00000000-0005-0000-0000-0000163D0000}"/>
    <cellStyle name="Финансовый 7 3 3 6" xfId="11811" xr:uid="{00000000-0005-0000-0000-0000173D0000}"/>
    <cellStyle name="Финансовый 7 3 3 7" xfId="12797" xr:uid="{00000000-0005-0000-0000-0000183D0000}"/>
    <cellStyle name="Финансовый 7 3 3 8" xfId="13783" xr:uid="{00000000-0005-0000-0000-0000193D0000}"/>
    <cellStyle name="Финансовый 7 3 3 9" xfId="14783" xr:uid="{00000000-0005-0000-0000-00001A3D0000}"/>
    <cellStyle name="Финансовый 7 3 4" xfId="7133" xr:uid="{00000000-0005-0000-0000-00001B3D0000}"/>
    <cellStyle name="Финансовый 7 3 5" xfId="8139" xr:uid="{00000000-0005-0000-0000-00001C3D0000}"/>
    <cellStyle name="Финансовый 7 3 6" xfId="9125" xr:uid="{00000000-0005-0000-0000-00001D3D0000}"/>
    <cellStyle name="Финансовый 7 3 7" xfId="10111" xr:uid="{00000000-0005-0000-0000-00001E3D0000}"/>
    <cellStyle name="Финансовый 7 3 8" xfId="11097" xr:uid="{00000000-0005-0000-0000-00001F3D0000}"/>
    <cellStyle name="Финансовый 7 3 9" xfId="12083" xr:uid="{00000000-0005-0000-0000-0000203D0000}"/>
    <cellStyle name="Финансовый 7 4" xfId="6230" xr:uid="{00000000-0005-0000-0000-0000213D0000}"/>
    <cellStyle name="Финансовый 7 4 10" xfId="13163" xr:uid="{00000000-0005-0000-0000-0000223D0000}"/>
    <cellStyle name="Финансовый 7 4 11" xfId="14163" xr:uid="{00000000-0005-0000-0000-0000233D0000}"/>
    <cellStyle name="Финансовый 7 4 12" xfId="15149" xr:uid="{00000000-0005-0000-0000-0000243D0000}"/>
    <cellStyle name="Финансовый 7 4 2" xfId="6674" xr:uid="{00000000-0005-0000-0000-0000253D0000}"/>
    <cellStyle name="Финансовый 7 4 2 10" xfId="15593" xr:uid="{00000000-0005-0000-0000-0000263D0000}"/>
    <cellStyle name="Финансовый 7 4 2 2" xfId="7671" xr:uid="{00000000-0005-0000-0000-0000273D0000}"/>
    <cellStyle name="Финансовый 7 4 2 3" xfId="8677" xr:uid="{00000000-0005-0000-0000-0000283D0000}"/>
    <cellStyle name="Финансовый 7 4 2 4" xfId="9663" xr:uid="{00000000-0005-0000-0000-0000293D0000}"/>
    <cellStyle name="Финансовый 7 4 2 5" xfId="10649" xr:uid="{00000000-0005-0000-0000-00002A3D0000}"/>
    <cellStyle name="Финансовый 7 4 2 6" xfId="11635" xr:uid="{00000000-0005-0000-0000-00002B3D0000}"/>
    <cellStyle name="Финансовый 7 4 2 7" xfId="12621" xr:uid="{00000000-0005-0000-0000-00002C3D0000}"/>
    <cellStyle name="Финансовый 7 4 2 8" xfId="13607" xr:uid="{00000000-0005-0000-0000-00002D3D0000}"/>
    <cellStyle name="Финансовый 7 4 2 9" xfId="14607" xr:uid="{00000000-0005-0000-0000-00002E3D0000}"/>
    <cellStyle name="Финансовый 7 4 3" xfId="6944" xr:uid="{00000000-0005-0000-0000-00002F3D0000}"/>
    <cellStyle name="Финансовый 7 4 3 10" xfId="15863" xr:uid="{00000000-0005-0000-0000-0000303D0000}"/>
    <cellStyle name="Финансовый 7 4 3 2" xfId="7941" xr:uid="{00000000-0005-0000-0000-0000313D0000}"/>
    <cellStyle name="Финансовый 7 4 3 3" xfId="8947" xr:uid="{00000000-0005-0000-0000-0000323D0000}"/>
    <cellStyle name="Финансовый 7 4 3 4" xfId="9933" xr:uid="{00000000-0005-0000-0000-0000333D0000}"/>
    <cellStyle name="Финансовый 7 4 3 5" xfId="10919" xr:uid="{00000000-0005-0000-0000-0000343D0000}"/>
    <cellStyle name="Финансовый 7 4 3 6" xfId="11905" xr:uid="{00000000-0005-0000-0000-0000353D0000}"/>
    <cellStyle name="Финансовый 7 4 3 7" xfId="12891" xr:uid="{00000000-0005-0000-0000-0000363D0000}"/>
    <cellStyle name="Финансовый 7 4 3 8" xfId="13877" xr:uid="{00000000-0005-0000-0000-0000373D0000}"/>
    <cellStyle name="Финансовый 7 4 3 9" xfId="14877" xr:uid="{00000000-0005-0000-0000-0000383D0000}"/>
    <cellStyle name="Финансовый 7 4 4" xfId="7227" xr:uid="{00000000-0005-0000-0000-0000393D0000}"/>
    <cellStyle name="Финансовый 7 4 5" xfId="8233" xr:uid="{00000000-0005-0000-0000-00003A3D0000}"/>
    <cellStyle name="Финансовый 7 4 6" xfId="9219" xr:uid="{00000000-0005-0000-0000-00003B3D0000}"/>
    <cellStyle name="Финансовый 7 4 7" xfId="10205" xr:uid="{00000000-0005-0000-0000-00003C3D0000}"/>
    <cellStyle name="Финансовый 7 4 8" xfId="11191" xr:uid="{00000000-0005-0000-0000-00003D3D0000}"/>
    <cellStyle name="Финансовый 7 4 9" xfId="12177" xr:uid="{00000000-0005-0000-0000-00003E3D0000}"/>
    <cellStyle name="Финансовый 7 5" xfId="6468" xr:uid="{00000000-0005-0000-0000-00003F3D0000}"/>
    <cellStyle name="Финансовый 7 5 10" xfId="15387" xr:uid="{00000000-0005-0000-0000-0000403D0000}"/>
    <cellStyle name="Финансовый 7 5 2" xfId="7465" xr:uid="{00000000-0005-0000-0000-0000413D0000}"/>
    <cellStyle name="Финансовый 7 5 3" xfId="8471" xr:uid="{00000000-0005-0000-0000-0000423D0000}"/>
    <cellStyle name="Финансовый 7 5 4" xfId="9457" xr:uid="{00000000-0005-0000-0000-0000433D0000}"/>
    <cellStyle name="Финансовый 7 5 5" xfId="10443" xr:uid="{00000000-0005-0000-0000-0000443D0000}"/>
    <cellStyle name="Финансовый 7 5 6" xfId="11429" xr:uid="{00000000-0005-0000-0000-0000453D0000}"/>
    <cellStyle name="Финансовый 7 5 7" xfId="12415" xr:uid="{00000000-0005-0000-0000-0000463D0000}"/>
    <cellStyle name="Финансовый 7 5 8" xfId="13401" xr:uid="{00000000-0005-0000-0000-0000473D0000}"/>
    <cellStyle name="Финансовый 7 5 9" xfId="14401" xr:uid="{00000000-0005-0000-0000-0000483D0000}"/>
    <cellStyle name="Финансовый 7 6" xfId="6738" xr:uid="{00000000-0005-0000-0000-0000493D0000}"/>
    <cellStyle name="Финансовый 7 6 10" xfId="15657" xr:uid="{00000000-0005-0000-0000-00004A3D0000}"/>
    <cellStyle name="Финансовый 7 6 2" xfId="7735" xr:uid="{00000000-0005-0000-0000-00004B3D0000}"/>
    <cellStyle name="Финансовый 7 6 3" xfId="8741" xr:uid="{00000000-0005-0000-0000-00004C3D0000}"/>
    <cellStyle name="Финансовый 7 6 4" xfId="9727" xr:uid="{00000000-0005-0000-0000-00004D3D0000}"/>
    <cellStyle name="Финансовый 7 6 5" xfId="10713" xr:uid="{00000000-0005-0000-0000-00004E3D0000}"/>
    <cellStyle name="Финансовый 7 6 6" xfId="11699" xr:uid="{00000000-0005-0000-0000-00004F3D0000}"/>
    <cellStyle name="Финансовый 7 6 7" xfId="12685" xr:uid="{00000000-0005-0000-0000-0000503D0000}"/>
    <cellStyle name="Финансовый 7 6 8" xfId="13671" xr:uid="{00000000-0005-0000-0000-0000513D0000}"/>
    <cellStyle name="Финансовый 7 6 9" xfId="14671" xr:uid="{00000000-0005-0000-0000-0000523D0000}"/>
    <cellStyle name="Финансовый 7 7" xfId="7021" xr:uid="{00000000-0005-0000-0000-0000533D0000}"/>
    <cellStyle name="Финансовый 7 8" xfId="8027" xr:uid="{00000000-0005-0000-0000-0000543D0000}"/>
    <cellStyle name="Финансовый 7 9" xfId="9013" xr:uid="{00000000-0005-0000-0000-0000553D0000}"/>
    <cellStyle name="Финансовый 8" xfId="3420" xr:uid="{00000000-0005-0000-0000-0000563D0000}"/>
    <cellStyle name="Финансовый 8 10" xfId="10000" xr:uid="{00000000-0005-0000-0000-0000573D0000}"/>
    <cellStyle name="Финансовый 8 11" xfId="10986" xr:uid="{00000000-0005-0000-0000-0000583D0000}"/>
    <cellStyle name="Финансовый 8 12" xfId="11972" xr:uid="{00000000-0005-0000-0000-0000593D0000}"/>
    <cellStyle name="Финансовый 8 13" xfId="12958" xr:uid="{00000000-0005-0000-0000-00005A3D0000}"/>
    <cellStyle name="Финансовый 8 14" xfId="13958" xr:uid="{00000000-0005-0000-0000-00005B3D0000}"/>
    <cellStyle name="Финансовый 8 15" xfId="14944" xr:uid="{00000000-0005-0000-0000-00005C3D0000}"/>
    <cellStyle name="Финансовый 8 2" xfId="6063" xr:uid="{00000000-0005-0000-0000-00005D3D0000}"/>
    <cellStyle name="Финансовый 8 2 10" xfId="13017" xr:uid="{00000000-0005-0000-0000-00005E3D0000}"/>
    <cellStyle name="Финансовый 8 2 11" xfId="14017" xr:uid="{00000000-0005-0000-0000-00005F3D0000}"/>
    <cellStyle name="Финансовый 8 2 12" xfId="15003" xr:uid="{00000000-0005-0000-0000-0000603D0000}"/>
    <cellStyle name="Финансовый 8 2 2" xfId="6528" xr:uid="{00000000-0005-0000-0000-0000613D0000}"/>
    <cellStyle name="Финансовый 8 2 2 10" xfId="15447" xr:uid="{00000000-0005-0000-0000-0000623D0000}"/>
    <cellStyle name="Финансовый 8 2 2 2" xfId="7525" xr:uid="{00000000-0005-0000-0000-0000633D0000}"/>
    <cellStyle name="Финансовый 8 2 2 3" xfId="8531" xr:uid="{00000000-0005-0000-0000-0000643D0000}"/>
    <cellStyle name="Финансовый 8 2 2 4" xfId="9517" xr:uid="{00000000-0005-0000-0000-0000653D0000}"/>
    <cellStyle name="Финансовый 8 2 2 5" xfId="10503" xr:uid="{00000000-0005-0000-0000-0000663D0000}"/>
    <cellStyle name="Финансовый 8 2 2 6" xfId="11489" xr:uid="{00000000-0005-0000-0000-0000673D0000}"/>
    <cellStyle name="Финансовый 8 2 2 7" xfId="12475" xr:uid="{00000000-0005-0000-0000-0000683D0000}"/>
    <cellStyle name="Финансовый 8 2 2 8" xfId="13461" xr:uid="{00000000-0005-0000-0000-0000693D0000}"/>
    <cellStyle name="Финансовый 8 2 2 9" xfId="14461" xr:uid="{00000000-0005-0000-0000-00006A3D0000}"/>
    <cellStyle name="Финансовый 8 2 3" xfId="6798" xr:uid="{00000000-0005-0000-0000-00006B3D0000}"/>
    <cellStyle name="Финансовый 8 2 3 10" xfId="15717" xr:uid="{00000000-0005-0000-0000-00006C3D0000}"/>
    <cellStyle name="Финансовый 8 2 3 2" xfId="7795" xr:uid="{00000000-0005-0000-0000-00006D3D0000}"/>
    <cellStyle name="Финансовый 8 2 3 3" xfId="8801" xr:uid="{00000000-0005-0000-0000-00006E3D0000}"/>
    <cellStyle name="Финансовый 8 2 3 4" xfId="9787" xr:uid="{00000000-0005-0000-0000-00006F3D0000}"/>
    <cellStyle name="Финансовый 8 2 3 5" xfId="10773" xr:uid="{00000000-0005-0000-0000-0000703D0000}"/>
    <cellStyle name="Финансовый 8 2 3 6" xfId="11759" xr:uid="{00000000-0005-0000-0000-0000713D0000}"/>
    <cellStyle name="Финансовый 8 2 3 7" xfId="12745" xr:uid="{00000000-0005-0000-0000-0000723D0000}"/>
    <cellStyle name="Финансовый 8 2 3 8" xfId="13731" xr:uid="{00000000-0005-0000-0000-0000733D0000}"/>
    <cellStyle name="Финансовый 8 2 3 9" xfId="14731" xr:uid="{00000000-0005-0000-0000-0000743D0000}"/>
    <cellStyle name="Финансовый 8 2 4" xfId="7081" xr:uid="{00000000-0005-0000-0000-0000753D0000}"/>
    <cellStyle name="Финансовый 8 2 5" xfId="8087" xr:uid="{00000000-0005-0000-0000-0000763D0000}"/>
    <cellStyle name="Финансовый 8 2 6" xfId="9073" xr:uid="{00000000-0005-0000-0000-0000773D0000}"/>
    <cellStyle name="Финансовый 8 2 7" xfId="10059" xr:uid="{00000000-0005-0000-0000-0000783D0000}"/>
    <cellStyle name="Финансовый 8 2 8" xfId="11045" xr:uid="{00000000-0005-0000-0000-0000793D0000}"/>
    <cellStyle name="Финансовый 8 2 9" xfId="12031" xr:uid="{00000000-0005-0000-0000-00007A3D0000}"/>
    <cellStyle name="Финансовый 8 3" xfId="6120" xr:uid="{00000000-0005-0000-0000-00007B3D0000}"/>
    <cellStyle name="Финансовый 8 3 10" xfId="13070" xr:uid="{00000000-0005-0000-0000-00007C3D0000}"/>
    <cellStyle name="Финансовый 8 3 11" xfId="14070" xr:uid="{00000000-0005-0000-0000-00007D3D0000}"/>
    <cellStyle name="Финансовый 8 3 12" xfId="15056" xr:uid="{00000000-0005-0000-0000-00007E3D0000}"/>
    <cellStyle name="Финансовый 8 3 2" xfId="6581" xr:uid="{00000000-0005-0000-0000-00007F3D0000}"/>
    <cellStyle name="Финансовый 8 3 2 10" xfId="15500" xr:uid="{00000000-0005-0000-0000-0000803D0000}"/>
    <cellStyle name="Финансовый 8 3 2 2" xfId="7578" xr:uid="{00000000-0005-0000-0000-0000813D0000}"/>
    <cellStyle name="Финансовый 8 3 2 3" xfId="8584" xr:uid="{00000000-0005-0000-0000-0000823D0000}"/>
    <cellStyle name="Финансовый 8 3 2 4" xfId="9570" xr:uid="{00000000-0005-0000-0000-0000833D0000}"/>
    <cellStyle name="Финансовый 8 3 2 5" xfId="10556" xr:uid="{00000000-0005-0000-0000-0000843D0000}"/>
    <cellStyle name="Финансовый 8 3 2 6" xfId="11542" xr:uid="{00000000-0005-0000-0000-0000853D0000}"/>
    <cellStyle name="Финансовый 8 3 2 7" xfId="12528" xr:uid="{00000000-0005-0000-0000-0000863D0000}"/>
    <cellStyle name="Финансовый 8 3 2 8" xfId="13514" xr:uid="{00000000-0005-0000-0000-0000873D0000}"/>
    <cellStyle name="Финансовый 8 3 2 9" xfId="14514" xr:uid="{00000000-0005-0000-0000-0000883D0000}"/>
    <cellStyle name="Финансовый 8 3 3" xfId="6851" xr:uid="{00000000-0005-0000-0000-0000893D0000}"/>
    <cellStyle name="Финансовый 8 3 3 10" xfId="15770" xr:uid="{00000000-0005-0000-0000-00008A3D0000}"/>
    <cellStyle name="Финансовый 8 3 3 2" xfId="7848" xr:uid="{00000000-0005-0000-0000-00008B3D0000}"/>
    <cellStyle name="Финансовый 8 3 3 3" xfId="8854" xr:uid="{00000000-0005-0000-0000-00008C3D0000}"/>
    <cellStyle name="Финансовый 8 3 3 4" xfId="9840" xr:uid="{00000000-0005-0000-0000-00008D3D0000}"/>
    <cellStyle name="Финансовый 8 3 3 5" xfId="10826" xr:uid="{00000000-0005-0000-0000-00008E3D0000}"/>
    <cellStyle name="Финансовый 8 3 3 6" xfId="11812" xr:uid="{00000000-0005-0000-0000-00008F3D0000}"/>
    <cellStyle name="Финансовый 8 3 3 7" xfId="12798" xr:uid="{00000000-0005-0000-0000-0000903D0000}"/>
    <cellStyle name="Финансовый 8 3 3 8" xfId="13784" xr:uid="{00000000-0005-0000-0000-0000913D0000}"/>
    <cellStyle name="Финансовый 8 3 3 9" xfId="14784" xr:uid="{00000000-0005-0000-0000-0000923D0000}"/>
    <cellStyle name="Финансовый 8 3 4" xfId="7134" xr:uid="{00000000-0005-0000-0000-0000933D0000}"/>
    <cellStyle name="Финансовый 8 3 5" xfId="8140" xr:uid="{00000000-0005-0000-0000-0000943D0000}"/>
    <cellStyle name="Финансовый 8 3 6" xfId="9126" xr:uid="{00000000-0005-0000-0000-0000953D0000}"/>
    <cellStyle name="Финансовый 8 3 7" xfId="10112" xr:uid="{00000000-0005-0000-0000-0000963D0000}"/>
    <cellStyle name="Финансовый 8 3 8" xfId="11098" xr:uid="{00000000-0005-0000-0000-0000973D0000}"/>
    <cellStyle name="Финансовый 8 3 9" xfId="12084" xr:uid="{00000000-0005-0000-0000-0000983D0000}"/>
    <cellStyle name="Финансовый 8 4" xfId="6231" xr:uid="{00000000-0005-0000-0000-0000993D0000}"/>
    <cellStyle name="Финансовый 8 4 10" xfId="13164" xr:uid="{00000000-0005-0000-0000-00009A3D0000}"/>
    <cellStyle name="Финансовый 8 4 11" xfId="14164" xr:uid="{00000000-0005-0000-0000-00009B3D0000}"/>
    <cellStyle name="Финансовый 8 4 12" xfId="15150" xr:uid="{00000000-0005-0000-0000-00009C3D0000}"/>
    <cellStyle name="Финансовый 8 4 2" xfId="6675" xr:uid="{00000000-0005-0000-0000-00009D3D0000}"/>
    <cellStyle name="Финансовый 8 4 2 10" xfId="15594" xr:uid="{00000000-0005-0000-0000-00009E3D0000}"/>
    <cellStyle name="Финансовый 8 4 2 2" xfId="7672" xr:uid="{00000000-0005-0000-0000-00009F3D0000}"/>
    <cellStyle name="Финансовый 8 4 2 3" xfId="8678" xr:uid="{00000000-0005-0000-0000-0000A03D0000}"/>
    <cellStyle name="Финансовый 8 4 2 4" xfId="9664" xr:uid="{00000000-0005-0000-0000-0000A13D0000}"/>
    <cellStyle name="Финансовый 8 4 2 5" xfId="10650" xr:uid="{00000000-0005-0000-0000-0000A23D0000}"/>
    <cellStyle name="Финансовый 8 4 2 6" xfId="11636" xr:uid="{00000000-0005-0000-0000-0000A33D0000}"/>
    <cellStyle name="Финансовый 8 4 2 7" xfId="12622" xr:uid="{00000000-0005-0000-0000-0000A43D0000}"/>
    <cellStyle name="Финансовый 8 4 2 8" xfId="13608" xr:uid="{00000000-0005-0000-0000-0000A53D0000}"/>
    <cellStyle name="Финансовый 8 4 2 9" xfId="14608" xr:uid="{00000000-0005-0000-0000-0000A63D0000}"/>
    <cellStyle name="Финансовый 8 4 3" xfId="6945" xr:uid="{00000000-0005-0000-0000-0000A73D0000}"/>
    <cellStyle name="Финансовый 8 4 3 10" xfId="15864" xr:uid="{00000000-0005-0000-0000-0000A83D0000}"/>
    <cellStyle name="Финансовый 8 4 3 2" xfId="7942" xr:uid="{00000000-0005-0000-0000-0000A93D0000}"/>
    <cellStyle name="Финансовый 8 4 3 3" xfId="8948" xr:uid="{00000000-0005-0000-0000-0000AA3D0000}"/>
    <cellStyle name="Финансовый 8 4 3 4" xfId="9934" xr:uid="{00000000-0005-0000-0000-0000AB3D0000}"/>
    <cellStyle name="Финансовый 8 4 3 5" xfId="10920" xr:uid="{00000000-0005-0000-0000-0000AC3D0000}"/>
    <cellStyle name="Финансовый 8 4 3 6" xfId="11906" xr:uid="{00000000-0005-0000-0000-0000AD3D0000}"/>
    <cellStyle name="Финансовый 8 4 3 7" xfId="12892" xr:uid="{00000000-0005-0000-0000-0000AE3D0000}"/>
    <cellStyle name="Финансовый 8 4 3 8" xfId="13878" xr:uid="{00000000-0005-0000-0000-0000AF3D0000}"/>
    <cellStyle name="Финансовый 8 4 3 9" xfId="14878" xr:uid="{00000000-0005-0000-0000-0000B03D0000}"/>
    <cellStyle name="Финансовый 8 4 4" xfId="7228" xr:uid="{00000000-0005-0000-0000-0000B13D0000}"/>
    <cellStyle name="Финансовый 8 4 5" xfId="8234" xr:uid="{00000000-0005-0000-0000-0000B23D0000}"/>
    <cellStyle name="Финансовый 8 4 6" xfId="9220" xr:uid="{00000000-0005-0000-0000-0000B33D0000}"/>
    <cellStyle name="Финансовый 8 4 7" xfId="10206" xr:uid="{00000000-0005-0000-0000-0000B43D0000}"/>
    <cellStyle name="Финансовый 8 4 8" xfId="11192" xr:uid="{00000000-0005-0000-0000-0000B53D0000}"/>
    <cellStyle name="Финансовый 8 4 9" xfId="12178" xr:uid="{00000000-0005-0000-0000-0000B63D0000}"/>
    <cellStyle name="Финансовый 8 5" xfId="6469" xr:uid="{00000000-0005-0000-0000-0000B73D0000}"/>
    <cellStyle name="Финансовый 8 5 10" xfId="15388" xr:uid="{00000000-0005-0000-0000-0000B83D0000}"/>
    <cellStyle name="Финансовый 8 5 2" xfId="7466" xr:uid="{00000000-0005-0000-0000-0000B93D0000}"/>
    <cellStyle name="Финансовый 8 5 3" xfId="8472" xr:uid="{00000000-0005-0000-0000-0000BA3D0000}"/>
    <cellStyle name="Финансовый 8 5 4" xfId="9458" xr:uid="{00000000-0005-0000-0000-0000BB3D0000}"/>
    <cellStyle name="Финансовый 8 5 5" xfId="10444" xr:uid="{00000000-0005-0000-0000-0000BC3D0000}"/>
    <cellStyle name="Финансовый 8 5 6" xfId="11430" xr:uid="{00000000-0005-0000-0000-0000BD3D0000}"/>
    <cellStyle name="Финансовый 8 5 7" xfId="12416" xr:uid="{00000000-0005-0000-0000-0000BE3D0000}"/>
    <cellStyle name="Финансовый 8 5 8" xfId="13402" xr:uid="{00000000-0005-0000-0000-0000BF3D0000}"/>
    <cellStyle name="Финансовый 8 5 9" xfId="14402" xr:uid="{00000000-0005-0000-0000-0000C03D0000}"/>
    <cellStyle name="Финансовый 8 6" xfId="6739" xr:uid="{00000000-0005-0000-0000-0000C13D0000}"/>
    <cellStyle name="Финансовый 8 6 10" xfId="15658" xr:uid="{00000000-0005-0000-0000-0000C23D0000}"/>
    <cellStyle name="Финансовый 8 6 2" xfId="7736" xr:uid="{00000000-0005-0000-0000-0000C33D0000}"/>
    <cellStyle name="Финансовый 8 6 3" xfId="8742" xr:uid="{00000000-0005-0000-0000-0000C43D0000}"/>
    <cellStyle name="Финансовый 8 6 4" xfId="9728" xr:uid="{00000000-0005-0000-0000-0000C53D0000}"/>
    <cellStyle name="Финансовый 8 6 5" xfId="10714" xr:uid="{00000000-0005-0000-0000-0000C63D0000}"/>
    <cellStyle name="Финансовый 8 6 6" xfId="11700" xr:uid="{00000000-0005-0000-0000-0000C73D0000}"/>
    <cellStyle name="Финансовый 8 6 7" xfId="12686" xr:uid="{00000000-0005-0000-0000-0000C83D0000}"/>
    <cellStyle name="Финансовый 8 6 8" xfId="13672" xr:uid="{00000000-0005-0000-0000-0000C93D0000}"/>
    <cellStyle name="Финансовый 8 6 9" xfId="14672" xr:uid="{00000000-0005-0000-0000-0000CA3D0000}"/>
    <cellStyle name="Финансовый 8 7" xfId="7022" xr:uid="{00000000-0005-0000-0000-0000CB3D0000}"/>
    <cellStyle name="Финансовый 8 8" xfId="8028" xr:uid="{00000000-0005-0000-0000-0000CC3D0000}"/>
    <cellStyle name="Финансовый 8 9" xfId="9014" xr:uid="{00000000-0005-0000-0000-0000CD3D0000}"/>
    <cellStyle name="Финансовый 9" xfId="3421" xr:uid="{00000000-0005-0000-0000-0000CE3D0000}"/>
    <cellStyle name="Финансовый 9 10" xfId="10987" xr:uid="{00000000-0005-0000-0000-0000CF3D0000}"/>
    <cellStyle name="Финансовый 9 11" xfId="11973" xr:uid="{00000000-0005-0000-0000-0000D03D0000}"/>
    <cellStyle name="Финансовый 9 12" xfId="12959" xr:uid="{00000000-0005-0000-0000-0000D13D0000}"/>
    <cellStyle name="Финансовый 9 13" xfId="13959" xr:uid="{00000000-0005-0000-0000-0000D23D0000}"/>
    <cellStyle name="Финансовый 9 14" xfId="14945" xr:uid="{00000000-0005-0000-0000-0000D33D0000}"/>
    <cellStyle name="Финансовый 9 2" xfId="6064" xr:uid="{00000000-0005-0000-0000-0000D43D0000}"/>
    <cellStyle name="Финансовый 9 2 10" xfId="13018" xr:uid="{00000000-0005-0000-0000-0000D53D0000}"/>
    <cellStyle name="Финансовый 9 2 11" xfId="14018" xr:uid="{00000000-0005-0000-0000-0000D63D0000}"/>
    <cellStyle name="Финансовый 9 2 12" xfId="15004" xr:uid="{00000000-0005-0000-0000-0000D73D0000}"/>
    <cellStyle name="Финансовый 9 2 2" xfId="6529" xr:uid="{00000000-0005-0000-0000-0000D83D0000}"/>
    <cellStyle name="Финансовый 9 2 2 10" xfId="15448" xr:uid="{00000000-0005-0000-0000-0000D93D0000}"/>
    <cellStyle name="Финансовый 9 2 2 2" xfId="7526" xr:uid="{00000000-0005-0000-0000-0000DA3D0000}"/>
    <cellStyle name="Финансовый 9 2 2 3" xfId="8532" xr:uid="{00000000-0005-0000-0000-0000DB3D0000}"/>
    <cellStyle name="Финансовый 9 2 2 4" xfId="9518" xr:uid="{00000000-0005-0000-0000-0000DC3D0000}"/>
    <cellStyle name="Финансовый 9 2 2 5" xfId="10504" xr:uid="{00000000-0005-0000-0000-0000DD3D0000}"/>
    <cellStyle name="Финансовый 9 2 2 6" xfId="11490" xr:uid="{00000000-0005-0000-0000-0000DE3D0000}"/>
    <cellStyle name="Финансовый 9 2 2 7" xfId="12476" xr:uid="{00000000-0005-0000-0000-0000DF3D0000}"/>
    <cellStyle name="Финансовый 9 2 2 8" xfId="13462" xr:uid="{00000000-0005-0000-0000-0000E03D0000}"/>
    <cellStyle name="Финансовый 9 2 2 9" xfId="14462" xr:uid="{00000000-0005-0000-0000-0000E13D0000}"/>
    <cellStyle name="Финансовый 9 2 3" xfId="6799" xr:uid="{00000000-0005-0000-0000-0000E23D0000}"/>
    <cellStyle name="Финансовый 9 2 3 10" xfId="15718" xr:uid="{00000000-0005-0000-0000-0000E33D0000}"/>
    <cellStyle name="Финансовый 9 2 3 2" xfId="7796" xr:uid="{00000000-0005-0000-0000-0000E43D0000}"/>
    <cellStyle name="Финансовый 9 2 3 3" xfId="8802" xr:uid="{00000000-0005-0000-0000-0000E53D0000}"/>
    <cellStyle name="Финансовый 9 2 3 4" xfId="9788" xr:uid="{00000000-0005-0000-0000-0000E63D0000}"/>
    <cellStyle name="Финансовый 9 2 3 5" xfId="10774" xr:uid="{00000000-0005-0000-0000-0000E73D0000}"/>
    <cellStyle name="Финансовый 9 2 3 6" xfId="11760" xr:uid="{00000000-0005-0000-0000-0000E83D0000}"/>
    <cellStyle name="Финансовый 9 2 3 7" xfId="12746" xr:uid="{00000000-0005-0000-0000-0000E93D0000}"/>
    <cellStyle name="Финансовый 9 2 3 8" xfId="13732" xr:uid="{00000000-0005-0000-0000-0000EA3D0000}"/>
    <cellStyle name="Финансовый 9 2 3 9" xfId="14732" xr:uid="{00000000-0005-0000-0000-0000EB3D0000}"/>
    <cellStyle name="Финансовый 9 2 4" xfId="7082" xr:uid="{00000000-0005-0000-0000-0000EC3D0000}"/>
    <cellStyle name="Финансовый 9 2 5" xfId="8088" xr:uid="{00000000-0005-0000-0000-0000ED3D0000}"/>
    <cellStyle name="Финансовый 9 2 6" xfId="9074" xr:uid="{00000000-0005-0000-0000-0000EE3D0000}"/>
    <cellStyle name="Финансовый 9 2 7" xfId="10060" xr:uid="{00000000-0005-0000-0000-0000EF3D0000}"/>
    <cellStyle name="Финансовый 9 2 8" xfId="11046" xr:uid="{00000000-0005-0000-0000-0000F03D0000}"/>
    <cellStyle name="Финансовый 9 2 9" xfId="12032" xr:uid="{00000000-0005-0000-0000-0000F13D0000}"/>
    <cellStyle name="Финансовый 9 3" xfId="6121" xr:uid="{00000000-0005-0000-0000-0000F23D0000}"/>
    <cellStyle name="Финансовый 9 3 10" xfId="13071" xr:uid="{00000000-0005-0000-0000-0000F33D0000}"/>
    <cellStyle name="Финансовый 9 3 11" xfId="14071" xr:uid="{00000000-0005-0000-0000-0000F43D0000}"/>
    <cellStyle name="Финансовый 9 3 12" xfId="15057" xr:uid="{00000000-0005-0000-0000-0000F53D0000}"/>
    <cellStyle name="Финансовый 9 3 2" xfId="6582" xr:uid="{00000000-0005-0000-0000-0000F63D0000}"/>
    <cellStyle name="Финансовый 9 3 2 10" xfId="15501" xr:uid="{00000000-0005-0000-0000-0000F73D0000}"/>
    <cellStyle name="Финансовый 9 3 2 2" xfId="7579" xr:uid="{00000000-0005-0000-0000-0000F83D0000}"/>
    <cellStyle name="Финансовый 9 3 2 3" xfId="8585" xr:uid="{00000000-0005-0000-0000-0000F93D0000}"/>
    <cellStyle name="Финансовый 9 3 2 4" xfId="9571" xr:uid="{00000000-0005-0000-0000-0000FA3D0000}"/>
    <cellStyle name="Финансовый 9 3 2 5" xfId="10557" xr:uid="{00000000-0005-0000-0000-0000FB3D0000}"/>
    <cellStyle name="Финансовый 9 3 2 6" xfId="11543" xr:uid="{00000000-0005-0000-0000-0000FC3D0000}"/>
    <cellStyle name="Финансовый 9 3 2 7" xfId="12529" xr:uid="{00000000-0005-0000-0000-0000FD3D0000}"/>
    <cellStyle name="Финансовый 9 3 2 8" xfId="13515" xr:uid="{00000000-0005-0000-0000-0000FE3D0000}"/>
    <cellStyle name="Финансовый 9 3 2 9" xfId="14515" xr:uid="{00000000-0005-0000-0000-0000FF3D0000}"/>
    <cellStyle name="Финансовый 9 3 3" xfId="6852" xr:uid="{00000000-0005-0000-0000-0000003E0000}"/>
    <cellStyle name="Финансовый 9 3 3 10" xfId="15771" xr:uid="{00000000-0005-0000-0000-0000013E0000}"/>
    <cellStyle name="Финансовый 9 3 3 2" xfId="7849" xr:uid="{00000000-0005-0000-0000-0000023E0000}"/>
    <cellStyle name="Финансовый 9 3 3 3" xfId="8855" xr:uid="{00000000-0005-0000-0000-0000033E0000}"/>
    <cellStyle name="Финансовый 9 3 3 4" xfId="9841" xr:uid="{00000000-0005-0000-0000-0000043E0000}"/>
    <cellStyle name="Финансовый 9 3 3 5" xfId="10827" xr:uid="{00000000-0005-0000-0000-0000053E0000}"/>
    <cellStyle name="Финансовый 9 3 3 6" xfId="11813" xr:uid="{00000000-0005-0000-0000-0000063E0000}"/>
    <cellStyle name="Финансовый 9 3 3 7" xfId="12799" xr:uid="{00000000-0005-0000-0000-0000073E0000}"/>
    <cellStyle name="Финансовый 9 3 3 8" xfId="13785" xr:uid="{00000000-0005-0000-0000-0000083E0000}"/>
    <cellStyle name="Финансовый 9 3 3 9" xfId="14785" xr:uid="{00000000-0005-0000-0000-0000093E0000}"/>
    <cellStyle name="Финансовый 9 3 4" xfId="7135" xr:uid="{00000000-0005-0000-0000-00000A3E0000}"/>
    <cellStyle name="Финансовый 9 3 5" xfId="8141" xr:uid="{00000000-0005-0000-0000-00000B3E0000}"/>
    <cellStyle name="Финансовый 9 3 6" xfId="9127" xr:uid="{00000000-0005-0000-0000-00000C3E0000}"/>
    <cellStyle name="Финансовый 9 3 7" xfId="10113" xr:uid="{00000000-0005-0000-0000-00000D3E0000}"/>
    <cellStyle name="Финансовый 9 3 8" xfId="11099" xr:uid="{00000000-0005-0000-0000-00000E3E0000}"/>
    <cellStyle name="Финансовый 9 3 9" xfId="12085" xr:uid="{00000000-0005-0000-0000-00000F3E0000}"/>
    <cellStyle name="Финансовый 9 4" xfId="6470" xr:uid="{00000000-0005-0000-0000-0000103E0000}"/>
    <cellStyle name="Финансовый 9 4 10" xfId="15389" xr:uid="{00000000-0005-0000-0000-0000113E0000}"/>
    <cellStyle name="Финансовый 9 4 2" xfId="7467" xr:uid="{00000000-0005-0000-0000-0000123E0000}"/>
    <cellStyle name="Финансовый 9 4 3" xfId="8473" xr:uid="{00000000-0005-0000-0000-0000133E0000}"/>
    <cellStyle name="Финансовый 9 4 4" xfId="9459" xr:uid="{00000000-0005-0000-0000-0000143E0000}"/>
    <cellStyle name="Финансовый 9 4 5" xfId="10445" xr:uid="{00000000-0005-0000-0000-0000153E0000}"/>
    <cellStyle name="Финансовый 9 4 6" xfId="11431" xr:uid="{00000000-0005-0000-0000-0000163E0000}"/>
    <cellStyle name="Финансовый 9 4 7" xfId="12417" xr:uid="{00000000-0005-0000-0000-0000173E0000}"/>
    <cellStyle name="Финансовый 9 4 8" xfId="13403" xr:uid="{00000000-0005-0000-0000-0000183E0000}"/>
    <cellStyle name="Финансовый 9 4 9" xfId="14403" xr:uid="{00000000-0005-0000-0000-0000193E0000}"/>
    <cellStyle name="Финансовый 9 5" xfId="6740" xr:uid="{00000000-0005-0000-0000-00001A3E0000}"/>
    <cellStyle name="Финансовый 9 5 10" xfId="15659" xr:uid="{00000000-0005-0000-0000-00001B3E0000}"/>
    <cellStyle name="Финансовый 9 5 2" xfId="7737" xr:uid="{00000000-0005-0000-0000-00001C3E0000}"/>
    <cellStyle name="Финансовый 9 5 3" xfId="8743" xr:uid="{00000000-0005-0000-0000-00001D3E0000}"/>
    <cellStyle name="Финансовый 9 5 4" xfId="9729" xr:uid="{00000000-0005-0000-0000-00001E3E0000}"/>
    <cellStyle name="Финансовый 9 5 5" xfId="10715" xr:uid="{00000000-0005-0000-0000-00001F3E0000}"/>
    <cellStyle name="Финансовый 9 5 6" xfId="11701" xr:uid="{00000000-0005-0000-0000-0000203E0000}"/>
    <cellStyle name="Финансовый 9 5 7" xfId="12687" xr:uid="{00000000-0005-0000-0000-0000213E0000}"/>
    <cellStyle name="Финансовый 9 5 8" xfId="13673" xr:uid="{00000000-0005-0000-0000-0000223E0000}"/>
    <cellStyle name="Финансовый 9 5 9" xfId="14673" xr:uid="{00000000-0005-0000-0000-0000233E0000}"/>
    <cellStyle name="Финансовый 9 6" xfId="7023" xr:uid="{00000000-0005-0000-0000-0000243E0000}"/>
    <cellStyle name="Финансовый 9 7" xfId="8029" xr:uid="{00000000-0005-0000-0000-0000253E0000}"/>
    <cellStyle name="Финансовый 9 8" xfId="9015" xr:uid="{00000000-0005-0000-0000-0000263E0000}"/>
    <cellStyle name="Финансовый 9 9" xfId="10001" xr:uid="{00000000-0005-0000-0000-0000273E0000}"/>
  </cellStyles>
  <dxfs count="0"/>
  <tableStyles count="0" defaultTableStyle="TableStyleMedium9" defaultPivotStyle="PivotStyleLight16"/>
  <colors>
    <mruColors>
      <color rgb="FFFFFFCC"/>
      <color rgb="FFFFFF00"/>
      <color rgb="FFFFCCFF"/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192617</xdr:colOff>
      <xdr:row>3</xdr:row>
      <xdr:rowOff>138642</xdr:rowOff>
    </xdr:from>
    <xdr:ext cx="1949297" cy="58310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72617" y="614892"/>
          <a:ext cx="1949297" cy="5831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00">
              <a:latin typeface="Times New Roman" pitchFamily="18" charset="0"/>
              <a:cs typeface="Times New Roman" pitchFamily="18" charset="0"/>
            </a:rPr>
            <a:t>Приложение</a:t>
          </a:r>
          <a:r>
            <a:rPr lang="ru-RU" sz="1000" baseline="0">
              <a:latin typeface="Times New Roman" pitchFamily="18" charset="0"/>
              <a:cs typeface="Times New Roman" pitchFamily="18" charset="0"/>
            </a:rPr>
            <a:t> 1 </a:t>
          </a:r>
          <a:r>
            <a:rPr lang="ru-RU" sz="1000">
              <a:latin typeface="Times New Roman" pitchFamily="18" charset="0"/>
              <a:cs typeface="Times New Roman" pitchFamily="18" charset="0"/>
            </a:rPr>
            <a:t>к постановлению акимата города </a:t>
          </a:r>
          <a:r>
            <a:rPr lang="ru-RU" sz="10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Шымкент</a:t>
          </a:r>
          <a:r>
            <a:rPr lang="ru-RU" sz="10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19 декабря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2025</a:t>
          </a:r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года  № 6795</a:t>
          </a:r>
        </a:p>
      </xdr:txBody>
    </xdr:sp>
    <xdr:clientData/>
  </xdr:oneCellAnchor>
  <xdr:oneCellAnchor>
    <xdr:from>
      <xdr:col>6</xdr:col>
      <xdr:colOff>196849</xdr:colOff>
      <xdr:row>0</xdr:row>
      <xdr:rowOff>0</xdr:rowOff>
    </xdr:from>
    <xdr:ext cx="1949297" cy="58310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76849" y="0"/>
          <a:ext cx="1949297" cy="5831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00">
              <a:latin typeface="Times New Roman" pitchFamily="18" charset="0"/>
              <a:cs typeface="Times New Roman" pitchFamily="18" charset="0"/>
            </a:rPr>
            <a:t>Приложение</a:t>
          </a:r>
          <a:r>
            <a:rPr lang="ru-RU" sz="1000" baseline="0">
              <a:latin typeface="Times New Roman" pitchFamily="18" charset="0"/>
              <a:cs typeface="Times New Roman" pitchFamily="18" charset="0"/>
            </a:rPr>
            <a:t> 1 </a:t>
          </a:r>
          <a:r>
            <a:rPr lang="ru-RU" sz="1000">
              <a:latin typeface="Times New Roman" pitchFamily="18" charset="0"/>
              <a:cs typeface="Times New Roman" pitchFamily="18" charset="0"/>
            </a:rPr>
            <a:t>к постановлению акимата города </a:t>
          </a:r>
          <a:r>
            <a:rPr lang="ru-RU" sz="10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Шымкент</a:t>
          </a:r>
          <a:r>
            <a:rPr lang="ru-RU" sz="10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14 августа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2026</a:t>
          </a:r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года  № 3843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142875</xdr:colOff>
      <xdr:row>3</xdr:row>
      <xdr:rowOff>64560</xdr:rowOff>
    </xdr:from>
    <xdr:ext cx="1949297" cy="58310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6638925" y="550335"/>
          <a:ext cx="1949297" cy="5831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00">
              <a:latin typeface="Times New Roman" pitchFamily="18" charset="0"/>
              <a:cs typeface="Times New Roman" pitchFamily="18" charset="0"/>
            </a:rPr>
            <a:t>Приложение</a:t>
          </a:r>
          <a:r>
            <a:rPr lang="ru-RU" sz="1000" baseline="0">
              <a:latin typeface="Times New Roman" pitchFamily="18" charset="0"/>
              <a:cs typeface="Times New Roman" pitchFamily="18" charset="0"/>
            </a:rPr>
            <a:t> </a:t>
          </a:r>
          <a:r>
            <a:rPr lang="en-US" sz="1000" baseline="0">
              <a:latin typeface="Times New Roman" pitchFamily="18" charset="0"/>
              <a:cs typeface="Times New Roman" pitchFamily="18" charset="0"/>
            </a:rPr>
            <a:t>4</a:t>
          </a:r>
          <a:r>
            <a:rPr lang="ru-RU" sz="1000" baseline="0">
              <a:latin typeface="Times New Roman" pitchFamily="18" charset="0"/>
              <a:cs typeface="Times New Roman" pitchFamily="18" charset="0"/>
            </a:rPr>
            <a:t> </a:t>
          </a:r>
          <a:r>
            <a:rPr lang="ru-RU" sz="1000">
              <a:latin typeface="Times New Roman" pitchFamily="18" charset="0"/>
              <a:cs typeface="Times New Roman" pitchFamily="18" charset="0"/>
            </a:rPr>
            <a:t>к постановлению акимата города </a:t>
          </a:r>
          <a:r>
            <a:rPr lang="ru-RU" sz="10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Шымкент</a:t>
          </a:r>
          <a:r>
            <a:rPr lang="ru-RU" sz="10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19 декабря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2025</a:t>
          </a:r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года  № 6795</a:t>
          </a:r>
        </a:p>
      </xdr:txBody>
    </xdr:sp>
    <xdr:clientData/>
  </xdr:oneCellAnchor>
  <xdr:oneCellAnchor>
    <xdr:from>
      <xdr:col>18</xdr:col>
      <xdr:colOff>142875</xdr:colOff>
      <xdr:row>0</xdr:row>
      <xdr:rowOff>0</xdr:rowOff>
    </xdr:from>
    <xdr:ext cx="1990725" cy="73236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638925" y="0"/>
          <a:ext cx="1990725" cy="7323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00">
              <a:latin typeface="Times New Roman" pitchFamily="18" charset="0"/>
              <a:cs typeface="Times New Roman" pitchFamily="18" charset="0"/>
            </a:rPr>
            <a:t>Приложение 2</a:t>
          </a:r>
          <a:r>
            <a:rPr lang="ru-RU" sz="1000" baseline="0">
              <a:latin typeface="Times New Roman" pitchFamily="18" charset="0"/>
              <a:cs typeface="Times New Roman" pitchFamily="18" charset="0"/>
            </a:rPr>
            <a:t>  </a:t>
          </a:r>
          <a:r>
            <a:rPr lang="ru-RU" sz="1000">
              <a:latin typeface="Times New Roman" pitchFamily="18" charset="0"/>
              <a:cs typeface="Times New Roman" pitchFamily="18" charset="0"/>
            </a:rPr>
            <a:t>к</a:t>
          </a:r>
          <a:r>
            <a:rPr lang="ru-RU" sz="1000" baseline="0">
              <a:latin typeface="Times New Roman" pitchFamily="18" charset="0"/>
              <a:cs typeface="Times New Roman" pitchFamily="18" charset="0"/>
            </a:rPr>
            <a:t> </a:t>
          </a:r>
          <a:r>
            <a:rPr lang="ru-RU" sz="1000">
              <a:latin typeface="Times New Roman" pitchFamily="18" charset="0"/>
              <a:cs typeface="Times New Roman" pitchFamily="18" charset="0"/>
            </a:rPr>
            <a:t>постановлению акимата города </a:t>
          </a:r>
          <a:r>
            <a:rPr lang="ru-RU" sz="10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Шымкент</a:t>
          </a:r>
          <a:r>
            <a:rPr lang="ru-RU" sz="10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</a:t>
          </a:r>
          <a:r>
            <a:rPr lang="kk-KZ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14 августа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2026</a:t>
          </a:r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года  № 3843 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5293</xdr:colOff>
      <xdr:row>4</xdr:row>
      <xdr:rowOff>10584</xdr:rowOff>
    </xdr:from>
    <xdr:ext cx="1949297" cy="58310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3772960" y="645584"/>
          <a:ext cx="1949297" cy="5831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00">
              <a:latin typeface="Times New Roman" pitchFamily="18" charset="0"/>
              <a:cs typeface="Times New Roman" pitchFamily="18" charset="0"/>
            </a:rPr>
            <a:t>Приложение</a:t>
          </a:r>
          <a:r>
            <a:rPr lang="ru-RU" sz="1000" baseline="0">
              <a:latin typeface="Times New Roman" pitchFamily="18" charset="0"/>
              <a:cs typeface="Times New Roman" pitchFamily="18" charset="0"/>
            </a:rPr>
            <a:t> 5 </a:t>
          </a:r>
          <a:r>
            <a:rPr lang="ru-RU" sz="1000">
              <a:latin typeface="Times New Roman" pitchFamily="18" charset="0"/>
              <a:cs typeface="Times New Roman" pitchFamily="18" charset="0"/>
            </a:rPr>
            <a:t>к постановлению акимата города </a:t>
          </a:r>
          <a:r>
            <a:rPr lang="ru-RU" sz="10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Шымкент</a:t>
          </a:r>
          <a:r>
            <a:rPr lang="ru-RU" sz="10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19 декабря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2025</a:t>
          </a:r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года  № 6795</a:t>
          </a:r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949297" cy="583106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3767667" y="0"/>
          <a:ext cx="1949297" cy="5831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ru-RU" sz="1000">
              <a:latin typeface="Times New Roman" pitchFamily="18" charset="0"/>
              <a:cs typeface="Times New Roman" pitchFamily="18" charset="0"/>
            </a:rPr>
            <a:t>Приложение</a:t>
          </a:r>
          <a:r>
            <a:rPr lang="ru-RU" sz="1000" baseline="0">
              <a:latin typeface="Times New Roman" pitchFamily="18" charset="0"/>
              <a:cs typeface="Times New Roman" pitchFamily="18" charset="0"/>
            </a:rPr>
            <a:t> 3 </a:t>
          </a:r>
          <a:r>
            <a:rPr lang="ru-RU" sz="1000">
              <a:latin typeface="Times New Roman" pitchFamily="18" charset="0"/>
              <a:cs typeface="Times New Roman" pitchFamily="18" charset="0"/>
            </a:rPr>
            <a:t>к постановлению акимата города </a:t>
          </a:r>
          <a:r>
            <a:rPr lang="ru-RU" sz="100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Шымкент</a:t>
          </a:r>
          <a:r>
            <a:rPr lang="ru-RU" sz="1000" baseline="0">
              <a:solidFill>
                <a:schemeClr val="tx1"/>
              </a:solidFill>
              <a:latin typeface="Times New Roman" pitchFamily="18" charset="0"/>
              <a:ea typeface="+mn-ea"/>
              <a:cs typeface="Times New Roman" pitchFamily="18" charset="0"/>
            </a:rPr>
            <a:t>  </a:t>
          </a:r>
        </a:p>
        <a:p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от 14 августа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2026</a:t>
          </a:r>
          <a:r>
            <a:rPr lang="ru-RU" sz="1000" baseline="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ru-RU" sz="1000">
              <a:solidFill>
                <a:schemeClr val="tx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года  №3843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8:I1019"/>
  <sheetViews>
    <sheetView tabSelected="1" view="pageBreakPreview" zoomScale="90" zoomScaleSheetLayoutView="90" workbookViewId="0">
      <selection activeCell="K313" sqref="K313"/>
    </sheetView>
  </sheetViews>
  <sheetFormatPr defaultColWidth="10.28515625" defaultRowHeight="12.75"/>
  <cols>
    <col min="1" max="1" width="3" style="22" customWidth="1"/>
    <col min="2" max="2" width="2.7109375" style="22" customWidth="1"/>
    <col min="3" max="3" width="4.28515625" style="22" customWidth="1"/>
    <col min="4" max="5" width="3.42578125" style="22" customWidth="1"/>
    <col min="6" max="6" width="59.140625" style="4" customWidth="1"/>
    <col min="7" max="7" width="10.7109375" style="32" customWidth="1"/>
    <col min="8" max="8" width="10.28515625" style="59"/>
    <col min="9" max="16384" width="10.28515625" style="4"/>
  </cols>
  <sheetData>
    <row r="8" spans="1:8" hidden="1"/>
    <row r="9" spans="1:8" hidden="1"/>
    <row r="10" spans="1:8" hidden="1"/>
    <row r="12" spans="1:8" s="5" customFormat="1" hidden="1">
      <c r="A12" s="348" t="s">
        <v>594</v>
      </c>
      <c r="B12" s="348"/>
      <c r="C12" s="348"/>
      <c r="D12" s="348"/>
      <c r="E12" s="348"/>
      <c r="F12" s="348"/>
      <c r="G12" s="348"/>
      <c r="H12" s="40"/>
    </row>
    <row r="13" spans="1:8" s="5" customFormat="1" hidden="1">
      <c r="A13" s="183"/>
      <c r="B13" s="183"/>
      <c r="C13" s="183"/>
      <c r="D13" s="183"/>
      <c r="E13" s="183"/>
      <c r="F13" s="183"/>
      <c r="G13" s="183"/>
      <c r="H13" s="40"/>
    </row>
    <row r="14" spans="1:8" s="5" customFormat="1" ht="6" hidden="1" customHeight="1">
      <c r="G14" s="183"/>
      <c r="H14" s="40"/>
    </row>
    <row r="15" spans="1:8" s="40" customFormat="1" ht="12.75" hidden="1" customHeight="1">
      <c r="A15" s="7"/>
      <c r="B15" s="38" t="s">
        <v>80</v>
      </c>
      <c r="C15" s="38"/>
      <c r="D15" s="38"/>
      <c r="E15" s="24"/>
      <c r="F15" s="15" t="s">
        <v>81</v>
      </c>
      <c r="G15" s="343" t="s">
        <v>82</v>
      </c>
    </row>
    <row r="16" spans="1:8" s="40" customFormat="1" ht="12.75" hidden="1" customHeight="1">
      <c r="A16" s="8"/>
      <c r="B16" s="39"/>
      <c r="C16" s="349" t="s">
        <v>83</v>
      </c>
      <c r="D16" s="349"/>
      <c r="E16" s="25"/>
      <c r="F16" s="118"/>
      <c r="G16" s="344"/>
    </row>
    <row r="17" spans="1:8" s="40" customFormat="1" ht="12" hidden="1" customHeight="1">
      <c r="A17" s="8"/>
      <c r="B17" s="39"/>
      <c r="C17" s="39"/>
      <c r="D17" s="107" t="s">
        <v>84</v>
      </c>
      <c r="E17" s="26"/>
      <c r="F17" s="16"/>
      <c r="G17" s="344"/>
    </row>
    <row r="18" spans="1:8" s="40" customFormat="1" hidden="1">
      <c r="A18" s="122"/>
      <c r="B18" s="123"/>
      <c r="C18" s="123"/>
      <c r="D18" s="124"/>
      <c r="E18" s="186" t="s">
        <v>102</v>
      </c>
      <c r="F18" s="17"/>
      <c r="G18" s="345" t="s">
        <v>474</v>
      </c>
    </row>
    <row r="19" spans="1:8" s="130" customFormat="1" ht="12" hidden="1">
      <c r="A19" s="125"/>
      <c r="B19" s="126"/>
      <c r="C19" s="126" t="s">
        <v>31</v>
      </c>
      <c r="D19" s="126"/>
      <c r="E19" s="127"/>
      <c r="F19" s="128">
        <v>2</v>
      </c>
      <c r="G19" s="129">
        <v>3</v>
      </c>
      <c r="H19" s="332"/>
    </row>
    <row r="20" spans="1:8" s="2" customFormat="1" hidden="1">
      <c r="A20" s="40"/>
      <c r="B20" s="23"/>
      <c r="C20" s="23"/>
      <c r="D20" s="23"/>
      <c r="E20" s="23"/>
      <c r="F20" s="9" t="s">
        <v>131</v>
      </c>
      <c r="G20" s="33">
        <f>G21+G62+G118+G129+G134</f>
        <v>840701325</v>
      </c>
      <c r="H20" s="40"/>
    </row>
    <row r="21" spans="1:8" s="2" customFormat="1" hidden="1">
      <c r="A21" s="40"/>
      <c r="B21" s="23" t="s">
        <v>31</v>
      </c>
      <c r="C21" s="23"/>
      <c r="D21" s="23"/>
      <c r="E21" s="23"/>
      <c r="F21" s="9" t="s">
        <v>85</v>
      </c>
      <c r="G21" s="33">
        <f>G22+G29+G41+G32+G59</f>
        <v>610532693</v>
      </c>
      <c r="H21" s="40"/>
    </row>
    <row r="22" spans="1:8" s="2" customFormat="1" hidden="1">
      <c r="A22" s="40"/>
      <c r="B22" s="23"/>
      <c r="C22" s="23" t="s">
        <v>44</v>
      </c>
      <c r="D22" s="23"/>
      <c r="E22" s="23"/>
      <c r="F22" s="9" t="s">
        <v>86</v>
      </c>
      <c r="G22" s="33">
        <f t="shared" ref="G22" si="0">G25+G23</f>
        <v>208363830</v>
      </c>
      <c r="H22" s="40"/>
    </row>
    <row r="23" spans="1:8" s="2" customFormat="1" hidden="1">
      <c r="A23" s="40"/>
      <c r="B23" s="23"/>
      <c r="C23" s="23"/>
      <c r="D23" s="23" t="s">
        <v>31</v>
      </c>
      <c r="E23" s="23"/>
      <c r="F23" s="9" t="s">
        <v>403</v>
      </c>
      <c r="G23" s="33">
        <f t="shared" ref="G23" si="1">G24</f>
        <v>70141530</v>
      </c>
      <c r="H23" s="40"/>
    </row>
    <row r="24" spans="1:8" s="2" customFormat="1" ht="38.25" hidden="1">
      <c r="A24" s="40"/>
      <c r="B24" s="23"/>
      <c r="C24" s="23"/>
      <c r="D24" s="23"/>
      <c r="E24" s="23" t="s">
        <v>38</v>
      </c>
      <c r="F24" s="9" t="s">
        <v>407</v>
      </c>
      <c r="G24" s="33">
        <v>70141530</v>
      </c>
      <c r="H24" s="40"/>
    </row>
    <row r="25" spans="1:8" s="2" customFormat="1" hidden="1">
      <c r="A25" s="40"/>
      <c r="B25" s="23"/>
      <c r="C25" s="23"/>
      <c r="D25" s="23" t="s">
        <v>32</v>
      </c>
      <c r="E25" s="23"/>
      <c r="F25" s="9" t="s">
        <v>87</v>
      </c>
      <c r="G25" s="33">
        <f t="shared" ref="G25" si="2">SUM(G26:G28)</f>
        <v>138222300</v>
      </c>
      <c r="H25" s="40"/>
    </row>
    <row r="26" spans="1:8" s="2" customFormat="1" ht="25.5" hidden="1">
      <c r="A26" s="40"/>
      <c r="B26" s="23"/>
      <c r="C26" s="23"/>
      <c r="D26" s="23"/>
      <c r="E26" s="23" t="s">
        <v>44</v>
      </c>
      <c r="F26" s="9" t="s">
        <v>103</v>
      </c>
      <c r="G26" s="33">
        <v>77299066</v>
      </c>
      <c r="H26" s="40"/>
    </row>
    <row r="27" spans="1:8" s="2" customFormat="1" ht="25.5" hidden="1">
      <c r="A27" s="40"/>
      <c r="B27" s="23"/>
      <c r="C27" s="23"/>
      <c r="D27" s="23"/>
      <c r="E27" s="23" t="s">
        <v>51</v>
      </c>
      <c r="F27" s="9" t="s">
        <v>104</v>
      </c>
      <c r="G27" s="33">
        <v>58669943</v>
      </c>
      <c r="H27" s="40"/>
    </row>
    <row r="28" spans="1:8" s="2" customFormat="1" ht="25.5" hidden="1">
      <c r="A28" s="40"/>
      <c r="B28" s="23"/>
      <c r="C28" s="23"/>
      <c r="D28" s="23"/>
      <c r="E28" s="62" t="s">
        <v>9</v>
      </c>
      <c r="F28" s="63" t="s">
        <v>55</v>
      </c>
      <c r="G28" s="33">
        <v>2253291</v>
      </c>
      <c r="H28" s="40"/>
    </row>
    <row r="29" spans="1:8" s="2" customFormat="1" hidden="1">
      <c r="A29" s="40"/>
      <c r="B29" s="23"/>
      <c r="C29" s="23" t="s">
        <v>107</v>
      </c>
      <c r="D29" s="23"/>
      <c r="E29" s="23"/>
      <c r="F29" s="9" t="s">
        <v>88</v>
      </c>
      <c r="G29" s="33">
        <f t="shared" ref="G29:G30" si="3">G30</f>
        <v>71724278</v>
      </c>
      <c r="H29" s="40"/>
    </row>
    <row r="30" spans="1:8" s="2" customFormat="1" hidden="1">
      <c r="A30" s="40"/>
      <c r="B30" s="23"/>
      <c r="C30" s="23"/>
      <c r="D30" s="23" t="s">
        <v>31</v>
      </c>
      <c r="E30" s="23"/>
      <c r="F30" s="9" t="s">
        <v>88</v>
      </c>
      <c r="G30" s="33">
        <f t="shared" si="3"/>
        <v>71724278</v>
      </c>
      <c r="H30" s="40"/>
    </row>
    <row r="31" spans="1:8" s="2" customFormat="1" hidden="1">
      <c r="A31" s="40"/>
      <c r="B31" s="23"/>
      <c r="C31" s="23"/>
      <c r="D31" s="23"/>
      <c r="E31" s="23" t="s">
        <v>44</v>
      </c>
      <c r="F31" s="9" t="s">
        <v>88</v>
      </c>
      <c r="G31" s="33">
        <v>71724278</v>
      </c>
      <c r="H31" s="40"/>
    </row>
    <row r="32" spans="1:8" s="2" customFormat="1" hidden="1">
      <c r="A32" s="23"/>
      <c r="B32" s="23"/>
      <c r="C32" s="23" t="s">
        <v>110</v>
      </c>
      <c r="D32" s="23"/>
      <c r="E32" s="36"/>
      <c r="F32" s="9" t="s">
        <v>141</v>
      </c>
      <c r="G32" s="33">
        <f>G33+G36+G38</f>
        <v>24446943</v>
      </c>
      <c r="H32" s="40"/>
    </row>
    <row r="33" spans="1:8" s="2" customFormat="1" hidden="1">
      <c r="A33" s="23"/>
      <c r="B33" s="23"/>
      <c r="C33" s="23"/>
      <c r="D33" s="23">
        <v>1</v>
      </c>
      <c r="E33" s="36"/>
      <c r="F33" s="9" t="s">
        <v>142</v>
      </c>
      <c r="G33" s="33">
        <f t="shared" ref="G33" si="4">SUM(G34:G35)</f>
        <v>17415846</v>
      </c>
      <c r="H33" s="40"/>
    </row>
    <row r="34" spans="1:8" s="2" customFormat="1" ht="25.5" hidden="1">
      <c r="A34" s="23"/>
      <c r="B34" s="23"/>
      <c r="C34" s="23"/>
      <c r="D34" s="23"/>
      <c r="E34" s="37" t="s">
        <v>44</v>
      </c>
      <c r="F34" s="9" t="s">
        <v>143</v>
      </c>
      <c r="G34" s="33">
        <v>14676629</v>
      </c>
      <c r="H34" s="40"/>
    </row>
    <row r="35" spans="1:8" s="2" customFormat="1" hidden="1">
      <c r="A35" s="23"/>
      <c r="B35" s="23"/>
      <c r="C35" s="23"/>
      <c r="D35" s="23"/>
      <c r="E35" s="37" t="s">
        <v>51</v>
      </c>
      <c r="F35" s="9" t="s">
        <v>144</v>
      </c>
      <c r="G35" s="33">
        <v>2739217</v>
      </c>
      <c r="H35" s="40"/>
    </row>
    <row r="36" spans="1:8" s="2" customFormat="1" hidden="1">
      <c r="A36" s="23"/>
      <c r="B36" s="23"/>
      <c r="C36" s="23"/>
      <c r="D36" s="23">
        <v>3</v>
      </c>
      <c r="E36" s="37"/>
      <c r="F36" s="9" t="s">
        <v>145</v>
      </c>
      <c r="G36" s="33">
        <f t="shared" ref="G36" si="5">SUM(G37:G37)</f>
        <v>1022404</v>
      </c>
      <c r="H36" s="40"/>
    </row>
    <row r="37" spans="1:8" s="2" customFormat="1" hidden="1">
      <c r="A37" s="23"/>
      <c r="B37" s="23"/>
      <c r="C37" s="23"/>
      <c r="D37" s="23"/>
      <c r="E37" s="37" t="s">
        <v>51</v>
      </c>
      <c r="F37" s="9" t="s">
        <v>145</v>
      </c>
      <c r="G37" s="33">
        <v>1022404</v>
      </c>
      <c r="H37" s="40"/>
    </row>
    <row r="38" spans="1:8" s="2" customFormat="1" hidden="1">
      <c r="A38" s="23"/>
      <c r="B38" s="23"/>
      <c r="C38" s="23"/>
      <c r="D38" s="23">
        <v>4</v>
      </c>
      <c r="E38" s="37"/>
      <c r="F38" s="9" t="s">
        <v>146</v>
      </c>
      <c r="G38" s="33">
        <f t="shared" ref="G38" si="6">SUM(G39:G40)</f>
        <v>6008693</v>
      </c>
      <c r="H38" s="40"/>
    </row>
    <row r="39" spans="1:8" s="2" customFormat="1" hidden="1">
      <c r="A39" s="23"/>
      <c r="B39" s="23"/>
      <c r="C39" s="23"/>
      <c r="D39" s="23"/>
      <c r="E39" s="37" t="s">
        <v>44</v>
      </c>
      <c r="F39" s="9" t="s">
        <v>147</v>
      </c>
      <c r="G39" s="33">
        <v>670632</v>
      </c>
      <c r="H39" s="40"/>
    </row>
    <row r="40" spans="1:8" s="2" customFormat="1" hidden="1">
      <c r="A40" s="23"/>
      <c r="B40" s="23"/>
      <c r="C40" s="23"/>
      <c r="D40" s="23"/>
      <c r="E40" s="37" t="s">
        <v>51</v>
      </c>
      <c r="F40" s="9" t="s">
        <v>148</v>
      </c>
      <c r="G40" s="33">
        <v>5338061</v>
      </c>
      <c r="H40" s="40"/>
    </row>
    <row r="41" spans="1:8" s="2" customFormat="1" hidden="1">
      <c r="A41" s="40"/>
      <c r="B41" s="23"/>
      <c r="C41" s="23" t="s">
        <v>9</v>
      </c>
      <c r="D41" s="23"/>
      <c r="E41" s="23"/>
      <c r="F41" s="9" t="s">
        <v>93</v>
      </c>
      <c r="G41" s="33">
        <f>G45+G51+G42</f>
        <v>293169797</v>
      </c>
      <c r="H41" s="40"/>
    </row>
    <row r="42" spans="1:8" s="2" customFormat="1" hidden="1">
      <c r="A42" s="40"/>
      <c r="B42" s="23"/>
      <c r="C42" s="23"/>
      <c r="D42" s="23">
        <v>2</v>
      </c>
      <c r="E42" s="23"/>
      <c r="F42" s="35" t="s">
        <v>149</v>
      </c>
      <c r="G42" s="33">
        <f t="shared" ref="G42" si="7">SUM(G43:G44)</f>
        <v>274020238</v>
      </c>
      <c r="H42" s="40"/>
    </row>
    <row r="43" spans="1:8" s="2" customFormat="1" ht="25.5" hidden="1">
      <c r="A43" s="40"/>
      <c r="B43" s="23"/>
      <c r="C43" s="23"/>
      <c r="D43" s="23"/>
      <c r="E43" s="23">
        <v>74</v>
      </c>
      <c r="F43" s="35" t="s">
        <v>150</v>
      </c>
      <c r="G43" s="33">
        <v>4020238</v>
      </c>
      <c r="H43" s="40"/>
    </row>
    <row r="44" spans="1:8" s="2" customFormat="1" ht="45.75" hidden="1" customHeight="1">
      <c r="A44" s="40"/>
      <c r="B44" s="23"/>
      <c r="C44" s="23"/>
      <c r="D44" s="23"/>
      <c r="E44" s="23">
        <v>84</v>
      </c>
      <c r="F44" s="35" t="s">
        <v>573</v>
      </c>
      <c r="G44" s="33">
        <v>270000000</v>
      </c>
      <c r="H44" s="40"/>
    </row>
    <row r="45" spans="1:8" s="2" customFormat="1" hidden="1">
      <c r="A45" s="40"/>
      <c r="B45" s="23"/>
      <c r="C45" s="23"/>
      <c r="D45" s="23" t="s">
        <v>33</v>
      </c>
      <c r="E45" s="23"/>
      <c r="F45" s="9" t="s">
        <v>94</v>
      </c>
      <c r="G45" s="33">
        <f>SUM(G46:G50)</f>
        <v>1535285</v>
      </c>
      <c r="H45" s="40"/>
    </row>
    <row r="46" spans="1:8" s="2" customFormat="1" hidden="1">
      <c r="A46" s="40"/>
      <c r="B46" s="23"/>
      <c r="C46" s="23"/>
      <c r="D46" s="23"/>
      <c r="E46" s="23" t="s">
        <v>107</v>
      </c>
      <c r="F46" s="9" t="s">
        <v>68</v>
      </c>
      <c r="G46" s="33">
        <v>1595</v>
      </c>
      <c r="H46" s="40"/>
    </row>
    <row r="47" spans="1:8" s="2" customFormat="1" hidden="1">
      <c r="A47" s="40"/>
      <c r="B47" s="23"/>
      <c r="C47" s="23"/>
      <c r="D47" s="23"/>
      <c r="E47" s="23" t="s">
        <v>110</v>
      </c>
      <c r="F47" s="9" t="s">
        <v>338</v>
      </c>
      <c r="G47" s="34">
        <v>120</v>
      </c>
      <c r="H47" s="40"/>
    </row>
    <row r="48" spans="1:8" s="2" customFormat="1" ht="38.25" hidden="1">
      <c r="A48" s="40"/>
      <c r="B48" s="23"/>
      <c r="C48" s="23"/>
      <c r="D48" s="23"/>
      <c r="E48" s="179" t="s">
        <v>37</v>
      </c>
      <c r="F48" s="9" t="s">
        <v>578</v>
      </c>
      <c r="G48" s="33">
        <v>1177913</v>
      </c>
      <c r="H48" s="40"/>
    </row>
    <row r="49" spans="1:8" s="2" customFormat="1" hidden="1">
      <c r="A49" s="40"/>
      <c r="B49" s="23"/>
      <c r="C49" s="23"/>
      <c r="D49" s="23"/>
      <c r="E49" s="179" t="s">
        <v>42</v>
      </c>
      <c r="F49" s="9" t="s">
        <v>151</v>
      </c>
      <c r="G49" s="33">
        <v>355657</v>
      </c>
      <c r="H49" s="40"/>
    </row>
    <row r="50" spans="1:8" s="2" customFormat="1" hidden="1">
      <c r="A50" s="40"/>
      <c r="B50" s="23"/>
      <c r="C50" s="23"/>
      <c r="D50" s="23"/>
      <c r="E50" s="179" t="s">
        <v>579</v>
      </c>
      <c r="F50" s="9" t="s">
        <v>580</v>
      </c>
      <c r="G50" s="182"/>
      <c r="H50" s="40"/>
    </row>
    <row r="51" spans="1:8" s="2" customFormat="1" ht="25.5" hidden="1">
      <c r="A51" s="40"/>
      <c r="B51" s="23"/>
      <c r="C51" s="23"/>
      <c r="D51" s="23" t="s">
        <v>34</v>
      </c>
      <c r="E51" s="23"/>
      <c r="F51" s="9" t="s">
        <v>139</v>
      </c>
      <c r="G51" s="33">
        <f>SUM(G52:G58)</f>
        <v>17614274</v>
      </c>
      <c r="H51" s="40"/>
    </row>
    <row r="52" spans="1:8" s="2" customFormat="1" ht="25.5" hidden="1">
      <c r="A52" s="40"/>
      <c r="B52" s="23"/>
      <c r="C52" s="23"/>
      <c r="D52" s="23"/>
      <c r="E52" s="23" t="s">
        <v>51</v>
      </c>
      <c r="F52" s="9" t="s">
        <v>481</v>
      </c>
      <c r="G52" s="33">
        <v>474578</v>
      </c>
      <c r="H52" s="40"/>
    </row>
    <row r="53" spans="1:8" s="2" customFormat="1" ht="25.5" hidden="1">
      <c r="A53" s="40"/>
      <c r="B53" s="23"/>
      <c r="C53" s="23"/>
      <c r="D53" s="23"/>
      <c r="E53" s="23" t="s">
        <v>5</v>
      </c>
      <c r="F53" s="9" t="s">
        <v>522</v>
      </c>
      <c r="G53" s="33">
        <v>130678</v>
      </c>
      <c r="H53" s="40"/>
    </row>
    <row r="54" spans="1:8" s="2" customFormat="1" ht="25.5" hidden="1">
      <c r="A54" s="40"/>
      <c r="B54" s="23"/>
      <c r="C54" s="23"/>
      <c r="D54" s="23"/>
      <c r="E54" s="23" t="s">
        <v>40</v>
      </c>
      <c r="F54" s="9" t="s">
        <v>581</v>
      </c>
      <c r="G54" s="33">
        <v>34161</v>
      </c>
      <c r="H54" s="40"/>
    </row>
    <row r="55" spans="1:8" s="2" customFormat="1" ht="63.75" hidden="1">
      <c r="A55" s="40"/>
      <c r="B55" s="23"/>
      <c r="C55" s="23"/>
      <c r="D55" s="23"/>
      <c r="E55" s="23" t="s">
        <v>152</v>
      </c>
      <c r="F55" s="9" t="s">
        <v>574</v>
      </c>
      <c r="G55" s="33">
        <v>741090</v>
      </c>
      <c r="H55" s="40"/>
    </row>
    <row r="56" spans="1:8" s="2" customFormat="1" hidden="1">
      <c r="A56" s="40"/>
      <c r="B56" s="23"/>
      <c r="C56" s="23"/>
      <c r="D56" s="23"/>
      <c r="E56" s="23" t="s">
        <v>153</v>
      </c>
      <c r="F56" s="9" t="s">
        <v>155</v>
      </c>
      <c r="G56" s="33">
        <v>15692870</v>
      </c>
      <c r="H56" s="40"/>
    </row>
    <row r="57" spans="1:8" s="2" customFormat="1" ht="25.5" hidden="1">
      <c r="A57" s="40"/>
      <c r="B57" s="23"/>
      <c r="C57" s="23"/>
      <c r="D57" s="23"/>
      <c r="E57" s="23" t="s">
        <v>140</v>
      </c>
      <c r="F57" s="9" t="s">
        <v>482</v>
      </c>
      <c r="G57" s="33">
        <v>102658</v>
      </c>
      <c r="H57" s="40"/>
    </row>
    <row r="58" spans="1:8" s="2" customFormat="1" ht="25.5" hidden="1">
      <c r="A58" s="40"/>
      <c r="B58" s="23"/>
      <c r="C58" s="23"/>
      <c r="D58" s="23"/>
      <c r="E58" s="23" t="s">
        <v>154</v>
      </c>
      <c r="F58" s="9" t="s">
        <v>156</v>
      </c>
      <c r="G58" s="33">
        <v>438239</v>
      </c>
      <c r="H58" s="40"/>
    </row>
    <row r="59" spans="1:8" s="2" customFormat="1" ht="38.25" hidden="1">
      <c r="A59" s="40"/>
      <c r="B59" s="23"/>
      <c r="C59" s="23" t="s">
        <v>74</v>
      </c>
      <c r="D59" s="23"/>
      <c r="E59" s="23"/>
      <c r="F59" s="9" t="s">
        <v>162</v>
      </c>
      <c r="G59" s="33">
        <f t="shared" ref="G59" si="8">G60</f>
        <v>12827845</v>
      </c>
      <c r="H59" s="40"/>
    </row>
    <row r="60" spans="1:8" s="2" customFormat="1" hidden="1">
      <c r="A60" s="40"/>
      <c r="B60" s="23"/>
      <c r="C60" s="23"/>
      <c r="D60" s="23" t="s">
        <v>31</v>
      </c>
      <c r="E60" s="23"/>
      <c r="F60" s="9" t="s">
        <v>163</v>
      </c>
      <c r="G60" s="33">
        <f>SUM(G61:G61)</f>
        <v>12827845</v>
      </c>
      <c r="H60" s="40"/>
    </row>
    <row r="61" spans="1:8" s="2" customFormat="1" hidden="1">
      <c r="A61" s="40"/>
      <c r="B61" s="23"/>
      <c r="C61" s="23"/>
      <c r="D61" s="23"/>
      <c r="E61" s="23" t="s">
        <v>161</v>
      </c>
      <c r="F61" s="9" t="s">
        <v>164</v>
      </c>
      <c r="G61" s="33">
        <v>12827845</v>
      </c>
      <c r="H61" s="40"/>
    </row>
    <row r="62" spans="1:8" s="2" customFormat="1" hidden="1">
      <c r="A62" s="40"/>
      <c r="B62" s="23" t="s">
        <v>32</v>
      </c>
      <c r="C62" s="23"/>
      <c r="D62" s="23"/>
      <c r="E62" s="23"/>
      <c r="F62" s="9" t="s">
        <v>95</v>
      </c>
      <c r="G62" s="33">
        <f>G63+G83+G80+G114</f>
        <v>15897585</v>
      </c>
      <c r="H62" s="40"/>
    </row>
    <row r="63" spans="1:8" s="2" customFormat="1" hidden="1">
      <c r="A63" s="40"/>
      <c r="B63" s="23"/>
      <c r="C63" s="23" t="s">
        <v>44</v>
      </c>
      <c r="D63" s="23"/>
      <c r="E63" s="23"/>
      <c r="F63" s="9" t="s">
        <v>96</v>
      </c>
      <c r="G63" s="33">
        <f t="shared" ref="G63" si="9">G64+G68+G70+G78+G66+G73</f>
        <v>1729110</v>
      </c>
      <c r="H63" s="40"/>
    </row>
    <row r="64" spans="1:8" s="2" customFormat="1" hidden="1">
      <c r="A64" s="40"/>
      <c r="B64" s="23"/>
      <c r="C64" s="23"/>
      <c r="D64" s="23" t="s">
        <v>31</v>
      </c>
      <c r="E64" s="23"/>
      <c r="F64" s="9" t="s">
        <v>97</v>
      </c>
      <c r="G64" s="33">
        <f t="shared" ref="G64" si="10">G65</f>
        <v>79473</v>
      </c>
      <c r="H64" s="40"/>
    </row>
    <row r="65" spans="1:8" s="2" customFormat="1" ht="25.5" hidden="1">
      <c r="A65" s="40"/>
      <c r="B65" s="23"/>
      <c r="C65" s="23"/>
      <c r="D65" s="23"/>
      <c r="E65" s="23" t="s">
        <v>51</v>
      </c>
      <c r="F65" s="9" t="s">
        <v>69</v>
      </c>
      <c r="G65" s="33">
        <v>79473</v>
      </c>
      <c r="H65" s="40"/>
    </row>
    <row r="66" spans="1:8" s="2" customFormat="1" ht="25.5" hidden="1">
      <c r="A66" s="40"/>
      <c r="B66" s="23"/>
      <c r="C66" s="23"/>
      <c r="D66" s="23" t="s">
        <v>33</v>
      </c>
      <c r="E66" s="23"/>
      <c r="F66" s="9" t="s">
        <v>405</v>
      </c>
      <c r="G66" s="33">
        <f t="shared" ref="G66" si="11">G67</f>
        <v>374325</v>
      </c>
      <c r="H66" s="40"/>
    </row>
    <row r="67" spans="1:8" s="2" customFormat="1" ht="25.5" hidden="1">
      <c r="A67" s="40"/>
      <c r="B67" s="23"/>
      <c r="C67" s="23"/>
      <c r="D67" s="23"/>
      <c r="E67" s="23" t="s">
        <v>51</v>
      </c>
      <c r="F67" s="9" t="s">
        <v>406</v>
      </c>
      <c r="G67" s="33">
        <v>374325</v>
      </c>
      <c r="H67" s="40"/>
    </row>
    <row r="68" spans="1:8" s="2" customFormat="1" ht="25.5" hidden="1">
      <c r="A68" s="40"/>
      <c r="B68" s="23"/>
      <c r="C68" s="23"/>
      <c r="D68" s="23" t="s">
        <v>34</v>
      </c>
      <c r="E68" s="23"/>
      <c r="F68" s="9" t="s">
        <v>159</v>
      </c>
      <c r="G68" s="33">
        <f t="shared" ref="G68" si="12">G69</f>
        <v>31038</v>
      </c>
      <c r="H68" s="40"/>
    </row>
    <row r="69" spans="1:8" s="2" customFormat="1" ht="25.5" hidden="1">
      <c r="A69" s="40"/>
      <c r="B69" s="23"/>
      <c r="C69" s="23"/>
      <c r="D69" s="23"/>
      <c r="E69" s="23" t="s">
        <v>51</v>
      </c>
      <c r="F69" s="9" t="s">
        <v>160</v>
      </c>
      <c r="G69" s="33">
        <v>31038</v>
      </c>
      <c r="H69" s="40"/>
    </row>
    <row r="70" spans="1:8" s="2" customFormat="1" ht="25.5" hidden="1">
      <c r="A70" s="40"/>
      <c r="B70" s="23"/>
      <c r="C70" s="23"/>
      <c r="D70" s="23" t="s">
        <v>35</v>
      </c>
      <c r="E70" s="23"/>
      <c r="F70" s="9" t="s">
        <v>98</v>
      </c>
      <c r="G70" s="33">
        <f t="shared" ref="G70" si="13">SUM(G71:G72)</f>
        <v>1217466</v>
      </c>
      <c r="H70" s="40"/>
    </row>
    <row r="71" spans="1:8" s="2" customFormat="1" ht="25.5" hidden="1">
      <c r="A71" s="40"/>
      <c r="B71" s="23"/>
      <c r="C71" s="23"/>
      <c r="D71" s="23"/>
      <c r="E71" s="23" t="s">
        <v>5</v>
      </c>
      <c r="F71" s="9" t="s">
        <v>157</v>
      </c>
      <c r="G71" s="33">
        <v>212000</v>
      </c>
      <c r="H71" s="40"/>
    </row>
    <row r="72" spans="1:8" s="2" customFormat="1" ht="38.25" hidden="1">
      <c r="A72" s="40"/>
      <c r="B72" s="23"/>
      <c r="C72" s="23"/>
      <c r="D72" s="23"/>
      <c r="E72" s="23" t="s">
        <v>70</v>
      </c>
      <c r="F72" s="9" t="s">
        <v>158</v>
      </c>
      <c r="G72" s="33">
        <v>1005466</v>
      </c>
      <c r="H72" s="40"/>
    </row>
    <row r="73" spans="1:8" s="2" customFormat="1" ht="17.25" hidden="1" customHeight="1">
      <c r="A73" s="40"/>
      <c r="B73" s="23"/>
      <c r="C73" s="23"/>
      <c r="D73" s="23" t="s">
        <v>99</v>
      </c>
      <c r="E73" s="23"/>
      <c r="F73" s="9" t="s">
        <v>414</v>
      </c>
      <c r="G73" s="33">
        <f t="shared" ref="G73" si="14">SUM(G74:G77)</f>
        <v>24124</v>
      </c>
      <c r="H73" s="40"/>
    </row>
    <row r="74" spans="1:8" s="2" customFormat="1" ht="25.5" hidden="1">
      <c r="A74" s="40"/>
      <c r="B74" s="23"/>
      <c r="C74" s="23"/>
      <c r="D74" s="23"/>
      <c r="E74" s="23" t="s">
        <v>5</v>
      </c>
      <c r="F74" s="9" t="s">
        <v>415</v>
      </c>
      <c r="G74" s="33">
        <f>3842+500</f>
        <v>4342</v>
      </c>
      <c r="H74" s="40"/>
    </row>
    <row r="75" spans="1:8" s="2" customFormat="1" ht="25.5" hidden="1">
      <c r="A75" s="40"/>
      <c r="B75" s="23"/>
      <c r="C75" s="23"/>
      <c r="D75" s="23"/>
      <c r="E75" s="23" t="s">
        <v>40</v>
      </c>
      <c r="F75" s="9" t="s">
        <v>543</v>
      </c>
      <c r="G75" s="33">
        <v>18461</v>
      </c>
      <c r="H75" s="40"/>
    </row>
    <row r="76" spans="1:8" s="2" customFormat="1" ht="25.5" hidden="1">
      <c r="A76" s="40"/>
      <c r="B76" s="23"/>
      <c r="C76" s="23"/>
      <c r="D76" s="23"/>
      <c r="E76" s="23" t="s">
        <v>43</v>
      </c>
      <c r="F76" s="9" t="s">
        <v>416</v>
      </c>
      <c r="G76" s="33">
        <v>916</v>
      </c>
      <c r="H76" s="40"/>
    </row>
    <row r="77" spans="1:8" s="2" customFormat="1" ht="38.25" hidden="1">
      <c r="A77" s="40"/>
      <c r="B77" s="23"/>
      <c r="C77" s="23"/>
      <c r="D77" s="23"/>
      <c r="E77" s="23" t="s">
        <v>385</v>
      </c>
      <c r="F77" s="9" t="s">
        <v>417</v>
      </c>
      <c r="G77" s="33">
        <v>405</v>
      </c>
      <c r="H77" s="40"/>
    </row>
    <row r="78" spans="1:8" s="2" customFormat="1" hidden="1">
      <c r="A78" s="40"/>
      <c r="B78" s="23"/>
      <c r="C78" s="23"/>
      <c r="D78" s="23" t="s">
        <v>36</v>
      </c>
      <c r="E78" s="23" t="s">
        <v>382</v>
      </c>
      <c r="F78" s="9" t="s">
        <v>383</v>
      </c>
      <c r="G78" s="33">
        <f>SUM(G79:G79)</f>
        <v>2684</v>
      </c>
      <c r="H78" s="40"/>
    </row>
    <row r="79" spans="1:8" s="2" customFormat="1" ht="25.5" hidden="1">
      <c r="A79" s="40"/>
      <c r="B79" s="23"/>
      <c r="C79" s="23"/>
      <c r="D79" s="23"/>
      <c r="E79" s="23" t="s">
        <v>37</v>
      </c>
      <c r="F79" s="9" t="s">
        <v>384</v>
      </c>
      <c r="G79" s="33">
        <v>2684</v>
      </c>
      <c r="H79" s="40"/>
    </row>
    <row r="80" spans="1:8" s="2" customFormat="1" ht="38.25" hidden="1">
      <c r="A80" s="40"/>
      <c r="B80" s="23"/>
      <c r="C80" s="23" t="s">
        <v>107</v>
      </c>
      <c r="D80" s="23"/>
      <c r="E80" s="23"/>
      <c r="F80" s="9" t="s">
        <v>616</v>
      </c>
      <c r="G80" s="33">
        <f>G81</f>
        <v>558</v>
      </c>
      <c r="H80" s="40"/>
    </row>
    <row r="81" spans="1:8" s="2" customFormat="1" ht="38.25" hidden="1">
      <c r="A81" s="40"/>
      <c r="B81" s="23"/>
      <c r="C81" s="23"/>
      <c r="D81" s="23" t="s">
        <v>31</v>
      </c>
      <c r="E81" s="23"/>
      <c r="F81" s="9" t="s">
        <v>616</v>
      </c>
      <c r="G81" s="33">
        <f>G82</f>
        <v>558</v>
      </c>
      <c r="H81" s="40"/>
    </row>
    <row r="82" spans="1:8" s="2" customFormat="1" ht="38.25" hidden="1">
      <c r="A82" s="40"/>
      <c r="B82" s="23"/>
      <c r="C82" s="23"/>
      <c r="D82" s="23"/>
      <c r="E82" s="23" t="s">
        <v>51</v>
      </c>
      <c r="F82" s="9" t="s">
        <v>617</v>
      </c>
      <c r="G82" s="33">
        <v>558</v>
      </c>
      <c r="H82" s="40"/>
    </row>
    <row r="83" spans="1:8" s="2" customFormat="1" ht="51" hidden="1">
      <c r="A83" s="40"/>
      <c r="B83" s="23"/>
      <c r="C83" s="23" t="s">
        <v>110</v>
      </c>
      <c r="D83" s="23"/>
      <c r="E83" s="23"/>
      <c r="F83" s="9" t="s">
        <v>339</v>
      </c>
      <c r="G83" s="33">
        <f>G84</f>
        <v>13503721</v>
      </c>
      <c r="H83" s="40"/>
    </row>
    <row r="84" spans="1:8" s="2" customFormat="1" ht="76.5" hidden="1">
      <c r="A84" s="40"/>
      <c r="B84" s="23"/>
      <c r="C84" s="23"/>
      <c r="D84" s="23" t="s">
        <v>31</v>
      </c>
      <c r="E84" s="23"/>
      <c r="F84" s="9" t="s">
        <v>575</v>
      </c>
      <c r="G84" s="33">
        <f>SUM(G85:G113)</f>
        <v>13503721</v>
      </c>
      <c r="H84" s="40"/>
    </row>
    <row r="85" spans="1:8" s="2" customFormat="1" hidden="1">
      <c r="A85" s="40"/>
      <c r="B85" s="23"/>
      <c r="C85" s="23"/>
      <c r="D85" s="23"/>
      <c r="E85" s="23" t="s">
        <v>107</v>
      </c>
      <c r="F85" s="9" t="s">
        <v>618</v>
      </c>
      <c r="G85" s="33">
        <v>38092</v>
      </c>
      <c r="H85" s="40"/>
    </row>
    <row r="86" spans="1:8" s="2" customFormat="1" ht="51" hidden="1">
      <c r="A86" s="40"/>
      <c r="B86" s="23"/>
      <c r="C86" s="23"/>
      <c r="D86" s="23"/>
      <c r="E86" s="23" t="s">
        <v>5</v>
      </c>
      <c r="F86" s="9" t="s">
        <v>340</v>
      </c>
      <c r="G86" s="33">
        <v>13000000</v>
      </c>
      <c r="H86" s="40"/>
    </row>
    <row r="87" spans="1:8" s="2" customFormat="1" ht="25.5" hidden="1">
      <c r="A87" s="40"/>
      <c r="B87" s="23"/>
      <c r="C87" s="23"/>
      <c r="D87" s="23"/>
      <c r="E87" s="23" t="s">
        <v>41</v>
      </c>
      <c r="F87" s="9" t="s">
        <v>619</v>
      </c>
      <c r="G87" s="33">
        <v>23731</v>
      </c>
      <c r="H87" s="40"/>
    </row>
    <row r="88" spans="1:8" s="2" customFormat="1" ht="38.25" hidden="1">
      <c r="A88" s="40"/>
      <c r="B88" s="23"/>
      <c r="C88" s="23"/>
      <c r="D88" s="23"/>
      <c r="E88" s="23" t="s">
        <v>385</v>
      </c>
      <c r="F88" s="9" t="s">
        <v>620</v>
      </c>
      <c r="G88" s="33">
        <v>2734</v>
      </c>
      <c r="H88" s="40"/>
    </row>
    <row r="89" spans="1:8" s="2" customFormat="1" ht="63.75" hidden="1">
      <c r="A89" s="40"/>
      <c r="B89" s="23"/>
      <c r="C89" s="23"/>
      <c r="D89" s="23"/>
      <c r="E89" s="23">
        <v>19</v>
      </c>
      <c r="F89" s="9" t="s">
        <v>621</v>
      </c>
      <c r="G89" s="33">
        <v>19143</v>
      </c>
      <c r="H89" s="40"/>
    </row>
    <row r="90" spans="1:8" s="2" customFormat="1" ht="63.75" hidden="1">
      <c r="A90" s="40"/>
      <c r="B90" s="23"/>
      <c r="C90" s="23"/>
      <c r="D90" s="23"/>
      <c r="E90" s="23">
        <v>20</v>
      </c>
      <c r="F90" s="9" t="s">
        <v>622</v>
      </c>
      <c r="G90" s="33">
        <v>228</v>
      </c>
      <c r="H90" s="40"/>
    </row>
    <row r="91" spans="1:8" s="2" customFormat="1" ht="63.75" hidden="1">
      <c r="A91" s="40"/>
      <c r="B91" s="23"/>
      <c r="C91" s="23"/>
      <c r="D91" s="23"/>
      <c r="E91" s="23">
        <v>25</v>
      </c>
      <c r="F91" s="9" t="s">
        <v>623</v>
      </c>
      <c r="G91" s="33">
        <v>3906</v>
      </c>
      <c r="H91" s="40"/>
    </row>
    <row r="92" spans="1:8" s="2" customFormat="1" ht="63.75" hidden="1">
      <c r="A92" s="40"/>
      <c r="B92" s="23"/>
      <c r="C92" s="23"/>
      <c r="D92" s="23"/>
      <c r="E92" s="23">
        <v>27</v>
      </c>
      <c r="F92" s="9" t="s">
        <v>624</v>
      </c>
      <c r="G92" s="33">
        <v>1952</v>
      </c>
      <c r="H92" s="40"/>
    </row>
    <row r="93" spans="1:8" s="2" customFormat="1" ht="63.75" hidden="1">
      <c r="A93" s="40"/>
      <c r="B93" s="23"/>
      <c r="C93" s="23"/>
      <c r="D93" s="23"/>
      <c r="E93" s="23">
        <v>29</v>
      </c>
      <c r="F93" s="9" t="s">
        <v>625</v>
      </c>
      <c r="G93" s="33">
        <v>2527</v>
      </c>
      <c r="H93" s="40"/>
    </row>
    <row r="94" spans="1:8" s="2" customFormat="1" ht="63.75" hidden="1">
      <c r="A94" s="40"/>
      <c r="B94" s="23"/>
      <c r="C94" s="23"/>
      <c r="D94" s="23"/>
      <c r="E94" s="23">
        <v>32</v>
      </c>
      <c r="F94" s="9" t="s">
        <v>626</v>
      </c>
      <c r="G94" s="33">
        <v>2782</v>
      </c>
      <c r="H94" s="40"/>
    </row>
    <row r="95" spans="1:8" s="2" customFormat="1" ht="50.25" hidden="1" customHeight="1">
      <c r="A95" s="40"/>
      <c r="B95" s="23"/>
      <c r="C95" s="23"/>
      <c r="D95" s="23"/>
      <c r="E95" s="23">
        <v>33</v>
      </c>
      <c r="F95" s="9" t="s">
        <v>627</v>
      </c>
      <c r="G95" s="33">
        <v>198</v>
      </c>
      <c r="H95" s="40"/>
    </row>
    <row r="96" spans="1:8" s="2" customFormat="1" ht="76.5" hidden="1">
      <c r="A96" s="40"/>
      <c r="B96" s="23"/>
      <c r="C96" s="23"/>
      <c r="D96" s="23"/>
      <c r="E96" s="23" t="s">
        <v>517</v>
      </c>
      <c r="F96" s="9" t="s">
        <v>518</v>
      </c>
      <c r="G96" s="33">
        <v>214975</v>
      </c>
      <c r="H96" s="40"/>
    </row>
    <row r="97" spans="1:8" s="2" customFormat="1" ht="38.25" hidden="1">
      <c r="A97" s="40"/>
      <c r="B97" s="23"/>
      <c r="C97" s="23"/>
      <c r="D97" s="23"/>
      <c r="E97" s="184">
        <v>43</v>
      </c>
      <c r="F97" s="9" t="s">
        <v>628</v>
      </c>
      <c r="G97" s="33">
        <v>346</v>
      </c>
      <c r="H97" s="40"/>
    </row>
    <row r="98" spans="1:8" s="2" customFormat="1" ht="63.75" hidden="1">
      <c r="A98" s="40"/>
      <c r="B98" s="23"/>
      <c r="C98" s="23"/>
      <c r="D98" s="23"/>
      <c r="E98" s="23" t="s">
        <v>629</v>
      </c>
      <c r="F98" s="9" t="s">
        <v>630</v>
      </c>
      <c r="G98" s="33">
        <v>1163</v>
      </c>
      <c r="H98" s="40"/>
    </row>
    <row r="99" spans="1:8" s="2" customFormat="1" ht="63.75" hidden="1">
      <c r="A99" s="40"/>
      <c r="B99" s="23"/>
      <c r="C99" s="23"/>
      <c r="D99" s="23"/>
      <c r="E99" s="23">
        <v>51</v>
      </c>
      <c r="F99" s="9" t="s">
        <v>631</v>
      </c>
      <c r="G99" s="33">
        <v>3216</v>
      </c>
      <c r="H99" s="40"/>
    </row>
    <row r="100" spans="1:8" s="2" customFormat="1" ht="51" hidden="1">
      <c r="A100" s="40"/>
      <c r="B100" s="23"/>
      <c r="C100" s="23"/>
      <c r="D100" s="23"/>
      <c r="E100" s="23" t="s">
        <v>632</v>
      </c>
      <c r="F100" s="9" t="s">
        <v>633</v>
      </c>
      <c r="G100" s="33">
        <v>35968</v>
      </c>
      <c r="H100" s="40"/>
    </row>
    <row r="101" spans="1:8" s="2" customFormat="1" ht="63.75" hidden="1">
      <c r="A101" s="40"/>
      <c r="B101" s="23"/>
      <c r="C101" s="23"/>
      <c r="D101" s="23"/>
      <c r="E101" s="23">
        <v>57</v>
      </c>
      <c r="F101" s="9" t="s">
        <v>634</v>
      </c>
      <c r="G101" s="33">
        <v>605</v>
      </c>
      <c r="H101" s="40"/>
    </row>
    <row r="102" spans="1:8" s="2" customFormat="1" ht="63.75" hidden="1">
      <c r="A102" s="40"/>
      <c r="B102" s="23"/>
      <c r="C102" s="23"/>
      <c r="D102" s="23"/>
      <c r="E102" s="23">
        <v>60</v>
      </c>
      <c r="F102" s="9" t="s">
        <v>635</v>
      </c>
      <c r="G102" s="33">
        <v>973</v>
      </c>
      <c r="H102" s="40"/>
    </row>
    <row r="103" spans="1:8" s="2" customFormat="1" ht="63.75" hidden="1">
      <c r="A103" s="40"/>
      <c r="B103" s="23"/>
      <c r="C103" s="23"/>
      <c r="D103" s="23"/>
      <c r="E103" s="23">
        <v>62</v>
      </c>
      <c r="F103" s="9" t="s">
        <v>636</v>
      </c>
      <c r="G103" s="33">
        <v>30618</v>
      </c>
      <c r="H103" s="40"/>
    </row>
    <row r="104" spans="1:8" s="2" customFormat="1" ht="63.75" hidden="1">
      <c r="A104" s="40"/>
      <c r="B104" s="23"/>
      <c r="C104" s="23"/>
      <c r="D104" s="23"/>
      <c r="E104" s="23">
        <v>63</v>
      </c>
      <c r="F104" s="9" t="s">
        <v>637</v>
      </c>
      <c r="G104" s="33">
        <v>162</v>
      </c>
      <c r="H104" s="40"/>
    </row>
    <row r="105" spans="1:8" s="2" customFormat="1" ht="25.5" hidden="1">
      <c r="A105" s="40"/>
      <c r="B105" s="23"/>
      <c r="C105" s="23"/>
      <c r="D105" s="23"/>
      <c r="E105" s="23" t="s">
        <v>638</v>
      </c>
      <c r="F105" s="9" t="s">
        <v>639</v>
      </c>
      <c r="G105" s="33">
        <v>50512</v>
      </c>
      <c r="H105" s="40"/>
    </row>
    <row r="106" spans="1:8" s="2" customFormat="1" ht="63.75" hidden="1">
      <c r="A106" s="40"/>
      <c r="B106" s="23"/>
      <c r="C106" s="23"/>
      <c r="D106" s="23"/>
      <c r="E106" s="23" t="s">
        <v>640</v>
      </c>
      <c r="F106" s="9" t="s">
        <v>641</v>
      </c>
      <c r="G106" s="33">
        <v>9731</v>
      </c>
      <c r="H106" s="40"/>
    </row>
    <row r="107" spans="1:8" s="2" customFormat="1" ht="63.75" hidden="1">
      <c r="A107" s="40"/>
      <c r="B107" s="23"/>
      <c r="C107" s="23"/>
      <c r="D107" s="23"/>
      <c r="E107" s="23">
        <v>72</v>
      </c>
      <c r="F107" s="9" t="s">
        <v>642</v>
      </c>
      <c r="G107" s="33">
        <v>951</v>
      </c>
      <c r="H107" s="40"/>
    </row>
    <row r="108" spans="1:8" s="2" customFormat="1" ht="63.75" hidden="1">
      <c r="A108" s="40"/>
      <c r="B108" s="23"/>
      <c r="C108" s="23"/>
      <c r="D108" s="23"/>
      <c r="E108" s="23">
        <v>73</v>
      </c>
      <c r="F108" s="9" t="s">
        <v>643</v>
      </c>
      <c r="G108" s="33">
        <v>2227</v>
      </c>
      <c r="H108" s="40"/>
    </row>
    <row r="109" spans="1:8" s="2" customFormat="1" ht="51" hidden="1">
      <c r="A109" s="40"/>
      <c r="B109" s="23"/>
      <c r="C109" s="23"/>
      <c r="D109" s="23"/>
      <c r="E109" s="23">
        <v>74</v>
      </c>
      <c r="F109" s="9" t="s">
        <v>644</v>
      </c>
      <c r="G109" s="33">
        <v>302</v>
      </c>
      <c r="H109" s="40"/>
    </row>
    <row r="110" spans="1:8" s="2" customFormat="1" ht="63.75" hidden="1">
      <c r="A110" s="40"/>
      <c r="B110" s="23"/>
      <c r="C110" s="23"/>
      <c r="D110" s="23"/>
      <c r="E110" s="23">
        <v>75</v>
      </c>
      <c r="F110" s="9" t="s">
        <v>645</v>
      </c>
      <c r="G110" s="33">
        <v>1906</v>
      </c>
      <c r="H110" s="40"/>
    </row>
    <row r="111" spans="1:8" s="2" customFormat="1" ht="63.75" hidden="1">
      <c r="A111" s="40"/>
      <c r="B111" s="23"/>
      <c r="C111" s="23"/>
      <c r="D111" s="23"/>
      <c r="E111" s="23">
        <v>77</v>
      </c>
      <c r="F111" s="9" t="s">
        <v>646</v>
      </c>
      <c r="G111" s="33">
        <v>3055</v>
      </c>
      <c r="H111" s="40"/>
    </row>
    <row r="112" spans="1:8" s="2" customFormat="1" ht="25.5" hidden="1">
      <c r="A112" s="40"/>
      <c r="B112" s="23"/>
      <c r="C112" s="23"/>
      <c r="D112" s="23"/>
      <c r="E112" s="23" t="s">
        <v>647</v>
      </c>
      <c r="F112" s="9" t="s">
        <v>648</v>
      </c>
      <c r="G112" s="33">
        <v>938</v>
      </c>
      <c r="H112" s="40"/>
    </row>
    <row r="113" spans="1:8" s="2" customFormat="1" ht="63.75" hidden="1">
      <c r="A113" s="40"/>
      <c r="B113" s="23"/>
      <c r="C113" s="23"/>
      <c r="D113" s="23"/>
      <c r="E113" s="23">
        <v>79</v>
      </c>
      <c r="F113" s="9" t="s">
        <v>649</v>
      </c>
      <c r="G113" s="33">
        <v>50780</v>
      </c>
      <c r="H113" s="40"/>
    </row>
    <row r="114" spans="1:8" s="2" customFormat="1" hidden="1">
      <c r="A114" s="40"/>
      <c r="B114" s="23"/>
      <c r="C114" s="23" t="s">
        <v>5</v>
      </c>
      <c r="D114" s="23"/>
      <c r="E114" s="23"/>
      <c r="F114" s="9" t="s">
        <v>650</v>
      </c>
      <c r="G114" s="33">
        <f>G115</f>
        <v>664196</v>
      </c>
      <c r="H114" s="40"/>
    </row>
    <row r="115" spans="1:8" s="2" customFormat="1" hidden="1">
      <c r="A115" s="40"/>
      <c r="B115" s="23"/>
      <c r="C115" s="23"/>
      <c r="D115" s="23" t="s">
        <v>31</v>
      </c>
      <c r="E115" s="23"/>
      <c r="F115" s="9" t="s">
        <v>650</v>
      </c>
      <c r="G115" s="33">
        <f>SUM(G116:G117)</f>
        <v>664196</v>
      </c>
      <c r="H115" s="40"/>
    </row>
    <row r="116" spans="1:8" s="2" customFormat="1" ht="25.5" hidden="1">
      <c r="A116" s="40"/>
      <c r="B116" s="23"/>
      <c r="C116" s="23"/>
      <c r="D116" s="23"/>
      <c r="E116" s="23" t="s">
        <v>70</v>
      </c>
      <c r="F116" s="9" t="s">
        <v>651</v>
      </c>
      <c r="G116" s="33">
        <v>141131</v>
      </c>
      <c r="H116" s="40"/>
    </row>
    <row r="117" spans="1:8" s="2" customFormat="1" ht="25.5" hidden="1">
      <c r="A117" s="40"/>
      <c r="B117" s="23"/>
      <c r="C117" s="23"/>
      <c r="D117" s="23"/>
      <c r="E117" s="23" t="s">
        <v>60</v>
      </c>
      <c r="F117" s="9" t="s">
        <v>652</v>
      </c>
      <c r="G117" s="33">
        <v>523065</v>
      </c>
      <c r="H117" s="40"/>
    </row>
    <row r="118" spans="1:8" s="2" customFormat="1" hidden="1">
      <c r="A118" s="40"/>
      <c r="B118" s="31" t="s">
        <v>33</v>
      </c>
      <c r="C118" s="31"/>
      <c r="D118" s="31"/>
      <c r="E118" s="22"/>
      <c r="F118" s="10" t="s">
        <v>56</v>
      </c>
      <c r="G118" s="33">
        <f>G124+G119</f>
        <v>15728340</v>
      </c>
      <c r="H118" s="40"/>
    </row>
    <row r="119" spans="1:8" s="2" customFormat="1" ht="25.5" hidden="1">
      <c r="A119" s="40"/>
      <c r="B119" s="31"/>
      <c r="C119" s="31" t="s">
        <v>44</v>
      </c>
      <c r="D119" s="31"/>
      <c r="E119" s="22"/>
      <c r="F119" s="10" t="s">
        <v>653</v>
      </c>
      <c r="G119" s="33">
        <f>G120</f>
        <v>10348868</v>
      </c>
      <c r="H119" s="40"/>
    </row>
    <row r="120" spans="1:8" s="2" customFormat="1" ht="25.5" hidden="1">
      <c r="A120" s="40"/>
      <c r="B120" s="31"/>
      <c r="C120" s="31"/>
      <c r="D120" s="31" t="s">
        <v>31</v>
      </c>
      <c r="E120" s="22"/>
      <c r="F120" s="10" t="s">
        <v>653</v>
      </c>
      <c r="G120" s="33">
        <f>SUM(G121:G123)</f>
        <v>10348868</v>
      </c>
      <c r="H120" s="40"/>
    </row>
    <row r="121" spans="1:8" s="2" customFormat="1" ht="38.25" hidden="1">
      <c r="A121" s="40"/>
      <c r="B121" s="31"/>
      <c r="C121" s="31"/>
      <c r="D121" s="31"/>
      <c r="E121" s="22" t="s">
        <v>51</v>
      </c>
      <c r="F121" s="10" t="s">
        <v>654</v>
      </c>
      <c r="G121" s="33">
        <v>1644</v>
      </c>
      <c r="H121" s="40"/>
    </row>
    <row r="122" spans="1:8" s="2" customFormat="1" hidden="1">
      <c r="A122" s="40"/>
      <c r="B122" s="31"/>
      <c r="C122" s="31"/>
      <c r="D122" s="31"/>
      <c r="E122" s="22" t="s">
        <v>107</v>
      </c>
      <c r="F122" s="10" t="s">
        <v>655</v>
      </c>
      <c r="G122" s="33">
        <v>10000000</v>
      </c>
      <c r="H122" s="40"/>
    </row>
    <row r="123" spans="1:8" s="2" customFormat="1" ht="25.5" hidden="1">
      <c r="A123" s="40"/>
      <c r="B123" s="31"/>
      <c r="C123" s="31"/>
      <c r="D123" s="31"/>
      <c r="E123" s="22" t="s">
        <v>70</v>
      </c>
      <c r="F123" s="10" t="s">
        <v>656</v>
      </c>
      <c r="G123" s="33">
        <v>347224</v>
      </c>
      <c r="H123" s="40"/>
    </row>
    <row r="124" spans="1:8" s="2" customFormat="1" hidden="1">
      <c r="A124" s="40"/>
      <c r="B124" s="31"/>
      <c r="C124" s="31" t="s">
        <v>107</v>
      </c>
      <c r="D124" s="31"/>
      <c r="E124" s="22"/>
      <c r="F124" s="9" t="s">
        <v>167</v>
      </c>
      <c r="G124" s="33">
        <f t="shared" ref="G124" si="15">G125+G127</f>
        <v>5379472</v>
      </c>
      <c r="H124" s="40"/>
    </row>
    <row r="125" spans="1:8" s="2" customFormat="1" hidden="1">
      <c r="A125" s="40"/>
      <c r="B125" s="31"/>
      <c r="C125" s="31"/>
      <c r="D125" s="31" t="s">
        <v>31</v>
      </c>
      <c r="E125" s="22"/>
      <c r="F125" s="9" t="s">
        <v>168</v>
      </c>
      <c r="G125" s="33">
        <f t="shared" ref="G125" si="16">SUM(G126)</f>
        <v>4410000</v>
      </c>
      <c r="H125" s="40"/>
    </row>
    <row r="126" spans="1:8" s="2" customFormat="1" hidden="1">
      <c r="A126" s="40"/>
      <c r="B126" s="31"/>
      <c r="C126" s="31"/>
      <c r="D126" s="31"/>
      <c r="E126" s="22" t="s">
        <v>44</v>
      </c>
      <c r="F126" s="9" t="s">
        <v>169</v>
      </c>
      <c r="G126" s="33">
        <v>4410000</v>
      </c>
      <c r="H126" s="40"/>
    </row>
    <row r="127" spans="1:8" s="2" customFormat="1" hidden="1">
      <c r="A127" s="40"/>
      <c r="B127" s="31"/>
      <c r="C127" s="31"/>
      <c r="D127" s="31" t="s">
        <v>32</v>
      </c>
      <c r="E127" s="22"/>
      <c r="F127" s="9" t="s">
        <v>386</v>
      </c>
      <c r="G127" s="33">
        <f t="shared" ref="G127" si="17">G128</f>
        <v>969472</v>
      </c>
      <c r="H127" s="40"/>
    </row>
    <row r="128" spans="1:8" s="2" customFormat="1" hidden="1">
      <c r="A128" s="40"/>
      <c r="B128" s="31"/>
      <c r="C128" s="31"/>
      <c r="D128" s="31"/>
      <c r="E128" s="22" t="s">
        <v>51</v>
      </c>
      <c r="F128" s="9" t="s">
        <v>387</v>
      </c>
      <c r="G128" s="33">
        <v>969472</v>
      </c>
      <c r="H128" s="40"/>
    </row>
    <row r="129" spans="1:9" s="2" customFormat="1" hidden="1">
      <c r="A129" s="176"/>
      <c r="B129" s="177">
        <v>4</v>
      </c>
      <c r="C129" s="177"/>
      <c r="D129" s="177"/>
      <c r="E129" s="178"/>
      <c r="F129" s="9" t="s">
        <v>576</v>
      </c>
      <c r="G129" s="33">
        <f>G130</f>
        <v>1894897</v>
      </c>
      <c r="H129" s="40"/>
    </row>
    <row r="130" spans="1:9" s="2" customFormat="1" hidden="1">
      <c r="A130" s="176"/>
      <c r="B130" s="177"/>
      <c r="C130" s="177" t="s">
        <v>44</v>
      </c>
      <c r="D130" s="177"/>
      <c r="E130" s="178"/>
      <c r="F130" s="9" t="s">
        <v>576</v>
      </c>
      <c r="G130" s="33">
        <f>G131</f>
        <v>1894897</v>
      </c>
      <c r="H130" s="40"/>
    </row>
    <row r="131" spans="1:9" s="2" customFormat="1" hidden="1">
      <c r="A131" s="176"/>
      <c r="B131" s="177"/>
      <c r="C131" s="177"/>
      <c r="D131" s="177">
        <v>1</v>
      </c>
      <c r="E131" s="178"/>
      <c r="F131" s="9" t="s">
        <v>576</v>
      </c>
      <c r="G131" s="33">
        <f>SUM(G132:G133)</f>
        <v>1894897</v>
      </c>
      <c r="H131" s="40"/>
    </row>
    <row r="132" spans="1:9" s="2" customFormat="1" hidden="1">
      <c r="A132" s="176"/>
      <c r="B132" s="177"/>
      <c r="C132" s="177"/>
      <c r="D132" s="177"/>
      <c r="E132" s="178" t="s">
        <v>44</v>
      </c>
      <c r="F132" s="9" t="s">
        <v>486</v>
      </c>
      <c r="G132" s="33">
        <v>1879778</v>
      </c>
      <c r="H132" s="40"/>
    </row>
    <row r="133" spans="1:9" s="2" customFormat="1" ht="25.5" hidden="1">
      <c r="A133" s="176"/>
      <c r="B133" s="177"/>
      <c r="C133" s="177"/>
      <c r="D133" s="177"/>
      <c r="E133" s="178" t="s">
        <v>51</v>
      </c>
      <c r="F133" s="9" t="s">
        <v>595</v>
      </c>
      <c r="G133" s="33">
        <v>15119</v>
      </c>
      <c r="H133" s="40"/>
    </row>
    <row r="134" spans="1:9" s="2" customFormat="1" hidden="1">
      <c r="A134" s="40"/>
      <c r="B134" s="179" t="s">
        <v>35</v>
      </c>
      <c r="C134" s="23"/>
      <c r="D134" s="23"/>
      <c r="E134" s="23"/>
      <c r="F134" s="9" t="s">
        <v>15</v>
      </c>
      <c r="G134" s="33">
        <f t="shared" ref="G134:G135" si="18">G135</f>
        <v>196647810</v>
      </c>
      <c r="H134" s="40"/>
    </row>
    <row r="135" spans="1:9" s="2" customFormat="1" hidden="1">
      <c r="A135" s="40"/>
      <c r="B135" s="23"/>
      <c r="C135" s="23" t="s">
        <v>51</v>
      </c>
      <c r="D135" s="23"/>
      <c r="E135" s="23"/>
      <c r="F135" s="9" t="s">
        <v>11</v>
      </c>
      <c r="G135" s="33">
        <f t="shared" si="18"/>
        <v>196647810</v>
      </c>
      <c r="H135" s="40"/>
    </row>
    <row r="136" spans="1:9" s="2" customFormat="1" hidden="1">
      <c r="A136" s="40"/>
      <c r="B136" s="23"/>
      <c r="C136" s="23"/>
      <c r="D136" s="23" t="s">
        <v>31</v>
      </c>
      <c r="E136" s="23"/>
      <c r="F136" s="9" t="s">
        <v>12</v>
      </c>
      <c r="G136" s="33">
        <f>SUM(G137:G139)</f>
        <v>196647810</v>
      </c>
      <c r="H136" s="40"/>
    </row>
    <row r="137" spans="1:9" s="2" customFormat="1" hidden="1">
      <c r="A137" s="40"/>
      <c r="B137" s="41"/>
      <c r="C137" s="41"/>
      <c r="D137" s="41"/>
      <c r="E137" s="23" t="s">
        <v>44</v>
      </c>
      <c r="F137" s="9" t="s">
        <v>13</v>
      </c>
      <c r="G137" s="33">
        <v>1477798</v>
      </c>
      <c r="H137" s="40"/>
    </row>
    <row r="138" spans="1:9" s="2" customFormat="1" hidden="1">
      <c r="A138" s="40"/>
      <c r="B138" s="41"/>
      <c r="C138" s="41"/>
      <c r="D138" s="41"/>
      <c r="E138" s="23" t="s">
        <v>51</v>
      </c>
      <c r="F138" s="9" t="s">
        <v>14</v>
      </c>
      <c r="G138" s="33">
        <v>12440818</v>
      </c>
      <c r="H138" s="40"/>
    </row>
    <row r="139" spans="1:9" hidden="1">
      <c r="A139" s="40"/>
      <c r="B139" s="41"/>
      <c r="C139" s="41"/>
      <c r="D139" s="41"/>
      <c r="E139" s="23" t="s">
        <v>107</v>
      </c>
      <c r="F139" s="9" t="s">
        <v>122</v>
      </c>
      <c r="G139" s="33">
        <v>182729194</v>
      </c>
    </row>
    <row r="140" spans="1:9" ht="3.75" customHeight="1">
      <c r="A140" s="40"/>
      <c r="B140" s="41"/>
      <c r="C140" s="41"/>
      <c r="D140" s="41"/>
      <c r="E140" s="87"/>
      <c r="F140" s="14"/>
      <c r="G140" s="33"/>
    </row>
    <row r="141" spans="1:9" ht="12.75" customHeight="1">
      <c r="A141" s="350" t="s">
        <v>124</v>
      </c>
      <c r="B141" s="350"/>
      <c r="C141" s="350"/>
      <c r="D141" s="350"/>
      <c r="E141" s="350"/>
      <c r="F141" s="350"/>
      <c r="G141" s="347" t="s">
        <v>950</v>
      </c>
      <c r="H141" s="347" t="s">
        <v>951</v>
      </c>
      <c r="I141" s="347" t="s">
        <v>952</v>
      </c>
    </row>
    <row r="142" spans="1:9">
      <c r="A142" s="298"/>
      <c r="B142" s="297" t="s">
        <v>123</v>
      </c>
      <c r="C142" s="299"/>
      <c r="D142" s="299"/>
      <c r="E142" s="299"/>
      <c r="F142" s="300"/>
      <c r="G142" s="347"/>
      <c r="H142" s="347"/>
      <c r="I142" s="347"/>
    </row>
    <row r="143" spans="1:9">
      <c r="A143" s="298"/>
      <c r="B143" s="297"/>
      <c r="C143" s="297" t="s">
        <v>28</v>
      </c>
      <c r="D143" s="299"/>
      <c r="E143" s="299"/>
      <c r="F143" s="300"/>
      <c r="G143" s="347"/>
      <c r="H143" s="347"/>
      <c r="I143" s="347"/>
    </row>
    <row r="144" spans="1:9" s="3" customFormat="1">
      <c r="A144" s="298"/>
      <c r="B144" s="299"/>
      <c r="C144" s="299"/>
      <c r="D144" s="299" t="s">
        <v>29</v>
      </c>
      <c r="E144" s="299"/>
      <c r="F144" s="300"/>
      <c r="G144" s="347"/>
      <c r="H144" s="347"/>
      <c r="I144" s="347"/>
    </row>
    <row r="145" spans="1:9">
      <c r="A145" s="298"/>
      <c r="B145" s="298"/>
      <c r="C145" s="298"/>
      <c r="D145" s="298"/>
      <c r="E145" s="301" t="s">
        <v>30</v>
      </c>
      <c r="F145" s="302"/>
      <c r="G145" s="347"/>
      <c r="H145" s="347"/>
      <c r="I145" s="347"/>
    </row>
    <row r="146" spans="1:9">
      <c r="A146" s="303"/>
      <c r="B146" s="303"/>
      <c r="C146" s="303" t="s">
        <v>31</v>
      </c>
      <c r="D146" s="303"/>
      <c r="E146" s="303"/>
      <c r="F146" s="116">
        <v>2</v>
      </c>
      <c r="G146" s="117">
        <v>3</v>
      </c>
      <c r="H146" s="116"/>
      <c r="I146" s="302"/>
    </row>
    <row r="147" spans="1:9" hidden="1">
      <c r="A147" s="304"/>
      <c r="B147" s="304"/>
      <c r="C147" s="304"/>
      <c r="D147" s="304"/>
      <c r="E147" s="305" t="s">
        <v>460</v>
      </c>
      <c r="F147" s="306" t="s">
        <v>132</v>
      </c>
      <c r="G147" s="307">
        <f>G149+G219+G246+G265+G343+G382+G464+G559+G647+G657+G753+G767+G798+G848+G855</f>
        <v>855546725</v>
      </c>
      <c r="H147" s="116"/>
      <c r="I147" s="302"/>
    </row>
    <row r="148" spans="1:9" ht="4.5" hidden="1" customHeight="1">
      <c r="A148" s="304"/>
      <c r="B148" s="304"/>
      <c r="C148" s="304"/>
      <c r="D148" s="304"/>
      <c r="E148" s="305"/>
      <c r="F148" s="306"/>
      <c r="G148" s="307"/>
      <c r="H148" s="116"/>
      <c r="I148" s="302"/>
    </row>
    <row r="149" spans="1:9" hidden="1">
      <c r="A149" s="304" t="s">
        <v>44</v>
      </c>
      <c r="B149" s="304"/>
      <c r="C149" s="304"/>
      <c r="D149" s="304"/>
      <c r="E149" s="304"/>
      <c r="F149" s="306" t="s">
        <v>46</v>
      </c>
      <c r="G149" s="307">
        <f>G150+G176+G193+G201</f>
        <v>8456649</v>
      </c>
      <c r="H149" s="116"/>
      <c r="I149" s="302"/>
    </row>
    <row r="150" spans="1:9" ht="25.5" hidden="1">
      <c r="A150" s="304"/>
      <c r="B150" s="304" t="s">
        <v>31</v>
      </c>
      <c r="C150" s="304"/>
      <c r="D150" s="304"/>
      <c r="E150" s="304"/>
      <c r="F150" s="306" t="s">
        <v>47</v>
      </c>
      <c r="G150" s="307">
        <f>G151+G156+G163+G171+G168</f>
        <v>6311245</v>
      </c>
      <c r="H150" s="116"/>
      <c r="I150" s="302"/>
    </row>
    <row r="151" spans="1:9" hidden="1">
      <c r="A151" s="304"/>
      <c r="B151" s="304"/>
      <c r="C151" s="304" t="s">
        <v>171</v>
      </c>
      <c r="D151" s="304"/>
      <c r="E151" s="304"/>
      <c r="F151" s="306" t="s">
        <v>165</v>
      </c>
      <c r="G151" s="307">
        <f>G152+G154</f>
        <v>204606</v>
      </c>
      <c r="H151" s="116"/>
      <c r="I151" s="302"/>
    </row>
    <row r="152" spans="1:9" ht="25.5" hidden="1">
      <c r="A152" s="304"/>
      <c r="B152" s="304"/>
      <c r="C152" s="304"/>
      <c r="D152" s="304" t="s">
        <v>48</v>
      </c>
      <c r="E152" s="298"/>
      <c r="F152" s="306" t="s">
        <v>170</v>
      </c>
      <c r="G152" s="307">
        <f t="shared" ref="G152" si="19">SUM(G153:G153)</f>
        <v>189910</v>
      </c>
      <c r="H152" s="116"/>
      <c r="I152" s="302"/>
    </row>
    <row r="153" spans="1:9" hidden="1">
      <c r="A153" s="304"/>
      <c r="B153" s="304"/>
      <c r="C153" s="304"/>
      <c r="D153" s="304"/>
      <c r="E153" s="308" t="s">
        <v>113</v>
      </c>
      <c r="F153" s="309" t="s">
        <v>8</v>
      </c>
      <c r="G153" s="307">
        <f>185514+4396</f>
        <v>189910</v>
      </c>
      <c r="H153" s="116"/>
      <c r="I153" s="302"/>
    </row>
    <row r="154" spans="1:9" hidden="1">
      <c r="A154" s="304"/>
      <c r="B154" s="304"/>
      <c r="C154" s="304"/>
      <c r="D154" s="304" t="s">
        <v>49</v>
      </c>
      <c r="E154" s="304"/>
      <c r="F154" s="306" t="s">
        <v>45</v>
      </c>
      <c r="G154" s="307">
        <f t="shared" ref="G154" si="20">SUM(G155:G155)</f>
        <v>14696</v>
      </c>
      <c r="H154" s="116"/>
      <c r="I154" s="302"/>
    </row>
    <row r="155" spans="1:9" hidden="1">
      <c r="A155" s="304"/>
      <c r="B155" s="304"/>
      <c r="C155" s="304"/>
      <c r="D155" s="304"/>
      <c r="E155" s="308" t="s">
        <v>113</v>
      </c>
      <c r="F155" s="309" t="s">
        <v>8</v>
      </c>
      <c r="G155" s="307">
        <v>14696</v>
      </c>
      <c r="H155" s="116"/>
      <c r="I155" s="302"/>
    </row>
    <row r="156" spans="1:9" hidden="1">
      <c r="A156" s="304"/>
      <c r="B156" s="304"/>
      <c r="C156" s="304" t="s">
        <v>172</v>
      </c>
      <c r="D156" s="304"/>
      <c r="E156" s="304"/>
      <c r="F156" s="306" t="s">
        <v>166</v>
      </c>
      <c r="G156" s="310">
        <f t="shared" ref="G156" si="21">G157+G159+G161</f>
        <v>2814884</v>
      </c>
      <c r="H156" s="116"/>
      <c r="I156" s="302"/>
    </row>
    <row r="157" spans="1:9" ht="25.5" hidden="1">
      <c r="A157" s="304"/>
      <c r="B157" s="304"/>
      <c r="C157" s="304"/>
      <c r="D157" s="304" t="s">
        <v>48</v>
      </c>
      <c r="E157" s="304"/>
      <c r="F157" s="306" t="s">
        <v>173</v>
      </c>
      <c r="G157" s="307">
        <f t="shared" ref="G157" si="22">SUM(G158:G158)</f>
        <v>2783314</v>
      </c>
      <c r="H157" s="116"/>
      <c r="I157" s="302"/>
    </row>
    <row r="158" spans="1:9" hidden="1">
      <c r="A158" s="304"/>
      <c r="B158" s="304"/>
      <c r="C158" s="308"/>
      <c r="D158" s="308"/>
      <c r="E158" s="308" t="s">
        <v>113</v>
      </c>
      <c r="F158" s="309" t="s">
        <v>8</v>
      </c>
      <c r="G158" s="307">
        <f>2427442+83182+32462+15540-4696-14980+156036+3244+85084</f>
        <v>2783314</v>
      </c>
      <c r="H158" s="116"/>
      <c r="I158" s="302"/>
    </row>
    <row r="159" spans="1:9" hidden="1">
      <c r="A159" s="304"/>
      <c r="B159" s="304"/>
      <c r="C159" s="308"/>
      <c r="D159" s="304" t="s">
        <v>49</v>
      </c>
      <c r="E159" s="304"/>
      <c r="F159" s="311" t="s">
        <v>174</v>
      </c>
      <c r="G159" s="307">
        <f t="shared" ref="G159" si="23">G160</f>
        <v>10320</v>
      </c>
      <c r="H159" s="116"/>
      <c r="I159" s="302"/>
    </row>
    <row r="160" spans="1:9" hidden="1">
      <c r="A160" s="304"/>
      <c r="B160" s="304"/>
      <c r="C160" s="308"/>
      <c r="D160" s="304"/>
      <c r="E160" s="308" t="s">
        <v>113</v>
      </c>
      <c r="F160" s="309" t="s">
        <v>8</v>
      </c>
      <c r="G160" s="307">
        <v>10320</v>
      </c>
      <c r="H160" s="116"/>
      <c r="I160" s="302"/>
    </row>
    <row r="161" spans="1:9" ht="25.5" hidden="1">
      <c r="A161" s="304"/>
      <c r="B161" s="304"/>
      <c r="C161" s="308"/>
      <c r="D161" s="304" t="s">
        <v>215</v>
      </c>
      <c r="E161" s="308"/>
      <c r="F161" s="309" t="s">
        <v>89</v>
      </c>
      <c r="G161" s="307">
        <f>G162</f>
        <v>21250</v>
      </c>
      <c r="H161" s="116"/>
      <c r="I161" s="302"/>
    </row>
    <row r="162" spans="1:9" hidden="1">
      <c r="A162" s="304"/>
      <c r="B162" s="304"/>
      <c r="C162" s="308"/>
      <c r="D162" s="304"/>
      <c r="E162" s="308" t="s">
        <v>113</v>
      </c>
      <c r="F162" s="309" t="s">
        <v>8</v>
      </c>
      <c r="G162" s="307">
        <v>21250</v>
      </c>
      <c r="H162" s="116"/>
      <c r="I162" s="302"/>
    </row>
    <row r="163" spans="1:9" hidden="1">
      <c r="A163" s="304"/>
      <c r="B163" s="304"/>
      <c r="C163" s="308" t="s">
        <v>175</v>
      </c>
      <c r="D163" s="304"/>
      <c r="E163" s="304"/>
      <c r="F163" s="306" t="s">
        <v>429</v>
      </c>
      <c r="G163" s="307">
        <f>G164+G166</f>
        <v>2680597</v>
      </c>
      <c r="H163" s="116"/>
      <c r="I163" s="302"/>
    </row>
    <row r="164" spans="1:9" hidden="1">
      <c r="A164" s="304"/>
      <c r="B164" s="304"/>
      <c r="C164" s="308"/>
      <c r="D164" s="304" t="s">
        <v>48</v>
      </c>
      <c r="E164" s="304"/>
      <c r="F164" s="306" t="s">
        <v>434</v>
      </c>
      <c r="G164" s="307">
        <f t="shared" ref="G164" si="24">SUM(G165:G165)</f>
        <v>2618849</v>
      </c>
      <c r="H164" s="116"/>
      <c r="I164" s="302"/>
    </row>
    <row r="165" spans="1:9" hidden="1">
      <c r="A165" s="304"/>
      <c r="B165" s="304"/>
      <c r="C165" s="308"/>
      <c r="D165" s="304"/>
      <c r="E165" s="308" t="s">
        <v>113</v>
      </c>
      <c r="F165" s="309" t="s">
        <v>8</v>
      </c>
      <c r="G165" s="307">
        <f>2291512+89240+20298+121498+28095-10736+87408-17955+9489</f>
        <v>2618849</v>
      </c>
      <c r="H165" s="116"/>
      <c r="I165" s="302"/>
    </row>
    <row r="166" spans="1:9" hidden="1">
      <c r="A166" s="304"/>
      <c r="B166" s="304"/>
      <c r="C166" s="308"/>
      <c r="D166" s="304" t="s">
        <v>114</v>
      </c>
      <c r="E166" s="304"/>
      <c r="F166" s="306" t="s">
        <v>45</v>
      </c>
      <c r="G166" s="307">
        <f t="shared" ref="G166" si="25">G167</f>
        <v>61748</v>
      </c>
      <c r="H166" s="116"/>
      <c r="I166" s="302"/>
    </row>
    <row r="167" spans="1:9" hidden="1">
      <c r="A167" s="304"/>
      <c r="B167" s="304"/>
      <c r="C167" s="308"/>
      <c r="D167" s="304"/>
      <c r="E167" s="308" t="s">
        <v>113</v>
      </c>
      <c r="F167" s="309" t="s">
        <v>8</v>
      </c>
      <c r="G167" s="307">
        <f>9780+36411+3807+11750</f>
        <v>61748</v>
      </c>
      <c r="H167" s="116"/>
      <c r="I167" s="302"/>
    </row>
    <row r="168" spans="1:9" ht="25.5" hidden="1">
      <c r="A168" s="304"/>
      <c r="B168" s="304"/>
      <c r="C168" s="308" t="s">
        <v>582</v>
      </c>
      <c r="D168" s="304"/>
      <c r="E168" s="308"/>
      <c r="F168" s="309" t="s">
        <v>583</v>
      </c>
      <c r="G168" s="307">
        <f>G169</f>
        <v>236335</v>
      </c>
      <c r="H168" s="116"/>
      <c r="I168" s="302"/>
    </row>
    <row r="169" spans="1:9" ht="25.5" hidden="1">
      <c r="A169" s="304"/>
      <c r="B169" s="304"/>
      <c r="C169" s="308"/>
      <c r="D169" s="304" t="s">
        <v>195</v>
      </c>
      <c r="E169" s="308"/>
      <c r="F169" s="309" t="s">
        <v>329</v>
      </c>
      <c r="G169" s="307">
        <f>G170</f>
        <v>236335</v>
      </c>
      <c r="H169" s="116"/>
      <c r="I169" s="302"/>
    </row>
    <row r="170" spans="1:9" hidden="1">
      <c r="A170" s="304"/>
      <c r="B170" s="304"/>
      <c r="C170" s="308"/>
      <c r="D170" s="304"/>
      <c r="E170" s="308" t="s">
        <v>113</v>
      </c>
      <c r="F170" s="309" t="s">
        <v>8</v>
      </c>
      <c r="G170" s="307">
        <v>236335</v>
      </c>
      <c r="H170" s="116"/>
      <c r="I170" s="302"/>
    </row>
    <row r="171" spans="1:9" hidden="1">
      <c r="A171" s="304"/>
      <c r="B171" s="304"/>
      <c r="C171" s="308" t="s">
        <v>178</v>
      </c>
      <c r="D171" s="304"/>
      <c r="E171" s="304"/>
      <c r="F171" s="306" t="s">
        <v>176</v>
      </c>
      <c r="G171" s="307">
        <f t="shared" ref="G171" si="26">G172+G174</f>
        <v>374823</v>
      </c>
      <c r="H171" s="116"/>
      <c r="I171" s="302"/>
    </row>
    <row r="172" spans="1:9" ht="25.5" hidden="1">
      <c r="A172" s="304"/>
      <c r="B172" s="304"/>
      <c r="C172" s="308"/>
      <c r="D172" s="304" t="s">
        <v>48</v>
      </c>
      <c r="E172" s="304"/>
      <c r="F172" s="306" t="s">
        <v>177</v>
      </c>
      <c r="G172" s="307">
        <f t="shared" ref="G172" si="27">SUM(G173:G173)</f>
        <v>351323</v>
      </c>
      <c r="H172" s="116"/>
      <c r="I172" s="302"/>
    </row>
    <row r="173" spans="1:9" hidden="1">
      <c r="A173" s="304"/>
      <c r="B173" s="304"/>
      <c r="C173" s="308"/>
      <c r="D173" s="304"/>
      <c r="E173" s="308" t="s">
        <v>113</v>
      </c>
      <c r="F173" s="309" t="s">
        <v>8</v>
      </c>
      <c r="G173" s="307">
        <v>351323</v>
      </c>
      <c r="H173" s="116"/>
      <c r="I173" s="302"/>
    </row>
    <row r="174" spans="1:9" hidden="1">
      <c r="A174" s="304"/>
      <c r="B174" s="304"/>
      <c r="C174" s="308"/>
      <c r="D174" s="304" t="s">
        <v>49</v>
      </c>
      <c r="E174" s="304"/>
      <c r="F174" s="306" t="s">
        <v>126</v>
      </c>
      <c r="G174" s="307">
        <f t="shared" ref="G174" si="28">SUM(G175:G175)</f>
        <v>23500</v>
      </c>
      <c r="H174" s="116"/>
      <c r="I174" s="302"/>
    </row>
    <row r="175" spans="1:9" hidden="1">
      <c r="A175" s="304"/>
      <c r="B175" s="304"/>
      <c r="C175" s="308"/>
      <c r="D175" s="304"/>
      <c r="E175" s="308" t="s">
        <v>113</v>
      </c>
      <c r="F175" s="309" t="s">
        <v>8</v>
      </c>
      <c r="G175" s="307">
        <v>23500</v>
      </c>
      <c r="H175" s="116"/>
      <c r="I175" s="302"/>
    </row>
    <row r="176" spans="1:9" hidden="1">
      <c r="A176" s="304"/>
      <c r="B176" s="304" t="s">
        <v>32</v>
      </c>
      <c r="C176" s="304"/>
      <c r="D176" s="304"/>
      <c r="E176" s="302"/>
      <c r="F176" s="306" t="s">
        <v>179</v>
      </c>
      <c r="G176" s="307">
        <f t="shared" ref="G176" si="29">G177+G188</f>
        <v>653747</v>
      </c>
      <c r="H176" s="116"/>
      <c r="I176" s="302"/>
    </row>
    <row r="177" spans="1:9" hidden="1">
      <c r="A177" s="304"/>
      <c r="B177" s="304"/>
      <c r="C177" s="304" t="s">
        <v>182</v>
      </c>
      <c r="D177" s="302"/>
      <c r="E177" s="302"/>
      <c r="F177" s="306" t="s">
        <v>180</v>
      </c>
      <c r="G177" s="312">
        <f>G178+G180+G184+G186+G182</f>
        <v>385137</v>
      </c>
      <c r="H177" s="116"/>
      <c r="I177" s="302"/>
    </row>
    <row r="178" spans="1:9" ht="38.25" hidden="1">
      <c r="A178" s="304"/>
      <c r="B178" s="304"/>
      <c r="C178" s="304"/>
      <c r="D178" s="304" t="s">
        <v>48</v>
      </c>
      <c r="E178" s="304"/>
      <c r="F178" s="306" t="s">
        <v>548</v>
      </c>
      <c r="G178" s="307">
        <f t="shared" ref="G178" si="30">SUM(G179:G179)</f>
        <v>318948</v>
      </c>
      <c r="H178" s="116"/>
      <c r="I178" s="302"/>
    </row>
    <row r="179" spans="1:9" hidden="1">
      <c r="A179" s="304"/>
      <c r="B179" s="304"/>
      <c r="C179" s="308"/>
      <c r="D179" s="308"/>
      <c r="E179" s="308" t="s">
        <v>113</v>
      </c>
      <c r="F179" s="309" t="s">
        <v>8</v>
      </c>
      <c r="G179" s="307">
        <f>307148+8979+2821</f>
        <v>318948</v>
      </c>
      <c r="H179" s="116"/>
      <c r="I179" s="302"/>
    </row>
    <row r="180" spans="1:9" hidden="1">
      <c r="A180" s="304"/>
      <c r="B180" s="304"/>
      <c r="C180" s="308"/>
      <c r="D180" s="308" t="s">
        <v>49</v>
      </c>
      <c r="E180" s="308"/>
      <c r="F180" s="309" t="s">
        <v>181</v>
      </c>
      <c r="G180" s="307">
        <f t="shared" ref="G180" si="31">G181</f>
        <v>39725</v>
      </c>
      <c r="H180" s="116"/>
      <c r="I180" s="302"/>
    </row>
    <row r="181" spans="1:9" hidden="1">
      <c r="A181" s="304"/>
      <c r="B181" s="304"/>
      <c r="C181" s="308"/>
      <c r="D181" s="308"/>
      <c r="E181" s="308" t="s">
        <v>113</v>
      </c>
      <c r="F181" s="309" t="s">
        <v>8</v>
      </c>
      <c r="G181" s="307">
        <f>38447+1278</f>
        <v>39725</v>
      </c>
      <c r="H181" s="116"/>
      <c r="I181" s="302"/>
    </row>
    <row r="182" spans="1:9" ht="25.5" hidden="1">
      <c r="A182" s="304"/>
      <c r="B182" s="304"/>
      <c r="C182" s="308"/>
      <c r="D182" s="308" t="s">
        <v>112</v>
      </c>
      <c r="E182" s="308"/>
      <c r="F182" s="309" t="s">
        <v>547</v>
      </c>
      <c r="G182" s="307">
        <f>G183</f>
        <v>24400</v>
      </c>
      <c r="H182" s="116"/>
      <c r="I182" s="302"/>
    </row>
    <row r="183" spans="1:9" hidden="1">
      <c r="A183" s="304"/>
      <c r="B183" s="304"/>
      <c r="C183" s="308"/>
      <c r="D183" s="308"/>
      <c r="E183" s="308" t="s">
        <v>113</v>
      </c>
      <c r="F183" s="309" t="s">
        <v>8</v>
      </c>
      <c r="G183" s="307">
        <v>24400</v>
      </c>
      <c r="H183" s="116"/>
      <c r="I183" s="302"/>
    </row>
    <row r="184" spans="1:9" hidden="1">
      <c r="A184" s="304"/>
      <c r="B184" s="304"/>
      <c r="C184" s="308"/>
      <c r="D184" s="308" t="s">
        <v>116</v>
      </c>
      <c r="E184" s="308"/>
      <c r="F184" s="306" t="s">
        <v>126</v>
      </c>
      <c r="G184" s="307">
        <f t="shared" ref="G184" si="32">G185</f>
        <v>2064</v>
      </c>
      <c r="H184" s="116"/>
      <c r="I184" s="302"/>
    </row>
    <row r="185" spans="1:9" hidden="1">
      <c r="A185" s="304"/>
      <c r="B185" s="304"/>
      <c r="C185" s="308"/>
      <c r="D185" s="308"/>
      <c r="E185" s="308" t="s">
        <v>113</v>
      </c>
      <c r="F185" s="309" t="s">
        <v>8</v>
      </c>
      <c r="G185" s="307">
        <v>2064</v>
      </c>
      <c r="H185" s="116"/>
      <c r="I185" s="302"/>
    </row>
    <row r="186" spans="1:9" hidden="1">
      <c r="A186" s="304"/>
      <c r="B186" s="304"/>
      <c r="C186" s="308"/>
      <c r="D186" s="308" t="s">
        <v>232</v>
      </c>
      <c r="E186" s="308"/>
      <c r="F186" s="309" t="s">
        <v>545</v>
      </c>
      <c r="G186" s="307">
        <f>G187</f>
        <v>0</v>
      </c>
      <c r="H186" s="116"/>
      <c r="I186" s="302"/>
    </row>
    <row r="187" spans="1:9" hidden="1">
      <c r="A187" s="304"/>
      <c r="B187" s="304"/>
      <c r="C187" s="308"/>
      <c r="D187" s="308"/>
      <c r="E187" s="308" t="s">
        <v>113</v>
      </c>
      <c r="F187" s="309" t="s">
        <v>8</v>
      </c>
      <c r="G187" s="307"/>
      <c r="H187" s="116"/>
      <c r="I187" s="302"/>
    </row>
    <row r="188" spans="1:9" ht="25.5" hidden="1">
      <c r="A188" s="304"/>
      <c r="B188" s="304"/>
      <c r="C188" s="308" t="s">
        <v>400</v>
      </c>
      <c r="D188" s="308"/>
      <c r="E188" s="308"/>
      <c r="F188" s="306" t="s">
        <v>401</v>
      </c>
      <c r="G188" s="307">
        <f t="shared" ref="G188" si="33">G189+G191</f>
        <v>268610</v>
      </c>
      <c r="H188" s="116"/>
      <c r="I188" s="302"/>
    </row>
    <row r="189" spans="1:9" ht="25.5" hidden="1">
      <c r="A189" s="304"/>
      <c r="B189" s="304"/>
      <c r="C189" s="308"/>
      <c r="D189" s="308" t="s">
        <v>48</v>
      </c>
      <c r="E189" s="308"/>
      <c r="F189" s="306" t="s">
        <v>402</v>
      </c>
      <c r="G189" s="307">
        <f t="shared" ref="G189" si="34">SUM(G190:G190)</f>
        <v>268610</v>
      </c>
      <c r="H189" s="116"/>
      <c r="I189" s="302"/>
    </row>
    <row r="190" spans="1:9" hidden="1">
      <c r="A190" s="304"/>
      <c r="B190" s="304"/>
      <c r="C190" s="308"/>
      <c r="D190" s="308"/>
      <c r="E190" s="308" t="s">
        <v>113</v>
      </c>
      <c r="F190" s="309" t="s">
        <v>8</v>
      </c>
      <c r="G190" s="307">
        <v>268610</v>
      </c>
      <c r="H190" s="116"/>
      <c r="I190" s="302"/>
    </row>
    <row r="191" spans="1:9" hidden="1">
      <c r="A191" s="304"/>
      <c r="B191" s="304"/>
      <c r="C191" s="308"/>
      <c r="D191" s="308" t="s">
        <v>218</v>
      </c>
      <c r="E191" s="308"/>
      <c r="F191" s="306" t="s">
        <v>45</v>
      </c>
      <c r="G191" s="307">
        <f t="shared" ref="G191" si="35">G192</f>
        <v>0</v>
      </c>
      <c r="H191" s="116"/>
      <c r="I191" s="302"/>
    </row>
    <row r="192" spans="1:9" hidden="1">
      <c r="A192" s="304"/>
      <c r="B192" s="304"/>
      <c r="C192" s="308"/>
      <c r="D192" s="308"/>
      <c r="E192" s="308" t="s">
        <v>113</v>
      </c>
      <c r="F192" s="309" t="s">
        <v>8</v>
      </c>
      <c r="G192" s="307"/>
      <c r="H192" s="116"/>
      <c r="I192" s="302"/>
    </row>
    <row r="193" spans="1:9" hidden="1">
      <c r="A193" s="304"/>
      <c r="B193" s="304" t="s">
        <v>35</v>
      </c>
      <c r="C193" s="304"/>
      <c r="D193" s="304"/>
      <c r="E193" s="304"/>
      <c r="F193" s="306" t="s">
        <v>50</v>
      </c>
      <c r="G193" s="307">
        <f t="shared" ref="G193" si="36">G194</f>
        <v>507021</v>
      </c>
      <c r="H193" s="116"/>
      <c r="I193" s="302"/>
    </row>
    <row r="194" spans="1:9" ht="25.5" hidden="1">
      <c r="A194" s="298"/>
      <c r="B194" s="304"/>
      <c r="C194" s="304" t="s">
        <v>204</v>
      </c>
      <c r="D194" s="304"/>
      <c r="E194" s="304"/>
      <c r="F194" s="306" t="s">
        <v>183</v>
      </c>
      <c r="G194" s="307">
        <f t="shared" ref="G194" si="37">G195+G197+G199</f>
        <v>507021</v>
      </c>
      <c r="H194" s="116"/>
      <c r="I194" s="302"/>
    </row>
    <row r="195" spans="1:9" ht="38.25" hidden="1">
      <c r="A195" s="304"/>
      <c r="B195" s="304"/>
      <c r="C195" s="304"/>
      <c r="D195" s="304" t="s">
        <v>48</v>
      </c>
      <c r="E195" s="304"/>
      <c r="F195" s="306" t="s">
        <v>184</v>
      </c>
      <c r="G195" s="307">
        <f t="shared" ref="G195" si="38">SUM(G196:G196)</f>
        <v>498021</v>
      </c>
      <c r="H195" s="116"/>
      <c r="I195" s="302"/>
    </row>
    <row r="196" spans="1:9" hidden="1">
      <c r="A196" s="304"/>
      <c r="B196" s="304"/>
      <c r="C196" s="304"/>
      <c r="D196" s="304"/>
      <c r="E196" s="308" t="s">
        <v>113</v>
      </c>
      <c r="F196" s="306" t="s">
        <v>8</v>
      </c>
      <c r="G196" s="307">
        <v>498021</v>
      </c>
      <c r="H196" s="116"/>
      <c r="I196" s="302"/>
    </row>
    <row r="197" spans="1:9" hidden="1">
      <c r="A197" s="304"/>
      <c r="B197" s="304"/>
      <c r="C197" s="304"/>
      <c r="D197" s="304" t="s">
        <v>185</v>
      </c>
      <c r="E197" s="304"/>
      <c r="F197" s="306" t="s">
        <v>126</v>
      </c>
      <c r="G197" s="307">
        <f t="shared" ref="G197" si="39">G198</f>
        <v>0</v>
      </c>
      <c r="H197" s="116"/>
      <c r="I197" s="302"/>
    </row>
    <row r="198" spans="1:9" hidden="1">
      <c r="A198" s="304"/>
      <c r="B198" s="304"/>
      <c r="C198" s="304"/>
      <c r="D198" s="304"/>
      <c r="E198" s="308" t="s">
        <v>113</v>
      </c>
      <c r="F198" s="306" t="s">
        <v>8</v>
      </c>
      <c r="G198" s="307"/>
      <c r="H198" s="116"/>
      <c r="I198" s="302"/>
    </row>
    <row r="199" spans="1:9" ht="38.25" hidden="1">
      <c r="A199" s="304"/>
      <c r="B199" s="304"/>
      <c r="C199" s="304"/>
      <c r="D199" s="304" t="s">
        <v>186</v>
      </c>
      <c r="E199" s="308"/>
      <c r="F199" s="306" t="s">
        <v>463</v>
      </c>
      <c r="G199" s="307">
        <f t="shared" ref="G199" si="40">G200</f>
        <v>9000</v>
      </c>
      <c r="H199" s="116"/>
      <c r="I199" s="302"/>
    </row>
    <row r="200" spans="1:9" hidden="1">
      <c r="A200" s="304"/>
      <c r="B200" s="304"/>
      <c r="C200" s="304"/>
      <c r="D200" s="304"/>
      <c r="E200" s="308" t="s">
        <v>113</v>
      </c>
      <c r="F200" s="306" t="s">
        <v>8</v>
      </c>
      <c r="G200" s="307">
        <v>9000</v>
      </c>
      <c r="H200" s="116"/>
      <c r="I200" s="302"/>
    </row>
    <row r="201" spans="1:9" hidden="1">
      <c r="A201" s="304"/>
      <c r="B201" s="304" t="s">
        <v>36</v>
      </c>
      <c r="C201" s="304"/>
      <c r="D201" s="304"/>
      <c r="E201" s="304"/>
      <c r="F201" s="306" t="s">
        <v>326</v>
      </c>
      <c r="G201" s="307">
        <f>G216+G202+G207</f>
        <v>984636</v>
      </c>
      <c r="H201" s="116"/>
      <c r="I201" s="302"/>
    </row>
    <row r="202" spans="1:9" ht="25.5" hidden="1">
      <c r="A202" s="304"/>
      <c r="B202" s="304"/>
      <c r="C202" s="304" t="s">
        <v>439</v>
      </c>
      <c r="D202" s="304"/>
      <c r="E202" s="304"/>
      <c r="F202" s="306" t="s">
        <v>438</v>
      </c>
      <c r="G202" s="307">
        <f t="shared" ref="G202" si="41">G203+G205</f>
        <v>229610</v>
      </c>
      <c r="H202" s="116"/>
      <c r="I202" s="302"/>
    </row>
    <row r="203" spans="1:9" ht="38.25" hidden="1">
      <c r="A203" s="304"/>
      <c r="B203" s="304"/>
      <c r="C203" s="304"/>
      <c r="D203" s="304" t="s">
        <v>48</v>
      </c>
      <c r="E203" s="304"/>
      <c r="F203" s="306" t="s">
        <v>549</v>
      </c>
      <c r="G203" s="307">
        <f t="shared" ref="G203" si="42">SUM(G204:G204)</f>
        <v>229610</v>
      </c>
      <c r="H203" s="116"/>
      <c r="I203" s="302"/>
    </row>
    <row r="204" spans="1:9" hidden="1">
      <c r="A204" s="304"/>
      <c r="B204" s="304"/>
      <c r="C204" s="304"/>
      <c r="D204" s="304"/>
      <c r="E204" s="308" t="s">
        <v>113</v>
      </c>
      <c r="F204" s="306" t="s">
        <v>8</v>
      </c>
      <c r="G204" s="307">
        <f>462204+515-11579-221530</f>
        <v>229610</v>
      </c>
      <c r="H204" s="116"/>
      <c r="I204" s="302"/>
    </row>
    <row r="205" spans="1:9" hidden="1">
      <c r="A205" s="304"/>
      <c r="B205" s="304"/>
      <c r="C205" s="304"/>
      <c r="D205" s="304" t="s">
        <v>49</v>
      </c>
      <c r="E205" s="304"/>
      <c r="F205" s="306" t="s">
        <v>126</v>
      </c>
      <c r="G205" s="307">
        <f t="shared" ref="G205" si="43">G206</f>
        <v>0</v>
      </c>
      <c r="H205" s="116"/>
      <c r="I205" s="302"/>
    </row>
    <row r="206" spans="1:9" hidden="1">
      <c r="A206" s="304"/>
      <c r="B206" s="304"/>
      <c r="C206" s="304"/>
      <c r="D206" s="304"/>
      <c r="E206" s="308" t="s">
        <v>113</v>
      </c>
      <c r="F206" s="306" t="s">
        <v>8</v>
      </c>
      <c r="G206" s="307"/>
      <c r="H206" s="116"/>
      <c r="I206" s="302"/>
    </row>
    <row r="207" spans="1:9" ht="25.5" hidden="1">
      <c r="A207" s="304"/>
      <c r="B207" s="304"/>
      <c r="C207" s="304" t="s">
        <v>444</v>
      </c>
      <c r="D207" s="304"/>
      <c r="E207" s="308"/>
      <c r="F207" s="306" t="s">
        <v>445</v>
      </c>
      <c r="G207" s="307">
        <f>G208+G210+G214+G212</f>
        <v>548450</v>
      </c>
      <c r="H207" s="116"/>
      <c r="I207" s="302"/>
    </row>
    <row r="208" spans="1:9" ht="25.5" hidden="1">
      <c r="A208" s="304"/>
      <c r="B208" s="304"/>
      <c r="C208" s="304"/>
      <c r="D208" s="304" t="s">
        <v>48</v>
      </c>
      <c r="E208" s="308"/>
      <c r="F208" s="306" t="s">
        <v>451</v>
      </c>
      <c r="G208" s="307">
        <f t="shared" ref="G208" si="44">SUM(G209:G209)</f>
        <v>348917</v>
      </c>
      <c r="H208" s="116"/>
      <c r="I208" s="302"/>
    </row>
    <row r="209" spans="1:9" hidden="1">
      <c r="A209" s="304"/>
      <c r="B209" s="304"/>
      <c r="C209" s="304"/>
      <c r="D209" s="304"/>
      <c r="E209" s="308" t="s">
        <v>113</v>
      </c>
      <c r="F209" s="306" t="s">
        <v>8</v>
      </c>
      <c r="G209" s="307">
        <f>186535+140964+515+8468+12435</f>
        <v>348917</v>
      </c>
      <c r="H209" s="116"/>
      <c r="I209" s="302"/>
    </row>
    <row r="210" spans="1:9" hidden="1">
      <c r="A210" s="304"/>
      <c r="B210" s="304"/>
      <c r="C210" s="304"/>
      <c r="D210" s="304" t="s">
        <v>49</v>
      </c>
      <c r="E210" s="308"/>
      <c r="F210" s="306" t="s">
        <v>45</v>
      </c>
      <c r="G210" s="307">
        <f t="shared" ref="G210" si="45">G211</f>
        <v>6025</v>
      </c>
      <c r="H210" s="116"/>
      <c r="I210" s="302"/>
    </row>
    <row r="211" spans="1:9" hidden="1">
      <c r="A211" s="304"/>
      <c r="B211" s="304"/>
      <c r="C211" s="304"/>
      <c r="D211" s="304"/>
      <c r="E211" s="308" t="s">
        <v>113</v>
      </c>
      <c r="F211" s="306" t="s">
        <v>8</v>
      </c>
      <c r="G211" s="307">
        <f>5245+780</f>
        <v>6025</v>
      </c>
      <c r="H211" s="116"/>
      <c r="I211" s="302"/>
    </row>
    <row r="212" spans="1:9" ht="25.5" hidden="1">
      <c r="A212" s="304"/>
      <c r="B212" s="304"/>
      <c r="C212" s="304"/>
      <c r="D212" s="304" t="s">
        <v>185</v>
      </c>
      <c r="E212" s="308"/>
      <c r="F212" s="306" t="s">
        <v>89</v>
      </c>
      <c r="G212" s="307">
        <f t="shared" ref="G212" si="46">G213</f>
        <v>3073</v>
      </c>
      <c r="H212" s="116"/>
      <c r="I212" s="302"/>
    </row>
    <row r="213" spans="1:9" hidden="1">
      <c r="A213" s="304"/>
      <c r="B213" s="304"/>
      <c r="C213" s="304"/>
      <c r="D213" s="304"/>
      <c r="E213" s="308" t="s">
        <v>113</v>
      </c>
      <c r="F213" s="306" t="s">
        <v>8</v>
      </c>
      <c r="G213" s="307">
        <v>3073</v>
      </c>
      <c r="H213" s="116"/>
      <c r="I213" s="302"/>
    </row>
    <row r="214" spans="1:9" hidden="1">
      <c r="A214" s="304"/>
      <c r="B214" s="304"/>
      <c r="C214" s="304"/>
      <c r="D214" s="304" t="s">
        <v>214</v>
      </c>
      <c r="E214" s="308"/>
      <c r="F214" s="306" t="s">
        <v>372</v>
      </c>
      <c r="G214" s="307">
        <f t="shared" ref="G214" si="47">SUM(G215:G215)</f>
        <v>190435</v>
      </c>
      <c r="H214" s="116"/>
      <c r="I214" s="302"/>
    </row>
    <row r="215" spans="1:9" hidden="1">
      <c r="A215" s="304"/>
      <c r="B215" s="304"/>
      <c r="C215" s="304"/>
      <c r="D215" s="304"/>
      <c r="E215" s="308" t="s">
        <v>113</v>
      </c>
      <c r="F215" s="306" t="s">
        <v>8</v>
      </c>
      <c r="G215" s="307">
        <f>184498+5937</f>
        <v>190435</v>
      </c>
      <c r="H215" s="116"/>
      <c r="I215" s="302"/>
    </row>
    <row r="216" spans="1:9" ht="25.5" hidden="1">
      <c r="A216" s="304"/>
      <c r="B216" s="304"/>
      <c r="C216" s="304">
        <v>373</v>
      </c>
      <c r="D216" s="304"/>
      <c r="E216" s="313"/>
      <c r="F216" s="313" t="s">
        <v>288</v>
      </c>
      <c r="G216" s="307">
        <f t="shared" ref="G216:G217" si="48">G217</f>
        <v>206576</v>
      </c>
      <c r="H216" s="116"/>
      <c r="I216" s="302"/>
    </row>
    <row r="217" spans="1:9" hidden="1">
      <c r="A217" s="304"/>
      <c r="B217" s="304"/>
      <c r="C217" s="304"/>
      <c r="D217" s="304" t="s">
        <v>186</v>
      </c>
      <c r="E217" s="304"/>
      <c r="F217" s="306" t="s">
        <v>327</v>
      </c>
      <c r="G217" s="307">
        <f t="shared" si="48"/>
        <v>206576</v>
      </c>
      <c r="H217" s="116"/>
      <c r="I217" s="302"/>
    </row>
    <row r="218" spans="1:9" hidden="1">
      <c r="A218" s="304"/>
      <c r="B218" s="304"/>
      <c r="C218" s="304"/>
      <c r="D218" s="304"/>
      <c r="E218" s="308" t="s">
        <v>113</v>
      </c>
      <c r="F218" s="306" t="s">
        <v>8</v>
      </c>
      <c r="G218" s="307">
        <f>6476+200100</f>
        <v>206576</v>
      </c>
      <c r="H218" s="116"/>
      <c r="I218" s="302"/>
    </row>
    <row r="219" spans="1:9" hidden="1">
      <c r="A219" s="304" t="s">
        <v>51</v>
      </c>
      <c r="B219" s="304"/>
      <c r="C219" s="304"/>
      <c r="D219" s="304"/>
      <c r="E219" s="304"/>
      <c r="F219" s="306" t="s">
        <v>52</v>
      </c>
      <c r="G219" s="307">
        <f>G220+G228</f>
        <v>6155092</v>
      </c>
      <c r="H219" s="116"/>
      <c r="I219" s="302"/>
    </row>
    <row r="220" spans="1:9" hidden="1">
      <c r="A220" s="304"/>
      <c r="B220" s="304" t="s">
        <v>31</v>
      </c>
      <c r="C220" s="304"/>
      <c r="D220" s="304"/>
      <c r="E220" s="304"/>
      <c r="F220" s="306" t="s">
        <v>53</v>
      </c>
      <c r="G220" s="307">
        <f>G221</f>
        <v>2547099</v>
      </c>
      <c r="H220" s="116"/>
      <c r="I220" s="302"/>
    </row>
    <row r="221" spans="1:9" ht="25.5" hidden="1">
      <c r="A221" s="304"/>
      <c r="B221" s="304"/>
      <c r="C221" s="304" t="s">
        <v>526</v>
      </c>
      <c r="D221" s="304"/>
      <c r="E221" s="308"/>
      <c r="F221" s="306" t="s">
        <v>596</v>
      </c>
      <c r="G221" s="307">
        <f>G222+G224+G226</f>
        <v>2547099</v>
      </c>
      <c r="H221" s="116"/>
      <c r="I221" s="302"/>
    </row>
    <row r="222" spans="1:9" hidden="1">
      <c r="A222" s="304"/>
      <c r="B222" s="304"/>
      <c r="C222" s="304"/>
      <c r="D222" s="304" t="s">
        <v>49</v>
      </c>
      <c r="E222" s="308"/>
      <c r="F222" s="306" t="s">
        <v>187</v>
      </c>
      <c r="G222" s="307">
        <f>G223</f>
        <v>875301</v>
      </c>
      <c r="H222" s="116"/>
      <c r="I222" s="302"/>
    </row>
    <row r="223" spans="1:9" hidden="1">
      <c r="A223" s="304"/>
      <c r="B223" s="304"/>
      <c r="C223" s="304"/>
      <c r="D223" s="304"/>
      <c r="E223" s="308" t="s">
        <v>113</v>
      </c>
      <c r="F223" s="306" t="s">
        <v>8</v>
      </c>
      <c r="G223" s="307">
        <f>899943-24642</f>
        <v>875301</v>
      </c>
      <c r="H223" s="116"/>
      <c r="I223" s="302"/>
    </row>
    <row r="224" spans="1:9" ht="25.5" hidden="1">
      <c r="A224" s="304"/>
      <c r="B224" s="304"/>
      <c r="C224" s="304"/>
      <c r="D224" s="304" t="s">
        <v>185</v>
      </c>
      <c r="E224" s="308"/>
      <c r="F224" s="306" t="s">
        <v>462</v>
      </c>
      <c r="G224" s="307">
        <f>G225</f>
        <v>802606</v>
      </c>
      <c r="H224" s="116"/>
      <c r="I224" s="302"/>
    </row>
    <row r="225" spans="1:9" hidden="1">
      <c r="A225" s="304"/>
      <c r="B225" s="304"/>
      <c r="C225" s="304"/>
      <c r="D225" s="304"/>
      <c r="E225" s="308" t="s">
        <v>113</v>
      </c>
      <c r="F225" s="306" t="s">
        <v>8</v>
      </c>
      <c r="G225" s="307">
        <v>802606</v>
      </c>
      <c r="H225" s="116"/>
      <c r="I225" s="302"/>
    </row>
    <row r="226" spans="1:9" ht="25.5" hidden="1">
      <c r="A226" s="304"/>
      <c r="B226" s="304"/>
      <c r="C226" s="304"/>
      <c r="D226" s="304" t="s">
        <v>214</v>
      </c>
      <c r="E226" s="308"/>
      <c r="F226" s="306" t="s">
        <v>452</v>
      </c>
      <c r="G226" s="307">
        <f>G227</f>
        <v>869192</v>
      </c>
      <c r="H226" s="116"/>
      <c r="I226" s="302"/>
    </row>
    <row r="227" spans="1:9" hidden="1">
      <c r="A227" s="304"/>
      <c r="B227" s="304"/>
      <c r="C227" s="304"/>
      <c r="D227" s="304"/>
      <c r="E227" s="308" t="s">
        <v>113</v>
      </c>
      <c r="F227" s="306" t="s">
        <v>8</v>
      </c>
      <c r="G227" s="307">
        <f>929662-60470</f>
        <v>869192</v>
      </c>
      <c r="H227" s="116"/>
      <c r="I227" s="302"/>
    </row>
    <row r="228" spans="1:9" hidden="1">
      <c r="A228" s="304"/>
      <c r="B228" s="304" t="s">
        <v>32</v>
      </c>
      <c r="C228" s="304"/>
      <c r="D228" s="304"/>
      <c r="E228" s="304"/>
      <c r="F228" s="306" t="s">
        <v>105</v>
      </c>
      <c r="G228" s="307">
        <f>G235+G232+G229+G240</f>
        <v>3607993</v>
      </c>
      <c r="H228" s="116"/>
      <c r="I228" s="302"/>
    </row>
    <row r="229" spans="1:9" ht="25.5" hidden="1">
      <c r="A229" s="304"/>
      <c r="B229" s="304"/>
      <c r="C229" s="304" t="s">
        <v>466</v>
      </c>
      <c r="D229" s="304"/>
      <c r="E229" s="308"/>
      <c r="F229" s="306" t="s">
        <v>465</v>
      </c>
      <c r="G229" s="307">
        <f t="shared" ref="G229:G230" si="49">G230</f>
        <v>0</v>
      </c>
      <c r="H229" s="116"/>
      <c r="I229" s="302"/>
    </row>
    <row r="230" spans="1:9" ht="25.5" hidden="1">
      <c r="A230" s="304"/>
      <c r="B230" s="304"/>
      <c r="C230" s="304"/>
      <c r="D230" s="304" t="s">
        <v>116</v>
      </c>
      <c r="E230" s="308"/>
      <c r="F230" s="306" t="s">
        <v>516</v>
      </c>
      <c r="G230" s="307">
        <f t="shared" si="49"/>
        <v>0</v>
      </c>
      <c r="H230" s="116"/>
      <c r="I230" s="302"/>
    </row>
    <row r="231" spans="1:9" hidden="1">
      <c r="A231" s="304"/>
      <c r="B231" s="304"/>
      <c r="C231" s="304"/>
      <c r="D231" s="304"/>
      <c r="E231" s="308" t="s">
        <v>113</v>
      </c>
      <c r="F231" s="306" t="s">
        <v>8</v>
      </c>
      <c r="G231" s="307">
        <f>500000-500000</f>
        <v>0</v>
      </c>
      <c r="H231" s="116"/>
      <c r="I231" s="302"/>
    </row>
    <row r="232" spans="1:9" ht="25.5" hidden="1">
      <c r="A232" s="304"/>
      <c r="B232" s="304"/>
      <c r="C232" s="313">
        <v>373</v>
      </c>
      <c r="D232" s="304"/>
      <c r="E232" s="313"/>
      <c r="F232" s="313" t="s">
        <v>288</v>
      </c>
      <c r="G232" s="307">
        <f t="shared" ref="G232" si="50">G233</f>
        <v>1104062</v>
      </c>
      <c r="H232" s="116"/>
      <c r="I232" s="302"/>
    </row>
    <row r="233" spans="1:9" ht="14.25" hidden="1" customHeight="1">
      <c r="A233" s="304"/>
      <c r="B233" s="304"/>
      <c r="C233" s="304"/>
      <c r="D233" s="304" t="s">
        <v>235</v>
      </c>
      <c r="E233" s="304"/>
      <c r="F233" s="306" t="s">
        <v>408</v>
      </c>
      <c r="G233" s="307">
        <f>SUM(G234:G234)</f>
        <v>1104062</v>
      </c>
      <c r="H233" s="116"/>
      <c r="I233" s="302"/>
    </row>
    <row r="234" spans="1:9" ht="12.75" hidden="1" customHeight="1">
      <c r="A234" s="304"/>
      <c r="B234" s="304"/>
      <c r="C234" s="304"/>
      <c r="D234" s="304"/>
      <c r="E234" s="308" t="s">
        <v>113</v>
      </c>
      <c r="F234" s="306" t="s">
        <v>8</v>
      </c>
      <c r="G234" s="307">
        <f>286957+812954+4151</f>
        <v>1104062</v>
      </c>
      <c r="H234" s="116"/>
      <c r="I234" s="302"/>
    </row>
    <row r="235" spans="1:9" ht="51" hidden="1">
      <c r="A235" s="304"/>
      <c r="B235" s="304"/>
      <c r="C235" s="304">
        <v>387</v>
      </c>
      <c r="D235" s="304"/>
      <c r="E235" s="304"/>
      <c r="F235" s="306" t="s">
        <v>191</v>
      </c>
      <c r="G235" s="307">
        <f>G236+G238</f>
        <v>2164263</v>
      </c>
      <c r="H235" s="116"/>
      <c r="I235" s="302"/>
    </row>
    <row r="236" spans="1:9" ht="25.5" hidden="1" customHeight="1">
      <c r="A236" s="304"/>
      <c r="B236" s="304"/>
      <c r="C236" s="304"/>
      <c r="D236" s="304" t="s">
        <v>49</v>
      </c>
      <c r="E236" s="304"/>
      <c r="F236" s="306" t="s">
        <v>192</v>
      </c>
      <c r="G236" s="307">
        <f t="shared" ref="G236" si="51">G237</f>
        <v>2164263</v>
      </c>
      <c r="H236" s="116"/>
      <c r="I236" s="302"/>
    </row>
    <row r="237" spans="1:9" ht="12.75" hidden="1" customHeight="1">
      <c r="A237" s="304"/>
      <c r="B237" s="304"/>
      <c r="C237" s="304"/>
      <c r="D237" s="304"/>
      <c r="E237" s="308" t="s">
        <v>113</v>
      </c>
      <c r="F237" s="306" t="s">
        <v>8</v>
      </c>
      <c r="G237" s="307">
        <f>1904231+54863+170402+34767</f>
        <v>2164263</v>
      </c>
      <c r="H237" s="116"/>
      <c r="I237" s="302"/>
    </row>
    <row r="238" spans="1:9" ht="25.5" hidden="1">
      <c r="A238" s="304"/>
      <c r="B238" s="304"/>
      <c r="C238" s="304"/>
      <c r="D238" s="304" t="s">
        <v>214</v>
      </c>
      <c r="E238" s="308"/>
      <c r="F238" s="306" t="s">
        <v>189</v>
      </c>
      <c r="G238" s="307">
        <f>G239</f>
        <v>0</v>
      </c>
      <c r="H238" s="116"/>
      <c r="I238" s="302"/>
    </row>
    <row r="239" spans="1:9" ht="12.75" hidden="1" customHeight="1">
      <c r="A239" s="304"/>
      <c r="B239" s="304"/>
      <c r="C239" s="304"/>
      <c r="D239" s="304"/>
      <c r="E239" s="308" t="s">
        <v>113</v>
      </c>
      <c r="F239" s="306" t="s">
        <v>8</v>
      </c>
      <c r="G239" s="307"/>
      <c r="H239" s="116"/>
      <c r="I239" s="302"/>
    </row>
    <row r="240" spans="1:9" ht="25.5" hidden="1">
      <c r="A240" s="304"/>
      <c r="B240" s="304"/>
      <c r="C240" s="304" t="s">
        <v>526</v>
      </c>
      <c r="D240" s="304"/>
      <c r="E240" s="308"/>
      <c r="F240" s="306" t="s">
        <v>596</v>
      </c>
      <c r="G240" s="307">
        <f>G241+G243+G245</f>
        <v>339668</v>
      </c>
      <c r="H240" s="116"/>
      <c r="I240" s="302"/>
    </row>
    <row r="241" spans="1:9" ht="27" hidden="1" customHeight="1">
      <c r="A241" s="304"/>
      <c r="B241" s="304"/>
      <c r="C241" s="304"/>
      <c r="D241" s="304" t="s">
        <v>48</v>
      </c>
      <c r="E241" s="308"/>
      <c r="F241" s="306" t="s">
        <v>527</v>
      </c>
      <c r="G241" s="307">
        <f>G242</f>
        <v>190359</v>
      </c>
      <c r="H241" s="116"/>
      <c r="I241" s="302"/>
    </row>
    <row r="242" spans="1:9" hidden="1">
      <c r="A242" s="304"/>
      <c r="B242" s="304"/>
      <c r="C242" s="304"/>
      <c r="D242" s="304"/>
      <c r="E242" s="308" t="s">
        <v>113</v>
      </c>
      <c r="F242" s="306" t="s">
        <v>8</v>
      </c>
      <c r="G242" s="307">
        <v>190359</v>
      </c>
      <c r="H242" s="116"/>
      <c r="I242" s="302"/>
    </row>
    <row r="243" spans="1:9" ht="25.5" hidden="1">
      <c r="A243" s="304"/>
      <c r="B243" s="304"/>
      <c r="C243" s="304"/>
      <c r="D243" s="304" t="s">
        <v>106</v>
      </c>
      <c r="E243" s="308"/>
      <c r="F243" s="306" t="s">
        <v>189</v>
      </c>
      <c r="G243" s="307">
        <f>G244</f>
        <v>149309</v>
      </c>
      <c r="H243" s="116"/>
      <c r="I243" s="302"/>
    </row>
    <row r="244" spans="1:9" hidden="1">
      <c r="A244" s="304"/>
      <c r="B244" s="304"/>
      <c r="C244" s="304"/>
      <c r="D244" s="304"/>
      <c r="E244" s="308" t="s">
        <v>113</v>
      </c>
      <c r="F244" s="306" t="s">
        <v>8</v>
      </c>
      <c r="G244" s="307">
        <f>179577-30268</f>
        <v>149309</v>
      </c>
      <c r="H244" s="116"/>
      <c r="I244" s="302"/>
    </row>
    <row r="245" spans="1:9" hidden="1">
      <c r="A245" s="304"/>
      <c r="B245" s="304"/>
      <c r="C245" s="304"/>
      <c r="D245" s="304" t="s">
        <v>112</v>
      </c>
      <c r="E245" s="308"/>
      <c r="F245" s="306" t="s">
        <v>45</v>
      </c>
      <c r="G245" s="307"/>
      <c r="H245" s="116"/>
      <c r="I245" s="302"/>
    </row>
    <row r="246" spans="1:9" ht="27.75" hidden="1" customHeight="1">
      <c r="A246" s="304" t="s">
        <v>107</v>
      </c>
      <c r="B246" s="304"/>
      <c r="C246" s="304"/>
      <c r="D246" s="304"/>
      <c r="E246" s="304"/>
      <c r="F246" s="306" t="s">
        <v>108</v>
      </c>
      <c r="G246" s="307">
        <f>G247+G261</f>
        <v>33899395</v>
      </c>
      <c r="H246" s="116"/>
      <c r="I246" s="302"/>
    </row>
    <row r="247" spans="1:9" hidden="1">
      <c r="A247" s="304"/>
      <c r="B247" s="304" t="s">
        <v>31</v>
      </c>
      <c r="C247" s="304"/>
      <c r="D247" s="304"/>
      <c r="E247" s="304"/>
      <c r="F247" s="306" t="s">
        <v>109</v>
      </c>
      <c r="G247" s="307">
        <f>G248+G255+G258</f>
        <v>29822604</v>
      </c>
      <c r="H247" s="116"/>
      <c r="I247" s="302"/>
    </row>
    <row r="248" spans="1:9" ht="28.5" hidden="1" customHeight="1">
      <c r="A248" s="304"/>
      <c r="B248" s="304"/>
      <c r="C248" s="304">
        <v>352</v>
      </c>
      <c r="D248" s="304"/>
      <c r="E248" s="304"/>
      <c r="F248" s="306" t="s">
        <v>193</v>
      </c>
      <c r="G248" s="307">
        <f>G249+G251+G253</f>
        <v>25853612</v>
      </c>
      <c r="H248" s="116"/>
      <c r="I248" s="302"/>
    </row>
    <row r="249" spans="1:9" ht="38.25" hidden="1">
      <c r="A249" s="304"/>
      <c r="B249" s="304"/>
      <c r="C249" s="304"/>
      <c r="D249" s="304" t="s">
        <v>48</v>
      </c>
      <c r="E249" s="304"/>
      <c r="F249" s="306" t="s">
        <v>194</v>
      </c>
      <c r="G249" s="307">
        <f>SUM(G250:G250)</f>
        <v>21119626</v>
      </c>
      <c r="H249" s="116"/>
      <c r="I249" s="302"/>
    </row>
    <row r="250" spans="1:9" ht="12.75" hidden="1" customHeight="1">
      <c r="A250" s="304"/>
      <c r="B250" s="304"/>
      <c r="C250" s="304"/>
      <c r="D250" s="304"/>
      <c r="E250" s="304" t="s">
        <v>113</v>
      </c>
      <c r="F250" s="306" t="s">
        <v>8</v>
      </c>
      <c r="G250" s="307">
        <f>19122531+597487+148774+1104271+8434+138129</f>
        <v>21119626</v>
      </c>
      <c r="H250" s="116"/>
      <c r="I250" s="302"/>
    </row>
    <row r="251" spans="1:9" hidden="1">
      <c r="A251" s="304"/>
      <c r="B251" s="304"/>
      <c r="C251" s="304"/>
      <c r="D251" s="304" t="s">
        <v>49</v>
      </c>
      <c r="E251" s="304"/>
      <c r="F251" s="306" t="s">
        <v>330</v>
      </c>
      <c r="G251" s="307">
        <f t="shared" ref="G251" si="52">SUM(G252:G252)</f>
        <v>3460</v>
      </c>
      <c r="H251" s="116"/>
      <c r="I251" s="302"/>
    </row>
    <row r="252" spans="1:9" ht="12.75" hidden="1" customHeight="1">
      <c r="A252" s="304"/>
      <c r="B252" s="304"/>
      <c r="C252" s="304"/>
      <c r="D252" s="304"/>
      <c r="E252" s="304" t="s">
        <v>113</v>
      </c>
      <c r="F252" s="306" t="s">
        <v>8</v>
      </c>
      <c r="G252" s="307">
        <v>3460</v>
      </c>
      <c r="H252" s="116"/>
      <c r="I252" s="302"/>
    </row>
    <row r="253" spans="1:9" hidden="1">
      <c r="A253" s="304"/>
      <c r="B253" s="304"/>
      <c r="C253" s="304"/>
      <c r="D253" s="304" t="s">
        <v>215</v>
      </c>
      <c r="E253" s="304"/>
      <c r="F253" s="306" t="s">
        <v>126</v>
      </c>
      <c r="G253" s="307">
        <f t="shared" ref="G253" si="53">SUM(G254:G254)</f>
        <v>4730526</v>
      </c>
      <c r="H253" s="116"/>
      <c r="I253" s="302"/>
    </row>
    <row r="254" spans="1:9" ht="12.75" hidden="1" customHeight="1">
      <c r="A254" s="304"/>
      <c r="B254" s="304"/>
      <c r="C254" s="304"/>
      <c r="D254" s="304"/>
      <c r="E254" s="304" t="s">
        <v>113</v>
      </c>
      <c r="F254" s="306" t="s">
        <v>8</v>
      </c>
      <c r="G254" s="307">
        <f>1560529+346113+280506+587875-51000+1669585+346651-123950+6217+108000</f>
        <v>4730526</v>
      </c>
      <c r="H254" s="116"/>
      <c r="I254" s="302"/>
    </row>
    <row r="255" spans="1:9" ht="12.75" hidden="1" customHeight="1">
      <c r="A255" s="304"/>
      <c r="B255" s="304"/>
      <c r="C255" s="313">
        <v>373</v>
      </c>
      <c r="D255" s="304"/>
      <c r="E255" s="313"/>
      <c r="F255" s="313" t="s">
        <v>288</v>
      </c>
      <c r="G255" s="307">
        <f t="shared" ref="G255:G256" si="54">G256</f>
        <v>3000000</v>
      </c>
      <c r="H255" s="116"/>
      <c r="I255" s="302"/>
    </row>
    <row r="256" spans="1:9" hidden="1">
      <c r="A256" s="304"/>
      <c r="B256" s="304"/>
      <c r="C256" s="304"/>
      <c r="D256" s="304" t="s">
        <v>185</v>
      </c>
      <c r="E256" s="304"/>
      <c r="F256" s="306" t="s">
        <v>521</v>
      </c>
      <c r="G256" s="307">
        <f t="shared" si="54"/>
        <v>3000000</v>
      </c>
      <c r="H256" s="116"/>
      <c r="I256" s="302"/>
    </row>
    <row r="257" spans="1:9" hidden="1">
      <c r="A257" s="304"/>
      <c r="B257" s="304"/>
      <c r="C257" s="304"/>
      <c r="D257" s="304"/>
      <c r="E257" s="304" t="s">
        <v>113</v>
      </c>
      <c r="F257" s="306" t="s">
        <v>8</v>
      </c>
      <c r="G257" s="307">
        <f>49796+3000000-49796</f>
        <v>3000000</v>
      </c>
      <c r="H257" s="116"/>
      <c r="I257" s="302"/>
    </row>
    <row r="258" spans="1:9" ht="38.25" hidden="1">
      <c r="A258" s="304"/>
      <c r="B258" s="304"/>
      <c r="C258" s="304" t="s">
        <v>598</v>
      </c>
      <c r="D258" s="304"/>
      <c r="E258" s="304"/>
      <c r="F258" s="306" t="s">
        <v>599</v>
      </c>
      <c r="G258" s="307">
        <f>G259+G260</f>
        <v>968992</v>
      </c>
      <c r="H258" s="116"/>
      <c r="I258" s="302"/>
    </row>
    <row r="259" spans="1:9" ht="31.5" hidden="1" customHeight="1">
      <c r="A259" s="304"/>
      <c r="B259" s="304"/>
      <c r="C259" s="304"/>
      <c r="D259" s="304" t="s">
        <v>48</v>
      </c>
      <c r="E259" s="304"/>
      <c r="F259" s="306" t="s">
        <v>600</v>
      </c>
      <c r="G259" s="307">
        <f>785798+192934-95135</f>
        <v>883597</v>
      </c>
      <c r="H259" s="116"/>
      <c r="I259" s="302"/>
    </row>
    <row r="260" spans="1:9" hidden="1">
      <c r="A260" s="304"/>
      <c r="B260" s="304"/>
      <c r="C260" s="304"/>
      <c r="D260" s="304" t="s">
        <v>106</v>
      </c>
      <c r="E260" s="304"/>
      <c r="F260" s="306" t="s">
        <v>45</v>
      </c>
      <c r="G260" s="307">
        <f>64790+27725-5270-1850</f>
        <v>85395</v>
      </c>
      <c r="H260" s="116"/>
      <c r="I260" s="302"/>
    </row>
    <row r="261" spans="1:9" hidden="1">
      <c r="A261" s="304"/>
      <c r="B261" s="304" t="s">
        <v>36</v>
      </c>
      <c r="C261" s="304"/>
      <c r="D261" s="304"/>
      <c r="E261" s="308"/>
      <c r="F261" s="309" t="s">
        <v>130</v>
      </c>
      <c r="G261" s="307">
        <f>G262</f>
        <v>4076791</v>
      </c>
      <c r="H261" s="116"/>
      <c r="I261" s="302"/>
    </row>
    <row r="262" spans="1:9" ht="25.5" hidden="1">
      <c r="A262" s="304"/>
      <c r="B262" s="304"/>
      <c r="C262" s="314">
        <v>348</v>
      </c>
      <c r="D262" s="313"/>
      <c r="E262" s="313"/>
      <c r="F262" s="313" t="s">
        <v>197</v>
      </c>
      <c r="G262" s="307">
        <f t="shared" ref="G262" si="55">G263</f>
        <v>4076791</v>
      </c>
      <c r="H262" s="116"/>
      <c r="I262" s="302"/>
    </row>
    <row r="263" spans="1:9" ht="14.25" hidden="1" customHeight="1">
      <c r="A263" s="304"/>
      <c r="B263" s="304"/>
      <c r="C263" s="313"/>
      <c r="D263" s="304" t="s">
        <v>185</v>
      </c>
      <c r="E263" s="313"/>
      <c r="F263" s="313" t="s">
        <v>198</v>
      </c>
      <c r="G263" s="307">
        <f t="shared" ref="G263" si="56">SUM(G264:G264)</f>
        <v>4076791</v>
      </c>
      <c r="H263" s="116"/>
      <c r="I263" s="302"/>
    </row>
    <row r="264" spans="1:9" ht="13.5" hidden="1" customHeight="1">
      <c r="A264" s="304"/>
      <c r="B264" s="304"/>
      <c r="C264" s="313"/>
      <c r="D264" s="304"/>
      <c r="E264" s="308" t="s">
        <v>113</v>
      </c>
      <c r="F264" s="306" t="s">
        <v>8</v>
      </c>
      <c r="G264" s="307">
        <f>2500000+662505+100000+814286</f>
        <v>4076791</v>
      </c>
      <c r="H264" s="116"/>
      <c r="I264" s="302"/>
    </row>
    <row r="265" spans="1:9" hidden="1">
      <c r="A265" s="304" t="s">
        <v>110</v>
      </c>
      <c r="B265" s="304"/>
      <c r="C265" s="304"/>
      <c r="D265" s="304"/>
      <c r="E265" s="304"/>
      <c r="F265" s="306" t="s">
        <v>111</v>
      </c>
      <c r="G265" s="307">
        <f>G266+G273+G298+G308+G319+G315</f>
        <v>360255379</v>
      </c>
      <c r="H265" s="116"/>
      <c r="I265" s="302"/>
    </row>
    <row r="266" spans="1:9" hidden="1">
      <c r="A266" s="304"/>
      <c r="B266" s="304" t="s">
        <v>31</v>
      </c>
      <c r="C266" s="304"/>
      <c r="D266" s="304"/>
      <c r="E266" s="304"/>
      <c r="F266" s="306" t="s">
        <v>129</v>
      </c>
      <c r="G266" s="307">
        <f>G267+G270</f>
        <v>59731282</v>
      </c>
      <c r="H266" s="116"/>
      <c r="I266" s="302"/>
    </row>
    <row r="267" spans="1:9" ht="13.5" hidden="1" customHeight="1">
      <c r="A267" s="304"/>
      <c r="B267" s="304"/>
      <c r="C267" s="314">
        <v>360</v>
      </c>
      <c r="D267" s="313"/>
      <c r="E267" s="313"/>
      <c r="F267" s="313" t="s">
        <v>273</v>
      </c>
      <c r="G267" s="307">
        <f t="shared" ref="G267" si="57">G268</f>
        <v>59726613</v>
      </c>
      <c r="H267" s="116"/>
      <c r="I267" s="302"/>
    </row>
    <row r="268" spans="1:9" hidden="1">
      <c r="A268" s="304"/>
      <c r="B268" s="304"/>
      <c r="C268" s="313"/>
      <c r="D268" s="304" t="s">
        <v>274</v>
      </c>
      <c r="E268" s="313"/>
      <c r="F268" s="306" t="s">
        <v>129</v>
      </c>
      <c r="G268" s="307">
        <f>SUM(G269:G269)</f>
        <v>59726613</v>
      </c>
      <c r="H268" s="116"/>
      <c r="I268" s="302"/>
    </row>
    <row r="269" spans="1:9" ht="12.75" hidden="1" customHeight="1">
      <c r="A269" s="304"/>
      <c r="B269" s="304"/>
      <c r="C269" s="313"/>
      <c r="D269" s="304"/>
      <c r="E269" s="308" t="s">
        <v>113</v>
      </c>
      <c r="F269" s="306" t="s">
        <v>8</v>
      </c>
      <c r="G269" s="307">
        <f>59732416-5803</f>
        <v>59726613</v>
      </c>
      <c r="H269" s="116"/>
      <c r="I269" s="302"/>
    </row>
    <row r="270" spans="1:9" ht="12.75" hidden="1" customHeight="1">
      <c r="A270" s="304"/>
      <c r="B270" s="304"/>
      <c r="C270" s="313">
        <v>373</v>
      </c>
      <c r="D270" s="304"/>
      <c r="E270" s="313"/>
      <c r="F270" s="313" t="s">
        <v>288</v>
      </c>
      <c r="G270" s="307">
        <f>G271</f>
        <v>4669</v>
      </c>
      <c r="H270" s="116"/>
      <c r="I270" s="302"/>
    </row>
    <row r="271" spans="1:9" ht="25.5" hidden="1">
      <c r="A271" s="304"/>
      <c r="B271" s="304"/>
      <c r="C271" s="313"/>
      <c r="D271" s="304" t="s">
        <v>118</v>
      </c>
      <c r="E271" s="308"/>
      <c r="F271" s="306" t="s">
        <v>657</v>
      </c>
      <c r="G271" s="307">
        <f>G272</f>
        <v>4669</v>
      </c>
      <c r="H271" s="116"/>
      <c r="I271" s="302"/>
    </row>
    <row r="272" spans="1:9" ht="12.75" hidden="1" customHeight="1">
      <c r="A272" s="304"/>
      <c r="B272" s="304"/>
      <c r="C272" s="313"/>
      <c r="D272" s="304"/>
      <c r="E272" s="308" t="s">
        <v>113</v>
      </c>
      <c r="F272" s="306" t="s">
        <v>8</v>
      </c>
      <c r="G272" s="307">
        <v>4669</v>
      </c>
      <c r="H272" s="116"/>
      <c r="I272" s="302"/>
    </row>
    <row r="273" spans="1:9" hidden="1">
      <c r="A273" s="304"/>
      <c r="B273" s="304" t="s">
        <v>32</v>
      </c>
      <c r="C273" s="304"/>
      <c r="D273" s="304"/>
      <c r="E273" s="304"/>
      <c r="F273" s="306" t="s">
        <v>65</v>
      </c>
      <c r="G273" s="307">
        <f>G274+G289+G295</f>
        <v>243177455</v>
      </c>
      <c r="H273" s="116"/>
      <c r="I273" s="302"/>
    </row>
    <row r="274" spans="1:9" ht="15" hidden="1" customHeight="1">
      <c r="A274" s="304"/>
      <c r="B274" s="304"/>
      <c r="C274" s="313">
        <v>360</v>
      </c>
      <c r="D274" s="304"/>
      <c r="E274" s="313"/>
      <c r="F274" s="313" t="s">
        <v>273</v>
      </c>
      <c r="G274" s="307">
        <f>G275+G277+G281+G279+G285+G287+G283</f>
        <v>224801119</v>
      </c>
      <c r="H274" s="116"/>
      <c r="I274" s="302"/>
    </row>
    <row r="275" spans="1:9" hidden="1">
      <c r="A275" s="304"/>
      <c r="B275" s="304"/>
      <c r="C275" s="313"/>
      <c r="D275" s="304" t="s">
        <v>49</v>
      </c>
      <c r="E275" s="313"/>
      <c r="F275" s="313" t="s">
        <v>275</v>
      </c>
      <c r="G275" s="307">
        <f>SUM(G276:G276)</f>
        <v>60831550</v>
      </c>
      <c r="H275" s="116"/>
      <c r="I275" s="302"/>
    </row>
    <row r="276" spans="1:9" ht="12.75" hidden="1" customHeight="1">
      <c r="A276" s="304"/>
      <c r="B276" s="304"/>
      <c r="C276" s="313"/>
      <c r="D276" s="304"/>
      <c r="E276" s="308" t="s">
        <v>113</v>
      </c>
      <c r="F276" s="313" t="s">
        <v>8</v>
      </c>
      <c r="G276" s="307">
        <f>62874598+518084-199132-2362000</f>
        <v>60831550</v>
      </c>
      <c r="H276" s="116"/>
      <c r="I276" s="302"/>
    </row>
    <row r="277" spans="1:9" ht="15" hidden="1" customHeight="1">
      <c r="A277" s="304"/>
      <c r="B277" s="304"/>
      <c r="C277" s="313"/>
      <c r="D277" s="304" t="s">
        <v>185</v>
      </c>
      <c r="E277" s="313"/>
      <c r="F277" s="313" t="s">
        <v>276</v>
      </c>
      <c r="G277" s="307">
        <f>SUM(G278:G278)</f>
        <v>3952086</v>
      </c>
      <c r="H277" s="116"/>
      <c r="I277" s="302"/>
    </row>
    <row r="278" spans="1:9" ht="12.75" hidden="1" customHeight="1">
      <c r="A278" s="304"/>
      <c r="B278" s="304"/>
      <c r="C278" s="313"/>
      <c r="D278" s="304"/>
      <c r="E278" s="308" t="s">
        <v>113</v>
      </c>
      <c r="F278" s="313" t="s">
        <v>8</v>
      </c>
      <c r="G278" s="307">
        <v>3952086</v>
      </c>
      <c r="H278" s="116"/>
      <c r="I278" s="302"/>
    </row>
    <row r="279" spans="1:9" ht="25.5" hidden="1">
      <c r="A279" s="304"/>
      <c r="B279" s="304"/>
      <c r="C279" s="313"/>
      <c r="D279" s="304" t="s">
        <v>214</v>
      </c>
      <c r="E279" s="308"/>
      <c r="F279" s="313" t="s">
        <v>317</v>
      </c>
      <c r="G279" s="307">
        <f>SUM(G280:G280)</f>
        <v>6983595</v>
      </c>
      <c r="H279" s="116"/>
      <c r="I279" s="302"/>
    </row>
    <row r="280" spans="1:9" ht="12.75" hidden="1" customHeight="1">
      <c r="A280" s="304"/>
      <c r="B280" s="304"/>
      <c r="C280" s="313"/>
      <c r="D280" s="304"/>
      <c r="E280" s="304" t="s">
        <v>113</v>
      </c>
      <c r="F280" s="306" t="s">
        <v>8</v>
      </c>
      <c r="G280" s="307">
        <v>6983595</v>
      </c>
      <c r="H280" s="116"/>
      <c r="I280" s="302"/>
    </row>
    <row r="281" spans="1:9" hidden="1">
      <c r="A281" s="304"/>
      <c r="B281" s="304"/>
      <c r="C281" s="313"/>
      <c r="D281" s="304" t="s">
        <v>213</v>
      </c>
      <c r="E281" s="313"/>
      <c r="F281" s="313" t="s">
        <v>277</v>
      </c>
      <c r="G281" s="307">
        <f>SUM(G282:G282)</f>
        <v>9852300</v>
      </c>
      <c r="H281" s="116"/>
      <c r="I281" s="302"/>
    </row>
    <row r="282" spans="1:9" ht="12.75" hidden="1" customHeight="1">
      <c r="A282" s="304"/>
      <c r="B282" s="304"/>
      <c r="C282" s="313"/>
      <c r="D282" s="304"/>
      <c r="E282" s="308" t="s">
        <v>113</v>
      </c>
      <c r="F282" s="313" t="s">
        <v>8</v>
      </c>
      <c r="G282" s="307">
        <f>12752314+574325-2754637+36298-756000</f>
        <v>9852300</v>
      </c>
      <c r="H282" s="116"/>
      <c r="I282" s="302"/>
    </row>
    <row r="283" spans="1:9" ht="12.75" hidden="1" customHeight="1">
      <c r="A283" s="304"/>
      <c r="B283" s="304"/>
      <c r="C283" s="313"/>
      <c r="D283" s="304" t="s">
        <v>230</v>
      </c>
      <c r="E283" s="308"/>
      <c r="F283" s="313" t="s">
        <v>589</v>
      </c>
      <c r="G283" s="307">
        <f>G284</f>
        <v>68000</v>
      </c>
      <c r="H283" s="116"/>
      <c r="I283" s="302"/>
    </row>
    <row r="284" spans="1:9" ht="12.75" hidden="1" customHeight="1">
      <c r="A284" s="304"/>
      <c r="B284" s="304"/>
      <c r="C284" s="313"/>
      <c r="D284" s="304"/>
      <c r="E284" s="308" t="s">
        <v>113</v>
      </c>
      <c r="F284" s="313" t="s">
        <v>8</v>
      </c>
      <c r="G284" s="307">
        <v>68000</v>
      </c>
      <c r="H284" s="116"/>
      <c r="I284" s="302"/>
    </row>
    <row r="285" spans="1:9" ht="25.5" hidden="1">
      <c r="A285" s="304"/>
      <c r="B285" s="304"/>
      <c r="C285" s="313"/>
      <c r="D285" s="304" t="s">
        <v>321</v>
      </c>
      <c r="E285" s="308"/>
      <c r="F285" s="306" t="s">
        <v>461</v>
      </c>
      <c r="G285" s="307">
        <f>SUM(G286:G286)</f>
        <v>90109276</v>
      </c>
      <c r="H285" s="116"/>
      <c r="I285" s="302"/>
    </row>
    <row r="286" spans="1:9" ht="12.75" hidden="1" customHeight="1">
      <c r="A286" s="304"/>
      <c r="B286" s="304"/>
      <c r="C286" s="313"/>
      <c r="D286" s="304"/>
      <c r="E286" s="308" t="s">
        <v>113</v>
      </c>
      <c r="F286" s="313" t="s">
        <v>8</v>
      </c>
      <c r="G286" s="307">
        <f>90428228-318952</f>
        <v>90109276</v>
      </c>
      <c r="H286" s="116"/>
      <c r="I286" s="302"/>
    </row>
    <row r="287" spans="1:9" ht="25.5" hidden="1">
      <c r="A287" s="304"/>
      <c r="B287" s="304"/>
      <c r="C287" s="313"/>
      <c r="D287" s="304" t="s">
        <v>570</v>
      </c>
      <c r="E287" s="308"/>
      <c r="F287" s="313" t="s">
        <v>571</v>
      </c>
      <c r="G287" s="307">
        <f>SUM(G288:G288)</f>
        <v>53004312</v>
      </c>
      <c r="H287" s="116"/>
      <c r="I287" s="302"/>
    </row>
    <row r="288" spans="1:9" hidden="1">
      <c r="A288" s="304"/>
      <c r="B288" s="304"/>
      <c r="C288" s="313"/>
      <c r="D288" s="304"/>
      <c r="E288" s="308" t="s">
        <v>113</v>
      </c>
      <c r="F288" s="313" t="s">
        <v>8</v>
      </c>
      <c r="G288" s="307">
        <f>50504312+2500000</f>
        <v>53004312</v>
      </c>
      <c r="H288" s="116"/>
      <c r="I288" s="302"/>
    </row>
    <row r="289" spans="1:9" ht="14.25" hidden="1" customHeight="1">
      <c r="A289" s="304"/>
      <c r="B289" s="304"/>
      <c r="C289" s="313">
        <v>373</v>
      </c>
      <c r="D289" s="304"/>
      <c r="E289" s="313"/>
      <c r="F289" s="313" t="s">
        <v>288</v>
      </c>
      <c r="G289" s="307">
        <f>G290+G292</f>
        <v>6202447</v>
      </c>
      <c r="H289" s="116"/>
      <c r="I289" s="302"/>
    </row>
    <row r="290" spans="1:9" ht="25.5" hidden="1">
      <c r="A290" s="304"/>
      <c r="B290" s="304"/>
      <c r="C290" s="313"/>
      <c r="D290" s="304" t="s">
        <v>232</v>
      </c>
      <c r="E290" s="313"/>
      <c r="F290" s="313" t="s">
        <v>303</v>
      </c>
      <c r="G290" s="307">
        <f t="shared" ref="G290" si="58">SUM(G291:G291)</f>
        <v>6202447</v>
      </c>
      <c r="H290" s="116"/>
      <c r="I290" s="302"/>
    </row>
    <row r="291" spans="1:9" ht="12.75" hidden="1" customHeight="1">
      <c r="A291" s="304"/>
      <c r="B291" s="304"/>
      <c r="C291" s="313"/>
      <c r="D291" s="304"/>
      <c r="E291" s="308" t="s">
        <v>113</v>
      </c>
      <c r="F291" s="313" t="s">
        <v>8</v>
      </c>
      <c r="G291" s="307">
        <f>6703740-570000+10000+10000+49726-1019</f>
        <v>6202447</v>
      </c>
      <c r="H291" s="116"/>
      <c r="I291" s="302"/>
    </row>
    <row r="292" spans="1:9" ht="30.75" hidden="1" customHeight="1">
      <c r="A292" s="304"/>
      <c r="B292" s="304"/>
      <c r="C292" s="313"/>
      <c r="D292" s="304" t="s">
        <v>509</v>
      </c>
      <c r="E292" s="308"/>
      <c r="F292" s="315" t="s">
        <v>510</v>
      </c>
      <c r="G292" s="307">
        <f t="shared" ref="G292" si="59">SUM(G293:G294)</f>
        <v>0</v>
      </c>
      <c r="H292" s="116"/>
      <c r="I292" s="302"/>
    </row>
    <row r="293" spans="1:9" hidden="1">
      <c r="A293" s="304"/>
      <c r="B293" s="304"/>
      <c r="C293" s="313"/>
      <c r="D293" s="304"/>
      <c r="E293" s="308" t="s">
        <v>112</v>
      </c>
      <c r="F293" s="306" t="s">
        <v>128</v>
      </c>
      <c r="G293" s="307"/>
      <c r="H293" s="116"/>
      <c r="I293" s="302"/>
    </row>
    <row r="294" spans="1:9" ht="25.5" hidden="1">
      <c r="A294" s="304"/>
      <c r="B294" s="304"/>
      <c r="C294" s="313"/>
      <c r="D294" s="304"/>
      <c r="E294" s="308" t="s">
        <v>66</v>
      </c>
      <c r="F294" s="313" t="s">
        <v>454</v>
      </c>
      <c r="G294" s="307"/>
      <c r="H294" s="116"/>
      <c r="I294" s="302"/>
    </row>
    <row r="295" spans="1:9" ht="25.5" hidden="1">
      <c r="A295" s="304"/>
      <c r="B295" s="304"/>
      <c r="C295" s="313">
        <v>381</v>
      </c>
      <c r="D295" s="304"/>
      <c r="E295" s="308"/>
      <c r="F295" s="313" t="s">
        <v>290</v>
      </c>
      <c r="G295" s="307">
        <f>G296</f>
        <v>12173889</v>
      </c>
      <c r="H295" s="116"/>
      <c r="I295" s="302"/>
    </row>
    <row r="296" spans="1:9" hidden="1">
      <c r="A296" s="304"/>
      <c r="B296" s="304"/>
      <c r="C296" s="313"/>
      <c r="D296" s="304" t="s">
        <v>106</v>
      </c>
      <c r="E296" s="308"/>
      <c r="F296" s="313" t="s">
        <v>331</v>
      </c>
      <c r="G296" s="307">
        <f>SUM(G297:G297)</f>
        <v>12173889</v>
      </c>
      <c r="H296" s="116"/>
      <c r="I296" s="302"/>
    </row>
    <row r="297" spans="1:9" ht="12.75" hidden="1" customHeight="1">
      <c r="A297" s="304"/>
      <c r="B297" s="304"/>
      <c r="C297" s="313"/>
      <c r="D297" s="304"/>
      <c r="E297" s="308" t="s">
        <v>113</v>
      </c>
      <c r="F297" s="313" t="s">
        <v>8</v>
      </c>
      <c r="G297" s="307">
        <f>11249320+38941+213726+101388+168998+401516</f>
        <v>12173889</v>
      </c>
      <c r="H297" s="116"/>
      <c r="I297" s="302"/>
    </row>
    <row r="298" spans="1:9" hidden="1">
      <c r="A298" s="304"/>
      <c r="B298" s="304" t="s">
        <v>34</v>
      </c>
      <c r="C298" s="304"/>
      <c r="D298" s="304"/>
      <c r="E298" s="304"/>
      <c r="F298" s="306" t="s">
        <v>54</v>
      </c>
      <c r="G298" s="307">
        <f>G300+G305</f>
        <v>47707352</v>
      </c>
      <c r="H298" s="116"/>
      <c r="I298" s="302"/>
    </row>
    <row r="299" spans="1:9">
      <c r="A299" s="304"/>
      <c r="B299" s="304"/>
      <c r="C299" s="304"/>
      <c r="D299" s="304"/>
      <c r="E299" s="304"/>
      <c r="F299" s="306"/>
      <c r="G299" s="307"/>
      <c r="H299" s="116"/>
      <c r="I299" s="302"/>
    </row>
    <row r="300" spans="1:9" s="338" customFormat="1" ht="15" customHeight="1">
      <c r="A300" s="334"/>
      <c r="B300" s="334"/>
      <c r="C300" s="334">
        <v>353</v>
      </c>
      <c r="D300" s="335"/>
      <c r="E300" s="335"/>
      <c r="F300" s="336" t="s">
        <v>263</v>
      </c>
      <c r="G300" s="337">
        <f>G301+G303+G313+G346+G348+G350+G352+G361+G365+G369+G371+G373+G375+G379+G827</f>
        <v>20518105</v>
      </c>
      <c r="H300" s="337">
        <f>H301+H303+H313+H346+H348+H350+H352+H361+H365+H369+H371+H373+H375+H379+H827</f>
        <v>20887344</v>
      </c>
      <c r="I300" s="337">
        <f>I301+I303+I313+I346+I348+I350+I352+I361+I365+I369+I371+I373+I375+I379+I827</f>
        <v>-369239</v>
      </c>
    </row>
    <row r="301" spans="1:9" ht="25.5">
      <c r="A301" s="304"/>
      <c r="B301" s="304"/>
      <c r="C301" s="304"/>
      <c r="D301" s="308" t="s">
        <v>262</v>
      </c>
      <c r="E301" s="308"/>
      <c r="F301" s="309" t="s">
        <v>260</v>
      </c>
      <c r="G301" s="320">
        <f>SUM(G302:G302)</f>
        <v>3083961</v>
      </c>
      <c r="H301" s="331">
        <f t="shared" ref="H301:H364" si="60">G301</f>
        <v>3083961</v>
      </c>
      <c r="I301" s="331">
        <f>G301-H301</f>
        <v>0</v>
      </c>
    </row>
    <row r="302" spans="1:9" ht="12.75" customHeight="1">
      <c r="A302" s="304"/>
      <c r="B302" s="304"/>
      <c r="C302" s="304"/>
      <c r="D302" s="308"/>
      <c r="E302" s="308" t="s">
        <v>113</v>
      </c>
      <c r="F302" s="313" t="s">
        <v>8</v>
      </c>
      <c r="G302" s="320">
        <v>3083961</v>
      </c>
      <c r="H302" s="331">
        <f t="shared" si="60"/>
        <v>3083961</v>
      </c>
      <c r="I302" s="331">
        <f t="shared" ref="I302:I365" si="61">G302-H302</f>
        <v>0</v>
      </c>
    </row>
    <row r="303" spans="1:9" ht="25.5">
      <c r="A303" s="304"/>
      <c r="B303" s="304"/>
      <c r="C303" s="304"/>
      <c r="D303" s="308" t="s">
        <v>233</v>
      </c>
      <c r="E303" s="308"/>
      <c r="F303" s="309" t="s">
        <v>261</v>
      </c>
      <c r="G303" s="320">
        <f t="shared" ref="G303" si="62">SUM(G304:G304)</f>
        <v>43584</v>
      </c>
      <c r="H303" s="331">
        <f t="shared" si="60"/>
        <v>43584</v>
      </c>
      <c r="I303" s="331">
        <f t="shared" si="61"/>
        <v>0</v>
      </c>
    </row>
    <row r="304" spans="1:9" ht="12.75" customHeight="1">
      <c r="A304" s="304"/>
      <c r="B304" s="304"/>
      <c r="C304" s="304"/>
      <c r="D304" s="308"/>
      <c r="E304" s="308" t="s">
        <v>113</v>
      </c>
      <c r="F304" s="313" t="s">
        <v>8</v>
      </c>
      <c r="G304" s="320">
        <v>43584</v>
      </c>
      <c r="H304" s="331">
        <f t="shared" si="60"/>
        <v>43584</v>
      </c>
      <c r="I304" s="331">
        <f t="shared" si="61"/>
        <v>0</v>
      </c>
    </row>
    <row r="305" spans="1:9" ht="15" hidden="1" customHeight="1">
      <c r="A305" s="304"/>
      <c r="B305" s="304"/>
      <c r="C305" s="304">
        <v>360</v>
      </c>
      <c r="D305" s="308"/>
      <c r="E305" s="308"/>
      <c r="F305" s="309" t="s">
        <v>273</v>
      </c>
      <c r="G305" s="320">
        <f t="shared" ref="G305" si="63">G306</f>
        <v>27189247</v>
      </c>
      <c r="H305" s="331">
        <f t="shared" si="60"/>
        <v>27189247</v>
      </c>
      <c r="I305" s="331">
        <f t="shared" si="61"/>
        <v>0</v>
      </c>
    </row>
    <row r="306" spans="1:9" ht="25.5" hidden="1">
      <c r="A306" s="304"/>
      <c r="B306" s="304"/>
      <c r="C306" s="304"/>
      <c r="D306" s="308" t="s">
        <v>341</v>
      </c>
      <c r="E306" s="308"/>
      <c r="F306" s="309" t="s">
        <v>342</v>
      </c>
      <c r="G306" s="320">
        <f>SUM(G307:G307)</f>
        <v>27189247</v>
      </c>
      <c r="H306" s="331">
        <f t="shared" si="60"/>
        <v>27189247</v>
      </c>
      <c r="I306" s="331">
        <f t="shared" si="61"/>
        <v>0</v>
      </c>
    </row>
    <row r="307" spans="1:9" ht="12.75" hidden="1" customHeight="1">
      <c r="A307" s="304"/>
      <c r="B307" s="304"/>
      <c r="C307" s="304"/>
      <c r="D307" s="308"/>
      <c r="E307" s="308" t="s">
        <v>113</v>
      </c>
      <c r="F307" s="313" t="s">
        <v>8</v>
      </c>
      <c r="G307" s="320">
        <v>27189247</v>
      </c>
      <c r="H307" s="331">
        <f t="shared" si="60"/>
        <v>27189247</v>
      </c>
      <c r="I307" s="331">
        <f t="shared" si="61"/>
        <v>0</v>
      </c>
    </row>
    <row r="308" spans="1:9" hidden="1">
      <c r="A308" s="304"/>
      <c r="B308" s="304" t="s">
        <v>35</v>
      </c>
      <c r="C308" s="304"/>
      <c r="D308" s="304"/>
      <c r="E308" s="304"/>
      <c r="F308" s="306" t="s">
        <v>92</v>
      </c>
      <c r="G308" s="320">
        <f t="shared" ref="G308" si="64">G309+G312</f>
        <v>54706</v>
      </c>
      <c r="H308" s="331">
        <f t="shared" si="60"/>
        <v>54706</v>
      </c>
      <c r="I308" s="331">
        <f t="shared" si="61"/>
        <v>0</v>
      </c>
    </row>
    <row r="309" spans="1:9" hidden="1">
      <c r="A309" s="304"/>
      <c r="B309" s="304"/>
      <c r="C309" s="304" t="s">
        <v>172</v>
      </c>
      <c r="D309" s="308"/>
      <c r="E309" s="304"/>
      <c r="F309" s="306" t="s">
        <v>166</v>
      </c>
      <c r="G309" s="320">
        <f t="shared" ref="G309" si="65">G310</f>
        <v>16488</v>
      </c>
      <c r="H309" s="331">
        <f t="shared" si="60"/>
        <v>16488</v>
      </c>
      <c r="I309" s="331">
        <f t="shared" si="61"/>
        <v>0</v>
      </c>
    </row>
    <row r="310" spans="1:9" hidden="1">
      <c r="A310" s="304"/>
      <c r="B310" s="304"/>
      <c r="C310" s="304"/>
      <c r="D310" s="308" t="s">
        <v>230</v>
      </c>
      <c r="E310" s="304"/>
      <c r="F310" s="306" t="s">
        <v>470</v>
      </c>
      <c r="G310" s="320">
        <f>G311</f>
        <v>16488</v>
      </c>
      <c r="H310" s="331">
        <f t="shared" si="60"/>
        <v>16488</v>
      </c>
      <c r="I310" s="331">
        <f t="shared" si="61"/>
        <v>0</v>
      </c>
    </row>
    <row r="311" spans="1:9" hidden="1">
      <c r="A311" s="304"/>
      <c r="B311" s="304"/>
      <c r="C311" s="304"/>
      <c r="D311" s="308"/>
      <c r="E311" s="304" t="s">
        <v>113</v>
      </c>
      <c r="F311" s="306" t="s">
        <v>8</v>
      </c>
      <c r="G311" s="320">
        <f>9624+6864</f>
        <v>16488</v>
      </c>
      <c r="H311" s="331">
        <f t="shared" si="60"/>
        <v>16488</v>
      </c>
      <c r="I311" s="331">
        <f t="shared" si="61"/>
        <v>0</v>
      </c>
    </row>
    <row r="312" spans="1:9" s="293" customFormat="1" ht="12.75" hidden="1" customHeight="1">
      <c r="A312" s="316"/>
      <c r="B312" s="316"/>
      <c r="C312" s="316">
        <v>353</v>
      </c>
      <c r="D312" s="317"/>
      <c r="E312" s="317"/>
      <c r="F312" s="318" t="s">
        <v>263</v>
      </c>
      <c r="G312" s="319">
        <f t="shared" ref="G312" si="66">G313</f>
        <v>38218</v>
      </c>
      <c r="H312" s="331">
        <f t="shared" si="60"/>
        <v>38218</v>
      </c>
      <c r="I312" s="331">
        <f t="shared" si="61"/>
        <v>0</v>
      </c>
    </row>
    <row r="313" spans="1:9">
      <c r="A313" s="304"/>
      <c r="B313" s="304"/>
      <c r="C313" s="304"/>
      <c r="D313" s="308" t="s">
        <v>49</v>
      </c>
      <c r="E313" s="308"/>
      <c r="F313" s="309" t="s">
        <v>264</v>
      </c>
      <c r="G313" s="320">
        <f t="shared" ref="G313" si="67">SUM(G314:G314)</f>
        <v>38218</v>
      </c>
      <c r="H313" s="331">
        <f t="shared" si="60"/>
        <v>38218</v>
      </c>
      <c r="I313" s="331">
        <f t="shared" si="61"/>
        <v>0</v>
      </c>
    </row>
    <row r="314" spans="1:9" ht="12.75" customHeight="1">
      <c r="A314" s="304"/>
      <c r="B314" s="304"/>
      <c r="C314" s="304"/>
      <c r="D314" s="308"/>
      <c r="E314" s="308" t="s">
        <v>113</v>
      </c>
      <c r="F314" s="313" t="s">
        <v>8</v>
      </c>
      <c r="G314" s="320">
        <v>38218</v>
      </c>
      <c r="H314" s="331">
        <f t="shared" si="60"/>
        <v>38218</v>
      </c>
      <c r="I314" s="331">
        <f t="shared" si="61"/>
        <v>0</v>
      </c>
    </row>
    <row r="315" spans="1:9" ht="12.75" hidden="1" customHeight="1">
      <c r="A315" s="304"/>
      <c r="B315" s="304" t="s">
        <v>395</v>
      </c>
      <c r="C315" s="304"/>
      <c r="D315" s="308"/>
      <c r="E315" s="304"/>
      <c r="F315" s="306" t="s">
        <v>425</v>
      </c>
      <c r="G315" s="320">
        <f t="shared" ref="G315:G316" si="68">G316</f>
        <v>912219</v>
      </c>
      <c r="H315" s="331">
        <f t="shared" si="60"/>
        <v>912219</v>
      </c>
      <c r="I315" s="331">
        <f t="shared" si="61"/>
        <v>0</v>
      </c>
    </row>
    <row r="316" spans="1:9" ht="12.75" hidden="1" customHeight="1">
      <c r="A316" s="304"/>
      <c r="B316" s="304"/>
      <c r="C316" s="304">
        <v>360</v>
      </c>
      <c r="D316" s="308"/>
      <c r="E316" s="308"/>
      <c r="F316" s="309" t="s">
        <v>273</v>
      </c>
      <c r="G316" s="320">
        <f t="shared" si="68"/>
        <v>912219</v>
      </c>
      <c r="H316" s="331">
        <f t="shared" si="60"/>
        <v>912219</v>
      </c>
      <c r="I316" s="331">
        <f t="shared" si="61"/>
        <v>0</v>
      </c>
    </row>
    <row r="317" spans="1:9" ht="25.5" hidden="1" customHeight="1">
      <c r="A317" s="304"/>
      <c r="B317" s="304"/>
      <c r="C317" s="304"/>
      <c r="D317" s="308" t="s">
        <v>259</v>
      </c>
      <c r="E317" s="304"/>
      <c r="F317" s="306" t="s">
        <v>426</v>
      </c>
      <c r="G317" s="320">
        <f t="shared" ref="G317" si="69">SUM(G318:G318)</f>
        <v>912219</v>
      </c>
      <c r="H317" s="331">
        <f t="shared" si="60"/>
        <v>912219</v>
      </c>
      <c r="I317" s="331">
        <f t="shared" si="61"/>
        <v>0</v>
      </c>
    </row>
    <row r="318" spans="1:9" hidden="1">
      <c r="A318" s="304"/>
      <c r="B318" s="304"/>
      <c r="C318" s="304"/>
      <c r="D318" s="308"/>
      <c r="E318" s="308" t="s">
        <v>113</v>
      </c>
      <c r="F318" s="313" t="s">
        <v>8</v>
      </c>
      <c r="G318" s="320">
        <v>912219</v>
      </c>
      <c r="H318" s="331">
        <f t="shared" si="60"/>
        <v>912219</v>
      </c>
      <c r="I318" s="331">
        <f t="shared" si="61"/>
        <v>0</v>
      </c>
    </row>
    <row r="319" spans="1:9" hidden="1">
      <c r="A319" s="304"/>
      <c r="B319" s="304" t="s">
        <v>36</v>
      </c>
      <c r="C319" s="304"/>
      <c r="D319" s="304"/>
      <c r="E319" s="304"/>
      <c r="F319" s="306" t="s">
        <v>115</v>
      </c>
      <c r="G319" s="320">
        <f t="shared" ref="G319" si="70">G320</f>
        <v>8672365</v>
      </c>
      <c r="H319" s="331">
        <f t="shared" si="60"/>
        <v>8672365</v>
      </c>
      <c r="I319" s="331">
        <f t="shared" si="61"/>
        <v>0</v>
      </c>
    </row>
    <row r="320" spans="1:9" ht="13.5" hidden="1" customHeight="1">
      <c r="A320" s="304"/>
      <c r="B320" s="304"/>
      <c r="C320" s="304">
        <v>360</v>
      </c>
      <c r="D320" s="308"/>
      <c r="E320" s="308"/>
      <c r="F320" s="309" t="s">
        <v>273</v>
      </c>
      <c r="G320" s="320">
        <f>G321+G323+G339+G329+G331+G337+G327+G325+G333+G335+G341</f>
        <v>8672365</v>
      </c>
      <c r="H320" s="331">
        <f t="shared" si="60"/>
        <v>8672365</v>
      </c>
      <c r="I320" s="331">
        <f t="shared" si="61"/>
        <v>0</v>
      </c>
    </row>
    <row r="321" spans="1:9" ht="25.5" hidden="1">
      <c r="A321" s="304"/>
      <c r="B321" s="304"/>
      <c r="C321" s="304"/>
      <c r="D321" s="308" t="s">
        <v>48</v>
      </c>
      <c r="E321" s="308"/>
      <c r="F321" s="309" t="s">
        <v>278</v>
      </c>
      <c r="G321" s="320">
        <f t="shared" ref="G321" si="71">SUM(G322:G322)</f>
        <v>1158874</v>
      </c>
      <c r="H321" s="331">
        <f t="shared" si="60"/>
        <v>1158874</v>
      </c>
      <c r="I321" s="331">
        <f t="shared" si="61"/>
        <v>0</v>
      </c>
    </row>
    <row r="322" spans="1:9" ht="15" hidden="1" customHeight="1">
      <c r="A322" s="304"/>
      <c r="B322" s="304"/>
      <c r="C322" s="304"/>
      <c r="D322" s="308"/>
      <c r="E322" s="308" t="s">
        <v>113</v>
      </c>
      <c r="F322" s="309" t="s">
        <v>8</v>
      </c>
      <c r="G322" s="320">
        <f>389718+785598+4080-20522</f>
        <v>1158874</v>
      </c>
      <c r="H322" s="331">
        <f t="shared" si="60"/>
        <v>1158874</v>
      </c>
      <c r="I322" s="331">
        <f t="shared" si="61"/>
        <v>0</v>
      </c>
    </row>
    <row r="323" spans="1:9" ht="38.25" hidden="1">
      <c r="A323" s="304"/>
      <c r="B323" s="304"/>
      <c r="C323" s="304"/>
      <c r="D323" s="308" t="s">
        <v>215</v>
      </c>
      <c r="E323" s="308"/>
      <c r="F323" s="309" t="s">
        <v>479</v>
      </c>
      <c r="G323" s="320">
        <f t="shared" ref="G323" si="72">SUM(G324:G324)</f>
        <v>2390350</v>
      </c>
      <c r="H323" s="331">
        <f t="shared" si="60"/>
        <v>2390350</v>
      </c>
      <c r="I323" s="331">
        <f t="shared" si="61"/>
        <v>0</v>
      </c>
    </row>
    <row r="324" spans="1:9" ht="12.75" hidden="1" customHeight="1">
      <c r="A324" s="304"/>
      <c r="B324" s="304"/>
      <c r="C324" s="304"/>
      <c r="D324" s="308"/>
      <c r="E324" s="308" t="s">
        <v>113</v>
      </c>
      <c r="F324" s="309" t="s">
        <v>8</v>
      </c>
      <c r="G324" s="320">
        <v>2390350</v>
      </c>
      <c r="H324" s="331">
        <f t="shared" si="60"/>
        <v>2390350</v>
      </c>
      <c r="I324" s="331">
        <f t="shared" si="61"/>
        <v>0</v>
      </c>
    </row>
    <row r="325" spans="1:9" ht="25.5" hidden="1">
      <c r="A325" s="304"/>
      <c r="B325" s="304"/>
      <c r="C325" s="304"/>
      <c r="D325" s="308" t="s">
        <v>202</v>
      </c>
      <c r="E325" s="308"/>
      <c r="F325" s="309" t="s">
        <v>435</v>
      </c>
      <c r="G325" s="320">
        <f t="shared" ref="G325" si="73">SUM(G326:G326)</f>
        <v>0</v>
      </c>
      <c r="H325" s="331">
        <f t="shared" si="60"/>
        <v>0</v>
      </c>
      <c r="I325" s="331">
        <f t="shared" si="61"/>
        <v>0</v>
      </c>
    </row>
    <row r="326" spans="1:9" ht="12.75" hidden="1" customHeight="1">
      <c r="A326" s="304"/>
      <c r="B326" s="304"/>
      <c r="C326" s="304"/>
      <c r="D326" s="308"/>
      <c r="E326" s="308" t="s">
        <v>113</v>
      </c>
      <c r="F326" s="309" t="s">
        <v>8</v>
      </c>
      <c r="G326" s="320"/>
      <c r="H326" s="331">
        <f t="shared" si="60"/>
        <v>0</v>
      </c>
      <c r="I326" s="331">
        <f t="shared" si="61"/>
        <v>0</v>
      </c>
    </row>
    <row r="327" spans="1:9" ht="12.75" hidden="1" customHeight="1">
      <c r="A327" s="304"/>
      <c r="B327" s="304"/>
      <c r="C327" s="304"/>
      <c r="D327" s="308" t="s">
        <v>112</v>
      </c>
      <c r="E327" s="308"/>
      <c r="F327" s="313" t="s">
        <v>45</v>
      </c>
      <c r="G327" s="320">
        <f t="shared" ref="G327" si="74">G328</f>
        <v>0</v>
      </c>
      <c r="H327" s="331">
        <f t="shared" si="60"/>
        <v>0</v>
      </c>
      <c r="I327" s="331">
        <f t="shared" si="61"/>
        <v>0</v>
      </c>
    </row>
    <row r="328" spans="1:9" ht="12.75" hidden="1" customHeight="1">
      <c r="A328" s="304"/>
      <c r="B328" s="304"/>
      <c r="C328" s="304"/>
      <c r="D328" s="308"/>
      <c r="E328" s="308" t="s">
        <v>113</v>
      </c>
      <c r="F328" s="309" t="s">
        <v>8</v>
      </c>
      <c r="G328" s="320"/>
      <c r="H328" s="331">
        <f t="shared" si="60"/>
        <v>0</v>
      </c>
      <c r="I328" s="331">
        <f t="shared" si="61"/>
        <v>0</v>
      </c>
    </row>
    <row r="329" spans="1:9" ht="26.25" hidden="1" customHeight="1">
      <c r="A329" s="304"/>
      <c r="B329" s="304"/>
      <c r="C329" s="304"/>
      <c r="D329" s="308" t="s">
        <v>195</v>
      </c>
      <c r="E329" s="308"/>
      <c r="F329" s="309" t="s">
        <v>343</v>
      </c>
      <c r="G329" s="320">
        <f>SUM(G330:G330)</f>
        <v>2093484</v>
      </c>
      <c r="H329" s="331">
        <f t="shared" si="60"/>
        <v>2093484</v>
      </c>
      <c r="I329" s="331">
        <f t="shared" si="61"/>
        <v>0</v>
      </c>
    </row>
    <row r="330" spans="1:9" ht="12.75" hidden="1" customHeight="1">
      <c r="A330" s="304"/>
      <c r="B330" s="304"/>
      <c r="C330" s="304"/>
      <c r="D330" s="308"/>
      <c r="E330" s="304" t="s">
        <v>113</v>
      </c>
      <c r="F330" s="306" t="s">
        <v>8</v>
      </c>
      <c r="G330" s="320">
        <f>2140840-47356</f>
        <v>2093484</v>
      </c>
      <c r="H330" s="331">
        <f t="shared" si="60"/>
        <v>2093484</v>
      </c>
      <c r="I330" s="331">
        <f t="shared" si="61"/>
        <v>0</v>
      </c>
    </row>
    <row r="331" spans="1:9" ht="25.5" hidden="1">
      <c r="A331" s="304"/>
      <c r="B331" s="304"/>
      <c r="C331" s="304"/>
      <c r="D331" s="308" t="s">
        <v>116</v>
      </c>
      <c r="E331" s="308"/>
      <c r="F331" s="309" t="s">
        <v>344</v>
      </c>
      <c r="G331" s="320">
        <f>SUM(G332:G332)</f>
        <v>835757</v>
      </c>
      <c r="H331" s="331">
        <f t="shared" si="60"/>
        <v>835757</v>
      </c>
      <c r="I331" s="331">
        <f t="shared" si="61"/>
        <v>0</v>
      </c>
    </row>
    <row r="332" spans="1:9" ht="12.75" hidden="1" customHeight="1">
      <c r="A332" s="304"/>
      <c r="B332" s="304"/>
      <c r="C332" s="304"/>
      <c r="D332" s="308"/>
      <c r="E332" s="304" t="s">
        <v>113</v>
      </c>
      <c r="F332" s="306" t="s">
        <v>8</v>
      </c>
      <c r="G332" s="320">
        <f>851124-15367</f>
        <v>835757</v>
      </c>
      <c r="H332" s="331">
        <f t="shared" si="60"/>
        <v>835757</v>
      </c>
      <c r="I332" s="331">
        <f t="shared" si="61"/>
        <v>0</v>
      </c>
    </row>
    <row r="333" spans="1:9" ht="38.25" hidden="1">
      <c r="A333" s="304"/>
      <c r="B333" s="304"/>
      <c r="C333" s="304"/>
      <c r="D333" s="308" t="s">
        <v>280</v>
      </c>
      <c r="E333" s="304"/>
      <c r="F333" s="306" t="s">
        <v>279</v>
      </c>
      <c r="G333" s="320">
        <f t="shared" ref="G333" si="75">G334</f>
        <v>196418</v>
      </c>
      <c r="H333" s="331">
        <f t="shared" si="60"/>
        <v>196418</v>
      </c>
      <c r="I333" s="331">
        <f t="shared" si="61"/>
        <v>0</v>
      </c>
    </row>
    <row r="334" spans="1:9" ht="12.75" hidden="1" customHeight="1">
      <c r="A334" s="304"/>
      <c r="B334" s="304"/>
      <c r="C334" s="304"/>
      <c r="D334" s="308"/>
      <c r="E334" s="304" t="s">
        <v>113</v>
      </c>
      <c r="F334" s="306" t="s">
        <v>8</v>
      </c>
      <c r="G334" s="320">
        <f>286488-90070</f>
        <v>196418</v>
      </c>
      <c r="H334" s="331">
        <f t="shared" si="60"/>
        <v>196418</v>
      </c>
      <c r="I334" s="331">
        <f t="shared" si="61"/>
        <v>0</v>
      </c>
    </row>
    <row r="335" spans="1:9" ht="38.25" hidden="1">
      <c r="A335" s="304"/>
      <c r="B335" s="304"/>
      <c r="C335" s="304"/>
      <c r="D335" s="308" t="s">
        <v>281</v>
      </c>
      <c r="E335" s="304"/>
      <c r="F335" s="306" t="s">
        <v>449</v>
      </c>
      <c r="G335" s="320">
        <f t="shared" ref="G335" si="76">G336</f>
        <v>0</v>
      </c>
      <c r="H335" s="331">
        <f t="shared" si="60"/>
        <v>0</v>
      </c>
      <c r="I335" s="331">
        <f t="shared" si="61"/>
        <v>0</v>
      </c>
    </row>
    <row r="336" spans="1:9" ht="12.75" hidden="1" customHeight="1">
      <c r="A336" s="304"/>
      <c r="B336" s="304"/>
      <c r="C336" s="304"/>
      <c r="D336" s="308"/>
      <c r="E336" s="304" t="s">
        <v>113</v>
      </c>
      <c r="F336" s="306" t="s">
        <v>8</v>
      </c>
      <c r="G336" s="320">
        <f>1622-1622</f>
        <v>0</v>
      </c>
      <c r="H336" s="331">
        <f t="shared" si="60"/>
        <v>0</v>
      </c>
      <c r="I336" s="331">
        <f t="shared" si="61"/>
        <v>0</v>
      </c>
    </row>
    <row r="337" spans="1:9" hidden="1">
      <c r="A337" s="304"/>
      <c r="B337" s="304"/>
      <c r="C337" s="304"/>
      <c r="D337" s="308" t="s">
        <v>302</v>
      </c>
      <c r="E337" s="308"/>
      <c r="F337" s="309" t="s">
        <v>388</v>
      </c>
      <c r="G337" s="320">
        <f t="shared" ref="G337" si="77">SUM(G338:G338)</f>
        <v>722177</v>
      </c>
      <c r="H337" s="331">
        <f t="shared" si="60"/>
        <v>722177</v>
      </c>
      <c r="I337" s="331">
        <f t="shared" si="61"/>
        <v>0</v>
      </c>
    </row>
    <row r="338" spans="1:9" ht="12.75" hidden="1" customHeight="1">
      <c r="A338" s="304"/>
      <c r="B338" s="304"/>
      <c r="C338" s="304"/>
      <c r="D338" s="308"/>
      <c r="E338" s="308" t="s">
        <v>113</v>
      </c>
      <c r="F338" s="309" t="s">
        <v>8</v>
      </c>
      <c r="G338" s="320">
        <f>771030+20000-68853</f>
        <v>722177</v>
      </c>
      <c r="H338" s="331">
        <f t="shared" si="60"/>
        <v>722177</v>
      </c>
      <c r="I338" s="331">
        <f t="shared" si="61"/>
        <v>0</v>
      </c>
    </row>
    <row r="339" spans="1:9" ht="25.5" hidden="1">
      <c r="A339" s="304"/>
      <c r="B339" s="304"/>
      <c r="C339" s="304"/>
      <c r="D339" s="308" t="s">
        <v>282</v>
      </c>
      <c r="E339" s="308"/>
      <c r="F339" s="309" t="s">
        <v>89</v>
      </c>
      <c r="G339" s="320">
        <f t="shared" ref="G339" si="78">SUM(G340:G340)</f>
        <v>1176817</v>
      </c>
      <c r="H339" s="331">
        <f t="shared" si="60"/>
        <v>1176817</v>
      </c>
      <c r="I339" s="331">
        <f t="shared" si="61"/>
        <v>0</v>
      </c>
    </row>
    <row r="340" spans="1:9" ht="12.75" hidden="1" customHeight="1">
      <c r="A340" s="304"/>
      <c r="B340" s="304"/>
      <c r="C340" s="304"/>
      <c r="D340" s="308"/>
      <c r="E340" s="308" t="s">
        <v>113</v>
      </c>
      <c r="F340" s="309" t="s">
        <v>8</v>
      </c>
      <c r="G340" s="320">
        <f>2094863+999461-687458+769960-2000009</f>
        <v>1176817</v>
      </c>
      <c r="H340" s="331">
        <f t="shared" si="60"/>
        <v>1176817</v>
      </c>
      <c r="I340" s="331">
        <f t="shared" si="61"/>
        <v>0</v>
      </c>
    </row>
    <row r="341" spans="1:9" hidden="1">
      <c r="A341" s="304"/>
      <c r="B341" s="304"/>
      <c r="C341" s="304"/>
      <c r="D341" s="308" t="s">
        <v>328</v>
      </c>
      <c r="E341" s="308"/>
      <c r="F341" s="309" t="s">
        <v>569</v>
      </c>
      <c r="G341" s="320">
        <f>G342</f>
        <v>98488</v>
      </c>
      <c r="H341" s="331">
        <f t="shared" si="60"/>
        <v>98488</v>
      </c>
      <c r="I341" s="331">
        <f t="shared" si="61"/>
        <v>0</v>
      </c>
    </row>
    <row r="342" spans="1:9" ht="12.75" hidden="1" customHeight="1">
      <c r="A342" s="304"/>
      <c r="B342" s="304"/>
      <c r="C342" s="304"/>
      <c r="D342" s="308"/>
      <c r="E342" s="308" t="s">
        <v>113</v>
      </c>
      <c r="F342" s="309" t="s">
        <v>8</v>
      </c>
      <c r="G342" s="320">
        <f>293700-67390-127822</f>
        <v>98488</v>
      </c>
      <c r="H342" s="331">
        <f t="shared" si="60"/>
        <v>98488</v>
      </c>
      <c r="I342" s="331">
        <f t="shared" si="61"/>
        <v>0</v>
      </c>
    </row>
    <row r="343" spans="1:9" hidden="1">
      <c r="A343" s="304" t="s">
        <v>9</v>
      </c>
      <c r="B343" s="304"/>
      <c r="C343" s="304"/>
      <c r="D343" s="304"/>
      <c r="E343" s="304"/>
      <c r="F343" s="306" t="s">
        <v>10</v>
      </c>
      <c r="G343" s="320">
        <f>G344+G367+G359+G363</f>
        <v>20512397</v>
      </c>
      <c r="H343" s="331">
        <f t="shared" si="60"/>
        <v>20512397</v>
      </c>
      <c r="I343" s="331">
        <f t="shared" si="61"/>
        <v>0</v>
      </c>
    </row>
    <row r="344" spans="1:9" hidden="1">
      <c r="A344" s="304"/>
      <c r="B344" s="304" t="s">
        <v>32</v>
      </c>
      <c r="C344" s="304"/>
      <c r="D344" s="304"/>
      <c r="E344" s="304"/>
      <c r="F344" s="306" t="s">
        <v>117</v>
      </c>
      <c r="G344" s="320">
        <f>G345+G356+G354</f>
        <v>9017516</v>
      </c>
      <c r="H344" s="331">
        <f t="shared" si="60"/>
        <v>9017516</v>
      </c>
      <c r="I344" s="331">
        <f t="shared" si="61"/>
        <v>0</v>
      </c>
    </row>
    <row r="345" spans="1:9" s="293" customFormat="1" ht="25.5" hidden="1">
      <c r="A345" s="316"/>
      <c r="B345" s="316"/>
      <c r="C345" s="316">
        <v>353</v>
      </c>
      <c r="D345" s="316"/>
      <c r="E345" s="316"/>
      <c r="F345" s="321" t="s">
        <v>263</v>
      </c>
      <c r="G345" s="319">
        <f t="shared" ref="G345" si="79">G346+G348+G350+G352</f>
        <v>5789461</v>
      </c>
      <c r="H345" s="331">
        <f t="shared" si="60"/>
        <v>5789461</v>
      </c>
      <c r="I345" s="331">
        <f t="shared" si="61"/>
        <v>0</v>
      </c>
    </row>
    <row r="346" spans="1:9">
      <c r="A346" s="304"/>
      <c r="B346" s="304"/>
      <c r="C346" s="304"/>
      <c r="D346" s="304" t="s">
        <v>106</v>
      </c>
      <c r="E346" s="304"/>
      <c r="F346" s="306" t="s">
        <v>265</v>
      </c>
      <c r="G346" s="320">
        <f t="shared" ref="G346" si="80">SUM(G347:G347)</f>
        <v>360478</v>
      </c>
      <c r="H346" s="331">
        <f t="shared" si="60"/>
        <v>360478</v>
      </c>
      <c r="I346" s="331">
        <f t="shared" si="61"/>
        <v>0</v>
      </c>
    </row>
    <row r="347" spans="1:9" ht="12.75" customHeight="1">
      <c r="A347" s="304"/>
      <c r="B347" s="304"/>
      <c r="C347" s="304"/>
      <c r="D347" s="304"/>
      <c r="E347" s="308" t="s">
        <v>113</v>
      </c>
      <c r="F347" s="309" t="s">
        <v>8</v>
      </c>
      <c r="G347" s="320">
        <v>360478</v>
      </c>
      <c r="H347" s="331">
        <f t="shared" si="60"/>
        <v>360478</v>
      </c>
      <c r="I347" s="331">
        <f t="shared" si="61"/>
        <v>0</v>
      </c>
    </row>
    <row r="348" spans="1:9" ht="12.75" customHeight="1">
      <c r="A348" s="304"/>
      <c r="B348" s="304"/>
      <c r="C348" s="304"/>
      <c r="D348" s="304" t="s">
        <v>215</v>
      </c>
      <c r="E348" s="304"/>
      <c r="F348" s="306" t="s">
        <v>318</v>
      </c>
      <c r="G348" s="320">
        <f t="shared" ref="G348" si="81">SUM(G349:G349)</f>
        <v>30182</v>
      </c>
      <c r="H348" s="331">
        <f t="shared" si="60"/>
        <v>30182</v>
      </c>
      <c r="I348" s="331">
        <f t="shared" si="61"/>
        <v>0</v>
      </c>
    </row>
    <row r="349" spans="1:9" ht="12.75" customHeight="1">
      <c r="A349" s="304"/>
      <c r="B349" s="304"/>
      <c r="C349" s="304"/>
      <c r="D349" s="304"/>
      <c r="E349" s="308" t="s">
        <v>113</v>
      </c>
      <c r="F349" s="309" t="s">
        <v>8</v>
      </c>
      <c r="G349" s="320">
        <v>30182</v>
      </c>
      <c r="H349" s="331">
        <f t="shared" si="60"/>
        <v>30182</v>
      </c>
      <c r="I349" s="331">
        <f t="shared" si="61"/>
        <v>0</v>
      </c>
    </row>
    <row r="350" spans="1:9" ht="39" customHeight="1">
      <c r="A350" s="304"/>
      <c r="B350" s="304"/>
      <c r="C350" s="304"/>
      <c r="D350" s="304" t="s">
        <v>256</v>
      </c>
      <c r="E350" s="304"/>
      <c r="F350" s="306" t="s">
        <v>370</v>
      </c>
      <c r="G350" s="320">
        <f t="shared" ref="G350" si="82">G351</f>
        <v>5397957</v>
      </c>
      <c r="H350" s="331">
        <f t="shared" si="60"/>
        <v>5397957</v>
      </c>
      <c r="I350" s="331">
        <f t="shared" si="61"/>
        <v>0</v>
      </c>
    </row>
    <row r="351" spans="1:9" ht="12.75" customHeight="1">
      <c r="A351" s="304"/>
      <c r="B351" s="304"/>
      <c r="C351" s="304"/>
      <c r="D351" s="304"/>
      <c r="E351" s="304" t="s">
        <v>113</v>
      </c>
      <c r="F351" s="309" t="s">
        <v>8</v>
      </c>
      <c r="G351" s="320">
        <f>4249689+1148268</f>
        <v>5397957</v>
      </c>
      <c r="H351" s="331">
        <f t="shared" si="60"/>
        <v>5397957</v>
      </c>
      <c r="I351" s="331">
        <f t="shared" si="61"/>
        <v>0</v>
      </c>
    </row>
    <row r="352" spans="1:9" ht="25.5" customHeight="1">
      <c r="A352" s="304"/>
      <c r="B352" s="304"/>
      <c r="C352" s="304"/>
      <c r="D352" s="304" t="s">
        <v>424</v>
      </c>
      <c r="E352" s="304"/>
      <c r="F352" s="309" t="s">
        <v>423</v>
      </c>
      <c r="G352" s="320">
        <f t="shared" ref="G352" si="83">SUM(G353:G353)</f>
        <v>844</v>
      </c>
      <c r="H352" s="331">
        <f t="shared" si="60"/>
        <v>844</v>
      </c>
      <c r="I352" s="331">
        <f t="shared" si="61"/>
        <v>0</v>
      </c>
    </row>
    <row r="353" spans="1:9">
      <c r="A353" s="304"/>
      <c r="B353" s="304"/>
      <c r="C353" s="304"/>
      <c r="D353" s="304"/>
      <c r="E353" s="304" t="s">
        <v>113</v>
      </c>
      <c r="F353" s="309" t="s">
        <v>8</v>
      </c>
      <c r="G353" s="320">
        <v>844</v>
      </c>
      <c r="H353" s="331">
        <f t="shared" si="60"/>
        <v>844</v>
      </c>
      <c r="I353" s="331">
        <f t="shared" si="61"/>
        <v>0</v>
      </c>
    </row>
    <row r="354" spans="1:9" ht="25.5" hidden="1">
      <c r="A354" s="304"/>
      <c r="B354" s="304"/>
      <c r="C354" s="304" t="s">
        <v>512</v>
      </c>
      <c r="D354" s="304"/>
      <c r="E354" s="304"/>
      <c r="F354" s="306" t="s">
        <v>217</v>
      </c>
      <c r="G354" s="320">
        <f>G355</f>
        <v>1329330</v>
      </c>
      <c r="H354" s="331">
        <f t="shared" si="60"/>
        <v>1329330</v>
      </c>
      <c r="I354" s="331">
        <f t="shared" si="61"/>
        <v>0</v>
      </c>
    </row>
    <row r="355" spans="1:9" ht="38.25" hidden="1">
      <c r="A355" s="304"/>
      <c r="B355" s="304"/>
      <c r="C355" s="304"/>
      <c r="D355" s="304" t="s">
        <v>274</v>
      </c>
      <c r="E355" s="304"/>
      <c r="F355" s="306" t="s">
        <v>601</v>
      </c>
      <c r="G355" s="320">
        <v>1329330</v>
      </c>
      <c r="H355" s="331">
        <f t="shared" si="60"/>
        <v>1329330</v>
      </c>
      <c r="I355" s="331">
        <f t="shared" si="61"/>
        <v>0</v>
      </c>
    </row>
    <row r="356" spans="1:9" ht="14.25" hidden="1" customHeight="1">
      <c r="A356" s="304"/>
      <c r="B356" s="304"/>
      <c r="C356" s="313">
        <v>373</v>
      </c>
      <c r="D356" s="304"/>
      <c r="E356" s="313"/>
      <c r="F356" s="313" t="s">
        <v>288</v>
      </c>
      <c r="G356" s="320">
        <f t="shared" ref="G356" si="84">G357</f>
        <v>1898725</v>
      </c>
      <c r="H356" s="331">
        <f t="shared" si="60"/>
        <v>1898725</v>
      </c>
      <c r="I356" s="331">
        <f t="shared" si="61"/>
        <v>0</v>
      </c>
    </row>
    <row r="357" spans="1:9" hidden="1">
      <c r="A357" s="304"/>
      <c r="B357" s="304"/>
      <c r="C357" s="304"/>
      <c r="D357" s="304" t="s">
        <v>286</v>
      </c>
      <c r="E357" s="304"/>
      <c r="F357" s="309" t="s">
        <v>409</v>
      </c>
      <c r="G357" s="320">
        <f t="shared" ref="G357" si="85">SUM(G358:G358)</f>
        <v>1898725</v>
      </c>
      <c r="H357" s="331">
        <f t="shared" si="60"/>
        <v>1898725</v>
      </c>
      <c r="I357" s="331">
        <f t="shared" si="61"/>
        <v>0</v>
      </c>
    </row>
    <row r="358" spans="1:9" ht="12.75" hidden="1" customHeight="1">
      <c r="A358" s="304"/>
      <c r="B358" s="304"/>
      <c r="C358" s="304"/>
      <c r="D358" s="304"/>
      <c r="E358" s="304" t="s">
        <v>113</v>
      </c>
      <c r="F358" s="309" t="s">
        <v>8</v>
      </c>
      <c r="G358" s="320">
        <f>500000+129032+1135318+4375+100000+30000</f>
        <v>1898725</v>
      </c>
      <c r="H358" s="331">
        <f t="shared" si="60"/>
        <v>1898725</v>
      </c>
      <c r="I358" s="331">
        <f t="shared" si="61"/>
        <v>0</v>
      </c>
    </row>
    <row r="359" spans="1:9" hidden="1">
      <c r="A359" s="304"/>
      <c r="B359" s="304" t="s">
        <v>107</v>
      </c>
      <c r="C359" s="304"/>
      <c r="D359" s="304"/>
      <c r="E359" s="304"/>
      <c r="F359" s="306" t="s">
        <v>345</v>
      </c>
      <c r="G359" s="320">
        <f t="shared" ref="G359:G360" si="86">G360</f>
        <v>4343995</v>
      </c>
      <c r="H359" s="331">
        <f t="shared" si="60"/>
        <v>4343995</v>
      </c>
      <c r="I359" s="331">
        <f t="shared" si="61"/>
        <v>0</v>
      </c>
    </row>
    <row r="360" spans="1:9" s="293" customFormat="1" ht="25.5" hidden="1">
      <c r="A360" s="316"/>
      <c r="B360" s="316"/>
      <c r="C360" s="316">
        <v>353</v>
      </c>
      <c r="D360" s="316"/>
      <c r="E360" s="316"/>
      <c r="F360" s="321" t="s">
        <v>263</v>
      </c>
      <c r="G360" s="319">
        <f t="shared" si="86"/>
        <v>4343995</v>
      </c>
      <c r="H360" s="331">
        <v>4813994</v>
      </c>
      <c r="I360" s="331">
        <f t="shared" si="61"/>
        <v>-469999</v>
      </c>
    </row>
    <row r="361" spans="1:9" ht="38.25">
      <c r="A361" s="304"/>
      <c r="B361" s="304"/>
      <c r="C361" s="304"/>
      <c r="D361" s="304" t="s">
        <v>281</v>
      </c>
      <c r="E361" s="304"/>
      <c r="F361" s="306" t="s">
        <v>319</v>
      </c>
      <c r="G361" s="320">
        <f>SUM(G362:G362)</f>
        <v>4343995</v>
      </c>
      <c r="H361" s="331">
        <v>4813994</v>
      </c>
      <c r="I361" s="331">
        <f t="shared" si="61"/>
        <v>-469999</v>
      </c>
    </row>
    <row r="362" spans="1:9">
      <c r="A362" s="304"/>
      <c r="B362" s="304"/>
      <c r="C362" s="304"/>
      <c r="D362" s="304"/>
      <c r="E362" s="304" t="s">
        <v>113</v>
      </c>
      <c r="F362" s="309" t="s">
        <v>8</v>
      </c>
      <c r="G362" s="320">
        <f>4813994+13194-483193</f>
        <v>4343995</v>
      </c>
      <c r="H362" s="331">
        <v>4813994</v>
      </c>
      <c r="I362" s="331">
        <f t="shared" si="61"/>
        <v>-469999</v>
      </c>
    </row>
    <row r="363" spans="1:9" hidden="1">
      <c r="A363" s="304"/>
      <c r="B363" s="304" t="s">
        <v>110</v>
      </c>
      <c r="C363" s="304"/>
      <c r="D363" s="304"/>
      <c r="E363" s="304"/>
      <c r="F363" s="306" t="s">
        <v>475</v>
      </c>
      <c r="G363" s="320">
        <f t="shared" ref="G363:G364" si="87">G364</f>
        <v>497673</v>
      </c>
      <c r="H363" s="331">
        <f t="shared" si="60"/>
        <v>497673</v>
      </c>
      <c r="I363" s="331">
        <f t="shared" si="61"/>
        <v>0</v>
      </c>
    </row>
    <row r="364" spans="1:9" s="293" customFormat="1" ht="25.5" hidden="1">
      <c r="A364" s="316"/>
      <c r="B364" s="316"/>
      <c r="C364" s="316">
        <v>353</v>
      </c>
      <c r="D364" s="316"/>
      <c r="E364" s="316"/>
      <c r="F364" s="321" t="s">
        <v>263</v>
      </c>
      <c r="G364" s="319">
        <f t="shared" si="87"/>
        <v>497673</v>
      </c>
      <c r="H364" s="331">
        <f t="shared" si="60"/>
        <v>497673</v>
      </c>
      <c r="I364" s="331">
        <f t="shared" si="61"/>
        <v>0</v>
      </c>
    </row>
    <row r="365" spans="1:9" ht="25.5">
      <c r="A365" s="304"/>
      <c r="B365" s="304"/>
      <c r="C365" s="304"/>
      <c r="D365" s="304" t="s">
        <v>413</v>
      </c>
      <c r="E365" s="304"/>
      <c r="F365" s="306" t="s">
        <v>550</v>
      </c>
      <c r="G365" s="320">
        <f t="shared" ref="G365" si="88">SUM(G366:G366)</f>
        <v>497673</v>
      </c>
      <c r="H365" s="331">
        <f t="shared" ref="H365:H428" si="89">G365</f>
        <v>497673</v>
      </c>
      <c r="I365" s="331">
        <f t="shared" si="61"/>
        <v>0</v>
      </c>
    </row>
    <row r="366" spans="1:9">
      <c r="A366" s="304"/>
      <c r="B366" s="304"/>
      <c r="C366" s="304"/>
      <c r="D366" s="304"/>
      <c r="E366" s="304" t="s">
        <v>113</v>
      </c>
      <c r="F366" s="306" t="s">
        <v>8</v>
      </c>
      <c r="G366" s="320">
        <v>497673</v>
      </c>
      <c r="H366" s="331">
        <f t="shared" si="89"/>
        <v>497673</v>
      </c>
      <c r="I366" s="331">
        <f t="shared" ref="I366:I429" si="90">G366-H366</f>
        <v>0</v>
      </c>
    </row>
    <row r="367" spans="1:9" hidden="1">
      <c r="A367" s="304"/>
      <c r="B367" s="304" t="s">
        <v>36</v>
      </c>
      <c r="C367" s="304"/>
      <c r="D367" s="304"/>
      <c r="E367" s="304"/>
      <c r="F367" s="306" t="s">
        <v>4</v>
      </c>
      <c r="G367" s="320">
        <f t="shared" ref="G367" si="91">G368</f>
        <v>6653213</v>
      </c>
      <c r="H367" s="331">
        <f t="shared" si="89"/>
        <v>6653213</v>
      </c>
      <c r="I367" s="331">
        <f t="shared" si="90"/>
        <v>0</v>
      </c>
    </row>
    <row r="368" spans="1:9" s="293" customFormat="1" ht="25.5" hidden="1">
      <c r="A368" s="316"/>
      <c r="B368" s="316"/>
      <c r="C368" s="316">
        <v>353</v>
      </c>
      <c r="D368" s="316"/>
      <c r="E368" s="316"/>
      <c r="F368" s="321" t="s">
        <v>263</v>
      </c>
      <c r="G368" s="319">
        <f>G369+G377+G379+G375+G371+G373</f>
        <v>6653213</v>
      </c>
      <c r="H368" s="331">
        <f t="shared" si="89"/>
        <v>6653213</v>
      </c>
      <c r="I368" s="331">
        <f t="shared" si="90"/>
        <v>0</v>
      </c>
    </row>
    <row r="369" spans="1:9" ht="25.5">
      <c r="A369" s="304"/>
      <c r="B369" s="304"/>
      <c r="C369" s="304"/>
      <c r="D369" s="304" t="s">
        <v>48</v>
      </c>
      <c r="E369" s="304"/>
      <c r="F369" s="306" t="s">
        <v>266</v>
      </c>
      <c r="G369" s="320">
        <f t="shared" ref="G369" si="92">SUM(G370:G370)</f>
        <v>348254</v>
      </c>
      <c r="H369" s="331">
        <f t="shared" si="89"/>
        <v>348254</v>
      </c>
      <c r="I369" s="331">
        <f t="shared" si="90"/>
        <v>0</v>
      </c>
    </row>
    <row r="370" spans="1:9" ht="12.75" customHeight="1">
      <c r="A370" s="304"/>
      <c r="B370" s="304"/>
      <c r="C370" s="304"/>
      <c r="D370" s="304"/>
      <c r="E370" s="304" t="s">
        <v>113</v>
      </c>
      <c r="F370" s="306" t="s">
        <v>8</v>
      </c>
      <c r="G370" s="320">
        <f>339339+8915</f>
        <v>348254</v>
      </c>
      <c r="H370" s="331">
        <f t="shared" si="89"/>
        <v>348254</v>
      </c>
      <c r="I370" s="331">
        <f t="shared" si="90"/>
        <v>0</v>
      </c>
    </row>
    <row r="371" spans="1:9" ht="25.5" customHeight="1">
      <c r="A371" s="304"/>
      <c r="B371" s="304"/>
      <c r="C371" s="304"/>
      <c r="D371" s="304" t="s">
        <v>213</v>
      </c>
      <c r="E371" s="304"/>
      <c r="F371" s="306" t="s">
        <v>320</v>
      </c>
      <c r="G371" s="320">
        <f>SUM(G372:G372)</f>
        <v>186490</v>
      </c>
      <c r="H371" s="331">
        <f t="shared" si="89"/>
        <v>186490</v>
      </c>
      <c r="I371" s="331">
        <f t="shared" si="90"/>
        <v>0</v>
      </c>
    </row>
    <row r="372" spans="1:9">
      <c r="A372" s="304"/>
      <c r="B372" s="304"/>
      <c r="C372" s="304"/>
      <c r="D372" s="304"/>
      <c r="E372" s="304" t="s">
        <v>113</v>
      </c>
      <c r="F372" s="306" t="s">
        <v>8</v>
      </c>
      <c r="G372" s="320">
        <v>186490</v>
      </c>
      <c r="H372" s="331">
        <f t="shared" si="89"/>
        <v>186490</v>
      </c>
      <c r="I372" s="331">
        <f t="shared" si="90"/>
        <v>0</v>
      </c>
    </row>
    <row r="373" spans="1:9" ht="25.5">
      <c r="A373" s="304"/>
      <c r="B373" s="304"/>
      <c r="C373" s="304"/>
      <c r="D373" s="304" t="s">
        <v>225</v>
      </c>
      <c r="E373" s="304"/>
      <c r="F373" s="306" t="s">
        <v>389</v>
      </c>
      <c r="G373" s="320">
        <f t="shared" ref="G373" si="93">G374</f>
        <v>53749</v>
      </c>
      <c r="H373" s="331">
        <f t="shared" si="89"/>
        <v>53749</v>
      </c>
      <c r="I373" s="331">
        <f t="shared" si="90"/>
        <v>0</v>
      </c>
    </row>
    <row r="374" spans="1:9" ht="12.75" customHeight="1">
      <c r="A374" s="304"/>
      <c r="B374" s="304"/>
      <c r="C374" s="304"/>
      <c r="D374" s="304"/>
      <c r="E374" s="304" t="s">
        <v>113</v>
      </c>
      <c r="F374" s="306" t="s">
        <v>8</v>
      </c>
      <c r="G374" s="320">
        <v>53749</v>
      </c>
      <c r="H374" s="331">
        <f t="shared" si="89"/>
        <v>53749</v>
      </c>
      <c r="I374" s="331">
        <f t="shared" si="90"/>
        <v>0</v>
      </c>
    </row>
    <row r="375" spans="1:9">
      <c r="A375" s="304"/>
      <c r="B375" s="304"/>
      <c r="C375" s="304"/>
      <c r="D375" s="304" t="s">
        <v>254</v>
      </c>
      <c r="E375" s="304"/>
      <c r="F375" s="306" t="s">
        <v>346</v>
      </c>
      <c r="G375" s="320">
        <f t="shared" ref="G375" si="94">G376</f>
        <v>80000</v>
      </c>
      <c r="H375" s="331">
        <f t="shared" si="89"/>
        <v>80000</v>
      </c>
      <c r="I375" s="331">
        <f t="shared" si="90"/>
        <v>0</v>
      </c>
    </row>
    <row r="376" spans="1:9" ht="12.75" customHeight="1">
      <c r="A376" s="304"/>
      <c r="B376" s="304"/>
      <c r="C376" s="304"/>
      <c r="D376" s="304"/>
      <c r="E376" s="304" t="s">
        <v>113</v>
      </c>
      <c r="F376" s="306" t="s">
        <v>8</v>
      </c>
      <c r="G376" s="320">
        <v>80000</v>
      </c>
      <c r="H376" s="331">
        <f t="shared" si="89"/>
        <v>80000</v>
      </c>
      <c r="I376" s="331">
        <f t="shared" si="90"/>
        <v>0</v>
      </c>
    </row>
    <row r="377" spans="1:9" ht="12.75" hidden="1" customHeight="1">
      <c r="A377" s="304"/>
      <c r="B377" s="304"/>
      <c r="C377" s="304"/>
      <c r="D377" s="304" t="s">
        <v>235</v>
      </c>
      <c r="E377" s="304"/>
      <c r="F377" s="306" t="s">
        <v>45</v>
      </c>
      <c r="G377" s="320">
        <f t="shared" ref="G377" si="95">G378</f>
        <v>0</v>
      </c>
      <c r="H377" s="331">
        <f t="shared" si="89"/>
        <v>0</v>
      </c>
      <c r="I377" s="331">
        <f t="shared" si="90"/>
        <v>0</v>
      </c>
    </row>
    <row r="378" spans="1:9" ht="12.75" hidden="1" customHeight="1">
      <c r="A378" s="304"/>
      <c r="B378" s="304"/>
      <c r="C378" s="304"/>
      <c r="D378" s="304"/>
      <c r="E378" s="304" t="s">
        <v>113</v>
      </c>
      <c r="F378" s="306" t="s">
        <v>8</v>
      </c>
      <c r="G378" s="320"/>
      <c r="H378" s="331">
        <f t="shared" si="89"/>
        <v>0</v>
      </c>
      <c r="I378" s="331">
        <f t="shared" si="90"/>
        <v>0</v>
      </c>
    </row>
    <row r="379" spans="1:9">
      <c r="A379" s="304"/>
      <c r="B379" s="304"/>
      <c r="C379" s="304"/>
      <c r="D379" s="304" t="s">
        <v>268</v>
      </c>
      <c r="E379" s="304"/>
      <c r="F379" s="306" t="s">
        <v>267</v>
      </c>
      <c r="G379" s="320">
        <f>SUM(G380:G381)</f>
        <v>5984720</v>
      </c>
      <c r="H379" s="331">
        <f>H380+H381</f>
        <v>5883960</v>
      </c>
      <c r="I379" s="331">
        <f t="shared" si="90"/>
        <v>100760</v>
      </c>
    </row>
    <row r="380" spans="1:9">
      <c r="A380" s="304"/>
      <c r="B380" s="304"/>
      <c r="C380" s="304"/>
      <c r="D380" s="304"/>
      <c r="E380" s="304" t="s">
        <v>112</v>
      </c>
      <c r="F380" s="306" t="s">
        <v>128</v>
      </c>
      <c r="G380" s="320">
        <v>1477798</v>
      </c>
      <c r="H380" s="331">
        <f t="shared" si="89"/>
        <v>1477798</v>
      </c>
      <c r="I380" s="331">
        <f t="shared" si="90"/>
        <v>0</v>
      </c>
    </row>
    <row r="381" spans="1:9" ht="12.75" customHeight="1">
      <c r="A381" s="304"/>
      <c r="B381" s="304"/>
      <c r="C381" s="304"/>
      <c r="D381" s="304"/>
      <c r="E381" s="304" t="s">
        <v>113</v>
      </c>
      <c r="F381" s="306" t="s">
        <v>8</v>
      </c>
      <c r="G381" s="320">
        <f>4406162+100760</f>
        <v>4506922</v>
      </c>
      <c r="H381" s="331">
        <v>4406162</v>
      </c>
      <c r="I381" s="331">
        <f t="shared" si="90"/>
        <v>100760</v>
      </c>
    </row>
    <row r="382" spans="1:9" ht="12.75" hidden="1" customHeight="1">
      <c r="A382" s="304" t="s">
        <v>5</v>
      </c>
      <c r="B382" s="322"/>
      <c r="C382" s="322"/>
      <c r="D382" s="322"/>
      <c r="E382" s="322"/>
      <c r="F382" s="306" t="s">
        <v>6</v>
      </c>
      <c r="G382" s="320">
        <f>G383+G412+G436</f>
        <v>45806193</v>
      </c>
      <c r="H382" s="331">
        <f t="shared" si="89"/>
        <v>45806193</v>
      </c>
      <c r="I382" s="331">
        <f t="shared" si="90"/>
        <v>0</v>
      </c>
    </row>
    <row r="383" spans="1:9" hidden="1">
      <c r="A383" s="304"/>
      <c r="B383" s="304" t="s">
        <v>31</v>
      </c>
      <c r="C383" s="304"/>
      <c r="D383" s="304"/>
      <c r="E383" s="304"/>
      <c r="F383" s="306" t="s">
        <v>7</v>
      </c>
      <c r="G383" s="320">
        <f>G384+G408+G399+G405</f>
        <v>13679262</v>
      </c>
      <c r="H383" s="331">
        <f t="shared" si="89"/>
        <v>13679262</v>
      </c>
      <c r="I383" s="331">
        <f t="shared" si="90"/>
        <v>0</v>
      </c>
    </row>
    <row r="384" spans="1:9" ht="25.5" hidden="1">
      <c r="A384" s="304"/>
      <c r="B384" s="304"/>
      <c r="C384" s="304">
        <v>333</v>
      </c>
      <c r="D384" s="304"/>
      <c r="E384" s="304"/>
      <c r="F384" s="306" t="s">
        <v>217</v>
      </c>
      <c r="G384" s="320">
        <f>G385+G387+G389+G391+G393+G395+G398</f>
        <v>8066202</v>
      </c>
      <c r="H384" s="331">
        <f t="shared" si="89"/>
        <v>8066202</v>
      </c>
      <c r="I384" s="331">
        <f t="shared" si="90"/>
        <v>0</v>
      </c>
    </row>
    <row r="385" spans="1:9" ht="51" hidden="1">
      <c r="A385" s="304"/>
      <c r="B385" s="304"/>
      <c r="C385" s="304"/>
      <c r="D385" s="304" t="s">
        <v>218</v>
      </c>
      <c r="E385" s="304"/>
      <c r="F385" s="306" t="s">
        <v>490</v>
      </c>
      <c r="G385" s="320">
        <f>SUM(G386:G386)</f>
        <v>3102053</v>
      </c>
      <c r="H385" s="331">
        <f t="shared" si="89"/>
        <v>3102053</v>
      </c>
      <c r="I385" s="331">
        <f t="shared" si="90"/>
        <v>0</v>
      </c>
    </row>
    <row r="386" spans="1:9" ht="12.75" hidden="1" customHeight="1">
      <c r="A386" s="304"/>
      <c r="B386" s="304"/>
      <c r="C386" s="304"/>
      <c r="D386" s="304"/>
      <c r="E386" s="304" t="s">
        <v>113</v>
      </c>
      <c r="F386" s="306" t="s">
        <v>8</v>
      </c>
      <c r="G386" s="320">
        <f>3252781-52862+4510-9135+17000+2107-112348</f>
        <v>3102053</v>
      </c>
      <c r="H386" s="331">
        <f t="shared" si="89"/>
        <v>3102053</v>
      </c>
      <c r="I386" s="331">
        <f t="shared" si="90"/>
        <v>0</v>
      </c>
    </row>
    <row r="387" spans="1:9" ht="53.25" hidden="1" customHeight="1">
      <c r="A387" s="304"/>
      <c r="B387" s="304"/>
      <c r="C387" s="304"/>
      <c r="D387" s="304" t="s">
        <v>216</v>
      </c>
      <c r="E387" s="304"/>
      <c r="F387" s="306" t="s">
        <v>491</v>
      </c>
      <c r="G387" s="320">
        <f>SUM(G388:G388)</f>
        <v>2444680</v>
      </c>
      <c r="H387" s="331">
        <f t="shared" si="89"/>
        <v>2444680</v>
      </c>
      <c r="I387" s="331">
        <f t="shared" si="90"/>
        <v>0</v>
      </c>
    </row>
    <row r="388" spans="1:9" ht="12.75" hidden="1" customHeight="1">
      <c r="A388" s="304"/>
      <c r="B388" s="304"/>
      <c r="C388" s="304"/>
      <c r="D388" s="304"/>
      <c r="E388" s="304" t="s">
        <v>113</v>
      </c>
      <c r="F388" s="306" t="s">
        <v>8</v>
      </c>
      <c r="G388" s="320">
        <f>2333587+100440+10270+6927-6544</f>
        <v>2444680</v>
      </c>
      <c r="H388" s="331">
        <f t="shared" si="89"/>
        <v>2444680</v>
      </c>
      <c r="I388" s="331">
        <f t="shared" si="90"/>
        <v>0</v>
      </c>
    </row>
    <row r="389" spans="1:9" ht="54" hidden="1" customHeight="1">
      <c r="A389" s="304"/>
      <c r="B389" s="304"/>
      <c r="C389" s="304"/>
      <c r="D389" s="304" t="s">
        <v>114</v>
      </c>
      <c r="E389" s="304"/>
      <c r="F389" s="306" t="s">
        <v>492</v>
      </c>
      <c r="G389" s="320">
        <f>SUM(G390:G390)</f>
        <v>1177674</v>
      </c>
      <c r="H389" s="331">
        <f t="shared" si="89"/>
        <v>1177674</v>
      </c>
      <c r="I389" s="331">
        <f t="shared" si="90"/>
        <v>0</v>
      </c>
    </row>
    <row r="390" spans="1:9" ht="12.75" hidden="1" customHeight="1">
      <c r="A390" s="304"/>
      <c r="B390" s="304"/>
      <c r="C390" s="304"/>
      <c r="D390" s="304"/>
      <c r="E390" s="304" t="s">
        <v>113</v>
      </c>
      <c r="F390" s="306" t="s">
        <v>8</v>
      </c>
      <c r="G390" s="320">
        <f>1172690+24792+2000+6121-27929</f>
        <v>1177674</v>
      </c>
      <c r="H390" s="331">
        <f t="shared" si="89"/>
        <v>1177674</v>
      </c>
      <c r="I390" s="331">
        <f t="shared" si="90"/>
        <v>0</v>
      </c>
    </row>
    <row r="391" spans="1:9" ht="25.5" hidden="1" customHeight="1">
      <c r="A391" s="304"/>
      <c r="B391" s="304"/>
      <c r="C391" s="304"/>
      <c r="D391" s="304" t="s">
        <v>360</v>
      </c>
      <c r="E391" s="304"/>
      <c r="F391" s="306" t="s">
        <v>515</v>
      </c>
      <c r="G391" s="320">
        <f t="shared" ref="G391" si="96">G392</f>
        <v>1298</v>
      </c>
      <c r="H391" s="331">
        <f t="shared" si="89"/>
        <v>1298</v>
      </c>
      <c r="I391" s="331">
        <f t="shared" si="90"/>
        <v>0</v>
      </c>
    </row>
    <row r="392" spans="1:9" hidden="1">
      <c r="A392" s="304"/>
      <c r="B392" s="304"/>
      <c r="C392" s="304"/>
      <c r="D392" s="304"/>
      <c r="E392" s="304" t="s">
        <v>113</v>
      </c>
      <c r="F392" s="306" t="s">
        <v>8</v>
      </c>
      <c r="G392" s="320">
        <v>1298</v>
      </c>
      <c r="H392" s="331">
        <f t="shared" si="89"/>
        <v>1298</v>
      </c>
      <c r="I392" s="331">
        <f t="shared" si="90"/>
        <v>0</v>
      </c>
    </row>
    <row r="393" spans="1:9" ht="27" hidden="1" customHeight="1">
      <c r="A393" s="304"/>
      <c r="B393" s="304"/>
      <c r="C393" s="304"/>
      <c r="D393" s="304" t="s">
        <v>528</v>
      </c>
      <c r="E393" s="304"/>
      <c r="F393" s="306" t="s">
        <v>529</v>
      </c>
      <c r="G393" s="320">
        <f>SUM(G394:G394)</f>
        <v>788250</v>
      </c>
      <c r="H393" s="331">
        <f t="shared" si="89"/>
        <v>788250</v>
      </c>
      <c r="I393" s="331">
        <f t="shared" si="90"/>
        <v>0</v>
      </c>
    </row>
    <row r="394" spans="1:9" hidden="1">
      <c r="A394" s="304"/>
      <c r="B394" s="304"/>
      <c r="C394" s="304"/>
      <c r="D394" s="304"/>
      <c r="E394" s="304" t="s">
        <v>113</v>
      </c>
      <c r="F394" s="306" t="s">
        <v>8</v>
      </c>
      <c r="G394" s="320">
        <f>852813-35516+22579-54626+3000</f>
        <v>788250</v>
      </c>
      <c r="H394" s="331">
        <f t="shared" si="89"/>
        <v>788250</v>
      </c>
      <c r="I394" s="331">
        <f t="shared" si="90"/>
        <v>0</v>
      </c>
    </row>
    <row r="395" spans="1:9" ht="25.5" hidden="1">
      <c r="A395" s="304"/>
      <c r="B395" s="304"/>
      <c r="C395" s="304"/>
      <c r="D395" s="304" t="s">
        <v>602</v>
      </c>
      <c r="E395" s="304"/>
      <c r="F395" s="306" t="s">
        <v>603</v>
      </c>
      <c r="G395" s="320">
        <f>SUM(G396:G397)</f>
        <v>416747</v>
      </c>
      <c r="H395" s="331">
        <f t="shared" si="89"/>
        <v>416747</v>
      </c>
      <c r="I395" s="331">
        <f t="shared" si="90"/>
        <v>0</v>
      </c>
    </row>
    <row r="396" spans="1:9" ht="25.5" hidden="1">
      <c r="A396" s="304"/>
      <c r="B396" s="304"/>
      <c r="C396" s="304"/>
      <c r="D396" s="304"/>
      <c r="E396" s="304" t="s">
        <v>171</v>
      </c>
      <c r="F396" s="306" t="s">
        <v>604</v>
      </c>
      <c r="G396" s="320">
        <f>375018-87504</f>
        <v>287514</v>
      </c>
      <c r="H396" s="331">
        <f t="shared" si="89"/>
        <v>287514</v>
      </c>
      <c r="I396" s="331">
        <f t="shared" si="90"/>
        <v>0</v>
      </c>
    </row>
    <row r="397" spans="1:9" ht="25.5" hidden="1">
      <c r="A397" s="304"/>
      <c r="B397" s="304"/>
      <c r="C397" s="304"/>
      <c r="D397" s="304"/>
      <c r="E397" s="304" t="s">
        <v>605</v>
      </c>
      <c r="F397" s="306" t="s">
        <v>606</v>
      </c>
      <c r="G397" s="320">
        <f>86155+43078</f>
        <v>129233</v>
      </c>
      <c r="H397" s="331">
        <f t="shared" si="89"/>
        <v>129233</v>
      </c>
      <c r="I397" s="331">
        <f t="shared" si="90"/>
        <v>0</v>
      </c>
    </row>
    <row r="398" spans="1:9" ht="25.5" hidden="1">
      <c r="A398" s="304"/>
      <c r="B398" s="304"/>
      <c r="C398" s="304"/>
      <c r="D398" s="304" t="s">
        <v>519</v>
      </c>
      <c r="E398" s="304"/>
      <c r="F398" s="306" t="s">
        <v>607</v>
      </c>
      <c r="G398" s="320">
        <f>118111+17389</f>
        <v>135500</v>
      </c>
      <c r="H398" s="331">
        <f t="shared" si="89"/>
        <v>135500</v>
      </c>
      <c r="I398" s="331">
        <f t="shared" si="90"/>
        <v>0</v>
      </c>
    </row>
    <row r="399" spans="1:9" ht="13.5" hidden="1" customHeight="1">
      <c r="A399" s="304"/>
      <c r="B399" s="304"/>
      <c r="C399" s="304" t="s">
        <v>450</v>
      </c>
      <c r="D399" s="304"/>
      <c r="E399" s="304"/>
      <c r="F399" s="306" t="s">
        <v>273</v>
      </c>
      <c r="G399" s="320">
        <f>G400+G403</f>
        <v>427475</v>
      </c>
      <c r="H399" s="331">
        <f t="shared" si="89"/>
        <v>427475</v>
      </c>
      <c r="I399" s="331">
        <f t="shared" si="90"/>
        <v>0</v>
      </c>
    </row>
    <row r="400" spans="1:9" ht="15" hidden="1" customHeight="1">
      <c r="A400" s="304"/>
      <c r="B400" s="304"/>
      <c r="C400" s="304"/>
      <c r="D400" s="304" t="s">
        <v>225</v>
      </c>
      <c r="E400" s="304"/>
      <c r="F400" s="306" t="s">
        <v>205</v>
      </c>
      <c r="G400" s="320">
        <f>SUM(G401:G402)</f>
        <v>302918</v>
      </c>
      <c r="H400" s="331">
        <f t="shared" si="89"/>
        <v>302918</v>
      </c>
      <c r="I400" s="331">
        <f t="shared" si="90"/>
        <v>0</v>
      </c>
    </row>
    <row r="401" spans="1:9" ht="25.5" hidden="1" customHeight="1">
      <c r="A401" s="304"/>
      <c r="B401" s="304"/>
      <c r="C401" s="304"/>
      <c r="D401" s="304"/>
      <c r="E401" s="304" t="s">
        <v>313</v>
      </c>
      <c r="F401" s="306" t="s">
        <v>374</v>
      </c>
      <c r="G401" s="320">
        <f>602522-12806-302069</f>
        <v>287647</v>
      </c>
      <c r="H401" s="331">
        <f t="shared" si="89"/>
        <v>287647</v>
      </c>
      <c r="I401" s="331">
        <f t="shared" si="90"/>
        <v>0</v>
      </c>
    </row>
    <row r="402" spans="1:9" ht="12.75" hidden="1" customHeight="1">
      <c r="A402" s="304"/>
      <c r="B402" s="304"/>
      <c r="C402" s="304"/>
      <c r="D402" s="304"/>
      <c r="E402" s="304" t="s">
        <v>375</v>
      </c>
      <c r="F402" s="306" t="s">
        <v>283</v>
      </c>
      <c r="G402" s="320">
        <f>28923-13652</f>
        <v>15271</v>
      </c>
      <c r="H402" s="331">
        <f t="shared" si="89"/>
        <v>15271</v>
      </c>
      <c r="I402" s="331">
        <f t="shared" si="90"/>
        <v>0</v>
      </c>
    </row>
    <row r="403" spans="1:9" hidden="1">
      <c r="A403" s="304"/>
      <c r="B403" s="304"/>
      <c r="C403" s="304"/>
      <c r="D403" s="304" t="s">
        <v>118</v>
      </c>
      <c r="E403" s="304"/>
      <c r="F403" s="306" t="s">
        <v>206</v>
      </c>
      <c r="G403" s="320">
        <f>SUM(G404:G404)</f>
        <v>124557</v>
      </c>
      <c r="H403" s="331">
        <f t="shared" si="89"/>
        <v>124557</v>
      </c>
      <c r="I403" s="331">
        <f t="shared" si="90"/>
        <v>0</v>
      </c>
    </row>
    <row r="404" spans="1:9" ht="12.75" hidden="1" customHeight="1">
      <c r="A404" s="304"/>
      <c r="B404" s="304"/>
      <c r="C404" s="304"/>
      <c r="D404" s="304"/>
      <c r="E404" s="304" t="s">
        <v>113</v>
      </c>
      <c r="F404" s="306" t="s">
        <v>8</v>
      </c>
      <c r="G404" s="320">
        <f>219668-95111</f>
        <v>124557</v>
      </c>
      <c r="H404" s="331">
        <f t="shared" si="89"/>
        <v>124557</v>
      </c>
      <c r="I404" s="331">
        <f t="shared" si="90"/>
        <v>0</v>
      </c>
    </row>
    <row r="405" spans="1:9" ht="25.5" hidden="1">
      <c r="A405" s="304"/>
      <c r="B405" s="304"/>
      <c r="C405" s="323" t="s">
        <v>658</v>
      </c>
      <c r="D405" s="323"/>
      <c r="E405" s="323"/>
      <c r="F405" s="306" t="s">
        <v>659</v>
      </c>
      <c r="G405" s="320">
        <f>SUM(G406:G407)</f>
        <v>385826</v>
      </c>
      <c r="H405" s="331">
        <f t="shared" si="89"/>
        <v>385826</v>
      </c>
      <c r="I405" s="331">
        <f t="shared" si="90"/>
        <v>0</v>
      </c>
    </row>
    <row r="406" spans="1:9" ht="25.5" hidden="1">
      <c r="A406" s="304"/>
      <c r="B406" s="304"/>
      <c r="C406" s="323"/>
      <c r="D406" s="323" t="s">
        <v>225</v>
      </c>
      <c r="E406" s="323"/>
      <c r="F406" s="306" t="s">
        <v>205</v>
      </c>
      <c r="G406" s="320">
        <f>288372+7884</f>
        <v>296256</v>
      </c>
      <c r="H406" s="331">
        <f t="shared" si="89"/>
        <v>296256</v>
      </c>
      <c r="I406" s="331">
        <f t="shared" si="90"/>
        <v>0</v>
      </c>
    </row>
    <row r="407" spans="1:9" hidden="1">
      <c r="A407" s="304"/>
      <c r="B407" s="304"/>
      <c r="C407" s="323"/>
      <c r="D407" s="323" t="s">
        <v>118</v>
      </c>
      <c r="E407" s="323"/>
      <c r="F407" s="306" t="s">
        <v>206</v>
      </c>
      <c r="G407" s="320">
        <v>89570</v>
      </c>
      <c r="H407" s="331">
        <f t="shared" si="89"/>
        <v>89570</v>
      </c>
      <c r="I407" s="331">
        <f t="shared" si="90"/>
        <v>0</v>
      </c>
    </row>
    <row r="408" spans="1:9" ht="15.75" hidden="1" customHeight="1">
      <c r="A408" s="304"/>
      <c r="B408" s="304"/>
      <c r="C408" s="313">
        <v>373</v>
      </c>
      <c r="D408" s="304"/>
      <c r="E408" s="313"/>
      <c r="F408" s="313" t="s">
        <v>288</v>
      </c>
      <c r="G408" s="320">
        <f t="shared" ref="G408" si="97">G409</f>
        <v>4799759</v>
      </c>
      <c r="H408" s="331">
        <f t="shared" si="89"/>
        <v>4799759</v>
      </c>
      <c r="I408" s="331">
        <f t="shared" si="90"/>
        <v>0</v>
      </c>
    </row>
    <row r="409" spans="1:9" ht="12" hidden="1" customHeight="1">
      <c r="A409" s="304"/>
      <c r="B409" s="304"/>
      <c r="C409" s="304"/>
      <c r="D409" s="304" t="s">
        <v>413</v>
      </c>
      <c r="E409" s="304"/>
      <c r="F409" s="306" t="s">
        <v>412</v>
      </c>
      <c r="G409" s="320">
        <f>SUM(G410:G411)</f>
        <v>4799759</v>
      </c>
      <c r="H409" s="331">
        <f t="shared" si="89"/>
        <v>4799759</v>
      </c>
      <c r="I409" s="331">
        <f t="shared" si="90"/>
        <v>0</v>
      </c>
    </row>
    <row r="410" spans="1:9" ht="12" hidden="1" customHeight="1">
      <c r="A410" s="304"/>
      <c r="B410" s="304"/>
      <c r="C410" s="304"/>
      <c r="D410" s="304"/>
      <c r="E410" s="304" t="s">
        <v>112</v>
      </c>
      <c r="F410" s="306" t="s">
        <v>128</v>
      </c>
      <c r="G410" s="320">
        <v>4625000</v>
      </c>
      <c r="H410" s="331">
        <f t="shared" si="89"/>
        <v>4625000</v>
      </c>
      <c r="I410" s="331">
        <f t="shared" si="90"/>
        <v>0</v>
      </c>
    </row>
    <row r="411" spans="1:9" ht="12.75" hidden="1" customHeight="1">
      <c r="A411" s="304"/>
      <c r="B411" s="304"/>
      <c r="C411" s="304"/>
      <c r="D411" s="304"/>
      <c r="E411" s="304" t="s">
        <v>113</v>
      </c>
      <c r="F411" s="306" t="s">
        <v>8</v>
      </c>
      <c r="G411" s="320">
        <f>164759+10000</f>
        <v>174759</v>
      </c>
      <c r="H411" s="331">
        <f t="shared" si="89"/>
        <v>174759</v>
      </c>
      <c r="I411" s="331">
        <f t="shared" si="90"/>
        <v>0</v>
      </c>
    </row>
    <row r="412" spans="1:9" hidden="1">
      <c r="A412" s="304"/>
      <c r="B412" s="304" t="s">
        <v>32</v>
      </c>
      <c r="C412" s="304"/>
      <c r="D412" s="304"/>
      <c r="E412" s="304"/>
      <c r="F412" s="306" t="s">
        <v>100</v>
      </c>
      <c r="G412" s="320">
        <f t="shared" ref="G412" si="98">G413</f>
        <v>29325296</v>
      </c>
      <c r="H412" s="331">
        <f t="shared" si="89"/>
        <v>29325296</v>
      </c>
      <c r="I412" s="331">
        <f t="shared" si="90"/>
        <v>0</v>
      </c>
    </row>
    <row r="413" spans="1:9" ht="25.5" hidden="1">
      <c r="A413" s="304"/>
      <c r="B413" s="304"/>
      <c r="C413" s="304">
        <v>333</v>
      </c>
      <c r="D413" s="304"/>
      <c r="E413" s="308"/>
      <c r="F413" s="309" t="s">
        <v>217</v>
      </c>
      <c r="G413" s="320">
        <f>G414+G418+G422+G424+G426+G432+G434+G420</f>
        <v>29325296</v>
      </c>
      <c r="H413" s="331">
        <f t="shared" si="89"/>
        <v>29325296</v>
      </c>
      <c r="I413" s="331">
        <f t="shared" si="90"/>
        <v>0</v>
      </c>
    </row>
    <row r="414" spans="1:9" hidden="1">
      <c r="A414" s="304"/>
      <c r="B414" s="304"/>
      <c r="C414" s="304"/>
      <c r="D414" s="304" t="s">
        <v>49</v>
      </c>
      <c r="E414" s="308"/>
      <c r="F414" s="309" t="s">
        <v>219</v>
      </c>
      <c r="G414" s="320">
        <f t="shared" ref="G414" si="99">SUM(G415:G417)</f>
        <v>6096587</v>
      </c>
      <c r="H414" s="331">
        <f t="shared" si="89"/>
        <v>6096587</v>
      </c>
      <c r="I414" s="331">
        <f t="shared" si="90"/>
        <v>0</v>
      </c>
    </row>
    <row r="415" spans="1:9" ht="12.75" hidden="1" customHeight="1">
      <c r="A415" s="304"/>
      <c r="B415" s="304"/>
      <c r="C415" s="304"/>
      <c r="D415" s="304"/>
      <c r="E415" s="304">
        <v>100</v>
      </c>
      <c r="F415" s="309" t="s">
        <v>220</v>
      </c>
      <c r="G415" s="320">
        <v>1699033</v>
      </c>
      <c r="H415" s="331">
        <f t="shared" si="89"/>
        <v>1699033</v>
      </c>
      <c r="I415" s="331">
        <f t="shared" si="90"/>
        <v>0</v>
      </c>
    </row>
    <row r="416" spans="1:9" ht="12.75" hidden="1" customHeight="1">
      <c r="A416" s="304"/>
      <c r="B416" s="304"/>
      <c r="C416" s="304"/>
      <c r="D416" s="304"/>
      <c r="E416" s="308" t="s">
        <v>314</v>
      </c>
      <c r="F416" s="309" t="s">
        <v>363</v>
      </c>
      <c r="G416" s="320">
        <v>218398</v>
      </c>
      <c r="H416" s="331">
        <f t="shared" si="89"/>
        <v>218398</v>
      </c>
      <c r="I416" s="331">
        <f t="shared" si="90"/>
        <v>0</v>
      </c>
    </row>
    <row r="417" spans="1:9" ht="12.75" hidden="1" customHeight="1">
      <c r="A417" s="304"/>
      <c r="B417" s="304"/>
      <c r="C417" s="304"/>
      <c r="D417" s="304"/>
      <c r="E417" s="308" t="s">
        <v>315</v>
      </c>
      <c r="F417" s="309" t="s">
        <v>471</v>
      </c>
      <c r="G417" s="320">
        <f>5448506-1269350</f>
        <v>4179156</v>
      </c>
      <c r="H417" s="331">
        <f t="shared" si="89"/>
        <v>4179156</v>
      </c>
      <c r="I417" s="331">
        <f t="shared" si="90"/>
        <v>0</v>
      </c>
    </row>
    <row r="418" spans="1:9" hidden="1">
      <c r="A418" s="304"/>
      <c r="B418" s="304"/>
      <c r="C418" s="304"/>
      <c r="D418" s="304" t="s">
        <v>185</v>
      </c>
      <c r="E418" s="308"/>
      <c r="F418" s="309" t="s">
        <v>221</v>
      </c>
      <c r="G418" s="320">
        <f>SUM(G419:G419)</f>
        <v>2634929</v>
      </c>
      <c r="H418" s="331">
        <f t="shared" si="89"/>
        <v>2634929</v>
      </c>
      <c r="I418" s="331">
        <f t="shared" si="90"/>
        <v>0</v>
      </c>
    </row>
    <row r="419" spans="1:9" ht="12.75" hidden="1" customHeight="1">
      <c r="A419" s="304"/>
      <c r="B419" s="304"/>
      <c r="C419" s="304"/>
      <c r="D419" s="304"/>
      <c r="E419" s="308" t="s">
        <v>113</v>
      </c>
      <c r="F419" s="309" t="s">
        <v>8</v>
      </c>
      <c r="G419" s="320">
        <f>3848533-1213604</f>
        <v>2634929</v>
      </c>
      <c r="H419" s="331">
        <f t="shared" si="89"/>
        <v>2634929</v>
      </c>
      <c r="I419" s="331">
        <f t="shared" si="90"/>
        <v>0</v>
      </c>
    </row>
    <row r="420" spans="1:9" ht="12.75" hidden="1" customHeight="1">
      <c r="A420" s="304"/>
      <c r="B420" s="304"/>
      <c r="C420" s="304"/>
      <c r="D420" s="304" t="s">
        <v>106</v>
      </c>
      <c r="E420" s="308"/>
      <c r="F420" s="309" t="s">
        <v>476</v>
      </c>
      <c r="G420" s="320">
        <f t="shared" ref="G420" si="100">SUM(G421:G421)</f>
        <v>130637</v>
      </c>
      <c r="H420" s="331">
        <f t="shared" si="89"/>
        <v>130637</v>
      </c>
      <c r="I420" s="331">
        <f t="shared" si="90"/>
        <v>0</v>
      </c>
    </row>
    <row r="421" spans="1:9" ht="12.75" hidden="1" customHeight="1">
      <c r="A421" s="304"/>
      <c r="B421" s="304"/>
      <c r="C421" s="304"/>
      <c r="D421" s="304"/>
      <c r="E421" s="308" t="s">
        <v>113</v>
      </c>
      <c r="F421" s="309" t="s">
        <v>8</v>
      </c>
      <c r="G421" s="320">
        <f>162355-28723+4368-12577+2000+3214</f>
        <v>130637</v>
      </c>
      <c r="H421" s="331">
        <f t="shared" si="89"/>
        <v>130637</v>
      </c>
      <c r="I421" s="331">
        <f t="shared" si="90"/>
        <v>0</v>
      </c>
    </row>
    <row r="422" spans="1:9" hidden="1">
      <c r="A422" s="304"/>
      <c r="B422" s="304"/>
      <c r="C422" s="304"/>
      <c r="D422" s="304" t="s">
        <v>215</v>
      </c>
      <c r="E422" s="308"/>
      <c r="F422" s="309" t="s">
        <v>222</v>
      </c>
      <c r="G422" s="320">
        <f t="shared" ref="G422" si="101">G423</f>
        <v>11111</v>
      </c>
      <c r="H422" s="331">
        <f t="shared" si="89"/>
        <v>11111</v>
      </c>
      <c r="I422" s="331">
        <f t="shared" si="90"/>
        <v>0</v>
      </c>
    </row>
    <row r="423" spans="1:9" ht="12.75" hidden="1" customHeight="1">
      <c r="A423" s="304"/>
      <c r="B423" s="304"/>
      <c r="C423" s="304"/>
      <c r="D423" s="304"/>
      <c r="E423" s="308" t="s">
        <v>113</v>
      </c>
      <c r="F423" s="309" t="s">
        <v>8</v>
      </c>
      <c r="G423" s="320">
        <v>11111</v>
      </c>
      <c r="H423" s="331">
        <f t="shared" si="89"/>
        <v>11111</v>
      </c>
      <c r="I423" s="331">
        <f t="shared" si="90"/>
        <v>0</v>
      </c>
    </row>
    <row r="424" spans="1:9" ht="25.5" hidden="1">
      <c r="A424" s="304"/>
      <c r="B424" s="304"/>
      <c r="C424" s="304"/>
      <c r="D424" s="304" t="s">
        <v>213</v>
      </c>
      <c r="E424" s="308"/>
      <c r="F424" s="309" t="s">
        <v>223</v>
      </c>
      <c r="G424" s="320">
        <f t="shared" ref="G424" si="102">SUM(G425:G425)</f>
        <v>4058373</v>
      </c>
      <c r="H424" s="331">
        <f t="shared" si="89"/>
        <v>4058373</v>
      </c>
      <c r="I424" s="331">
        <f t="shared" si="90"/>
        <v>0</v>
      </c>
    </row>
    <row r="425" spans="1:9" ht="12.75" hidden="1" customHeight="1">
      <c r="A425" s="304"/>
      <c r="B425" s="304"/>
      <c r="C425" s="304"/>
      <c r="D425" s="304"/>
      <c r="E425" s="308" t="s">
        <v>113</v>
      </c>
      <c r="F425" s="309" t="s">
        <v>8</v>
      </c>
      <c r="G425" s="320">
        <f>3982909+243089-167625</f>
        <v>4058373</v>
      </c>
      <c r="H425" s="331">
        <f t="shared" si="89"/>
        <v>4058373</v>
      </c>
      <c r="I425" s="331">
        <f t="shared" si="90"/>
        <v>0</v>
      </c>
    </row>
    <row r="426" spans="1:9" hidden="1">
      <c r="A426" s="304"/>
      <c r="B426" s="304"/>
      <c r="C426" s="304"/>
      <c r="D426" s="304" t="s">
        <v>202</v>
      </c>
      <c r="E426" s="308"/>
      <c r="F426" s="309" t="s">
        <v>493</v>
      </c>
      <c r="G426" s="320">
        <f>SUM(G427:G431)</f>
        <v>6799040</v>
      </c>
      <c r="H426" s="331">
        <f t="shared" si="89"/>
        <v>6799040</v>
      </c>
      <c r="I426" s="331">
        <f t="shared" si="90"/>
        <v>0</v>
      </c>
    </row>
    <row r="427" spans="1:9" ht="25.5" hidden="1" customHeight="1">
      <c r="A427" s="304"/>
      <c r="B427" s="304"/>
      <c r="C427" s="304"/>
      <c r="D427" s="304"/>
      <c r="E427" s="304" t="s">
        <v>314</v>
      </c>
      <c r="F427" s="324" t="s">
        <v>494</v>
      </c>
      <c r="G427" s="320">
        <v>294742</v>
      </c>
      <c r="H427" s="331">
        <f t="shared" si="89"/>
        <v>294742</v>
      </c>
      <c r="I427" s="331">
        <f t="shared" si="90"/>
        <v>0</v>
      </c>
    </row>
    <row r="428" spans="1:9" ht="38.25" hidden="1" customHeight="1">
      <c r="A428" s="304"/>
      <c r="B428" s="304"/>
      <c r="C428" s="304"/>
      <c r="D428" s="304"/>
      <c r="E428" s="308" t="s">
        <v>315</v>
      </c>
      <c r="F428" s="324" t="s">
        <v>495</v>
      </c>
      <c r="G428" s="320">
        <f>4290514+150978+365909</f>
        <v>4807401</v>
      </c>
      <c r="H428" s="331">
        <f t="shared" si="89"/>
        <v>4807401</v>
      </c>
      <c r="I428" s="331">
        <f t="shared" si="90"/>
        <v>0</v>
      </c>
    </row>
    <row r="429" spans="1:9" ht="51" hidden="1" customHeight="1">
      <c r="A429" s="304"/>
      <c r="B429" s="304"/>
      <c r="C429" s="304"/>
      <c r="D429" s="304"/>
      <c r="E429" s="308" t="s">
        <v>347</v>
      </c>
      <c r="F429" s="324" t="s">
        <v>496</v>
      </c>
      <c r="G429" s="320">
        <f>851317+12015+14635+29051-28261</f>
        <v>878757</v>
      </c>
      <c r="H429" s="331">
        <f t="shared" ref="H429:H492" si="103">G429</f>
        <v>878757</v>
      </c>
      <c r="I429" s="331">
        <f t="shared" si="90"/>
        <v>0</v>
      </c>
    </row>
    <row r="430" spans="1:9" ht="25.5" hidden="1" customHeight="1">
      <c r="A430" s="304"/>
      <c r="B430" s="304"/>
      <c r="C430" s="304"/>
      <c r="D430" s="304"/>
      <c r="E430" s="308">
        <v>104</v>
      </c>
      <c r="F430" s="324" t="s">
        <v>497</v>
      </c>
      <c r="G430" s="320">
        <v>110936</v>
      </c>
      <c r="H430" s="331">
        <f t="shared" si="103"/>
        <v>110936</v>
      </c>
      <c r="I430" s="331">
        <f t="shared" ref="I430:I493" si="104">G430-H430</f>
        <v>0</v>
      </c>
    </row>
    <row r="431" spans="1:9" ht="29.25" hidden="1" customHeight="1">
      <c r="A431" s="304"/>
      <c r="B431" s="304"/>
      <c r="C431" s="304"/>
      <c r="D431" s="304"/>
      <c r="E431" s="308" t="s">
        <v>348</v>
      </c>
      <c r="F431" s="309" t="s">
        <v>362</v>
      </c>
      <c r="G431" s="320">
        <f>508210+28982+34795+138271-3054</f>
        <v>707204</v>
      </c>
      <c r="H431" s="331">
        <f t="shared" si="103"/>
        <v>707204</v>
      </c>
      <c r="I431" s="331">
        <f t="shared" si="104"/>
        <v>0</v>
      </c>
    </row>
    <row r="432" spans="1:9" ht="76.5" hidden="1">
      <c r="A432" s="304"/>
      <c r="B432" s="304"/>
      <c r="C432" s="304"/>
      <c r="D432" s="304" t="s">
        <v>113</v>
      </c>
      <c r="E432" s="308"/>
      <c r="F432" s="309" t="s">
        <v>498</v>
      </c>
      <c r="G432" s="117">
        <f>SUM(G433:G433)</f>
        <v>9253989</v>
      </c>
      <c r="H432" s="331">
        <f t="shared" si="103"/>
        <v>9253989</v>
      </c>
      <c r="I432" s="331">
        <f t="shared" si="104"/>
        <v>0</v>
      </c>
    </row>
    <row r="433" spans="1:9" ht="12.75" hidden="1" customHeight="1">
      <c r="A433" s="304"/>
      <c r="B433" s="304"/>
      <c r="C433" s="304"/>
      <c r="D433" s="304"/>
      <c r="E433" s="308" t="s">
        <v>113</v>
      </c>
      <c r="F433" s="309" t="s">
        <v>8</v>
      </c>
      <c r="G433" s="117">
        <f>8879213+194870+381851-367260+629879-464564</f>
        <v>9253989</v>
      </c>
      <c r="H433" s="331">
        <f t="shared" si="103"/>
        <v>9253989</v>
      </c>
      <c r="I433" s="331">
        <f t="shared" si="104"/>
        <v>0</v>
      </c>
    </row>
    <row r="434" spans="1:9" ht="13.5" hidden="1" customHeight="1">
      <c r="A434" s="304"/>
      <c r="B434" s="304"/>
      <c r="C434" s="304"/>
      <c r="D434" s="304" t="s">
        <v>225</v>
      </c>
      <c r="E434" s="308"/>
      <c r="F434" s="309" t="s">
        <v>224</v>
      </c>
      <c r="G434" s="117">
        <f>SUM(G435:G435)</f>
        <v>340630</v>
      </c>
      <c r="H434" s="331">
        <f t="shared" si="103"/>
        <v>340630</v>
      </c>
      <c r="I434" s="331">
        <f t="shared" si="104"/>
        <v>0</v>
      </c>
    </row>
    <row r="435" spans="1:9" ht="12.75" hidden="1" customHeight="1">
      <c r="A435" s="304"/>
      <c r="B435" s="304"/>
      <c r="C435" s="304"/>
      <c r="D435" s="304"/>
      <c r="E435" s="308" t="s">
        <v>113</v>
      </c>
      <c r="F435" s="309" t="s">
        <v>8</v>
      </c>
      <c r="G435" s="117">
        <f>342878-2265+750-2733+2000</f>
        <v>340630</v>
      </c>
      <c r="H435" s="331">
        <f t="shared" si="103"/>
        <v>340630</v>
      </c>
      <c r="I435" s="331">
        <f t="shared" si="104"/>
        <v>0</v>
      </c>
    </row>
    <row r="436" spans="1:9" ht="12.75" hidden="1" customHeight="1">
      <c r="A436" s="304"/>
      <c r="B436" s="304" t="s">
        <v>36</v>
      </c>
      <c r="C436" s="304"/>
      <c r="D436" s="304"/>
      <c r="E436" s="304"/>
      <c r="F436" s="306" t="s">
        <v>101</v>
      </c>
      <c r="G436" s="320">
        <f>G439+G437+G457+G459</f>
        <v>2801635</v>
      </c>
      <c r="H436" s="331">
        <f t="shared" si="103"/>
        <v>2801635</v>
      </c>
      <c r="I436" s="331">
        <f t="shared" si="104"/>
        <v>0</v>
      </c>
    </row>
    <row r="437" spans="1:9" hidden="1">
      <c r="A437" s="304"/>
      <c r="B437" s="304"/>
      <c r="C437" s="304" t="s">
        <v>446</v>
      </c>
      <c r="D437" s="304"/>
      <c r="E437" s="304"/>
      <c r="F437" s="306" t="s">
        <v>441</v>
      </c>
      <c r="G437" s="325">
        <f t="shared" ref="G437" si="105">G438</f>
        <v>1174000</v>
      </c>
      <c r="H437" s="331">
        <f t="shared" si="103"/>
        <v>1174000</v>
      </c>
      <c r="I437" s="331">
        <f t="shared" si="104"/>
        <v>0</v>
      </c>
    </row>
    <row r="438" spans="1:9" hidden="1">
      <c r="A438" s="304"/>
      <c r="B438" s="304"/>
      <c r="C438" s="304"/>
      <c r="D438" s="304" t="s">
        <v>432</v>
      </c>
      <c r="E438" s="304"/>
      <c r="F438" s="306" t="s">
        <v>433</v>
      </c>
      <c r="G438" s="325">
        <f>500000+74000+600000</f>
        <v>1174000</v>
      </c>
      <c r="H438" s="331">
        <f t="shared" si="103"/>
        <v>1174000</v>
      </c>
      <c r="I438" s="331">
        <f t="shared" si="104"/>
        <v>0</v>
      </c>
    </row>
    <row r="439" spans="1:9" ht="25.5" hidden="1">
      <c r="A439" s="304"/>
      <c r="B439" s="304"/>
      <c r="C439" s="304">
        <v>333</v>
      </c>
      <c r="D439" s="304"/>
      <c r="E439" s="304"/>
      <c r="F439" s="306" t="s">
        <v>217</v>
      </c>
      <c r="G439" s="320">
        <f>G440+G442+G444+G446+G448+G450+G454+G452+G456</f>
        <v>1230694</v>
      </c>
      <c r="H439" s="331">
        <f t="shared" si="103"/>
        <v>1230694</v>
      </c>
      <c r="I439" s="331">
        <f t="shared" si="104"/>
        <v>0</v>
      </c>
    </row>
    <row r="440" spans="1:9" ht="38.25" hidden="1">
      <c r="A440" s="304"/>
      <c r="B440" s="304"/>
      <c r="C440" s="304"/>
      <c r="D440" s="304" t="s">
        <v>48</v>
      </c>
      <c r="E440" s="304"/>
      <c r="F440" s="306" t="s">
        <v>226</v>
      </c>
      <c r="G440" s="117">
        <f t="shared" ref="G440" si="106">SUM(G441:G441)</f>
        <v>604076</v>
      </c>
      <c r="H440" s="331">
        <f t="shared" si="103"/>
        <v>604076</v>
      </c>
      <c r="I440" s="331">
        <f t="shared" si="104"/>
        <v>0</v>
      </c>
    </row>
    <row r="441" spans="1:9" ht="12.75" hidden="1" customHeight="1">
      <c r="A441" s="304"/>
      <c r="B441" s="304"/>
      <c r="C441" s="304"/>
      <c r="D441" s="304"/>
      <c r="E441" s="308" t="s">
        <v>113</v>
      </c>
      <c r="F441" s="306" t="s">
        <v>8</v>
      </c>
      <c r="G441" s="320">
        <f>601127+515+2434</f>
        <v>604076</v>
      </c>
      <c r="H441" s="331">
        <f t="shared" si="103"/>
        <v>604076</v>
      </c>
      <c r="I441" s="331">
        <f t="shared" si="104"/>
        <v>0</v>
      </c>
    </row>
    <row r="442" spans="1:9" ht="25.5" hidden="1">
      <c r="A442" s="304"/>
      <c r="B442" s="304"/>
      <c r="C442" s="304"/>
      <c r="D442" s="304" t="s">
        <v>195</v>
      </c>
      <c r="E442" s="304"/>
      <c r="F442" s="306" t="s">
        <v>227</v>
      </c>
      <c r="G442" s="320">
        <f t="shared" ref="G442" si="107">G443</f>
        <v>54764</v>
      </c>
      <c r="H442" s="331">
        <f t="shared" si="103"/>
        <v>54764</v>
      </c>
      <c r="I442" s="331">
        <f t="shared" si="104"/>
        <v>0</v>
      </c>
    </row>
    <row r="443" spans="1:9" ht="12.75" hidden="1" customHeight="1">
      <c r="A443" s="304"/>
      <c r="B443" s="304"/>
      <c r="C443" s="304"/>
      <c r="D443" s="304"/>
      <c r="E443" s="308" t="s">
        <v>113</v>
      </c>
      <c r="F443" s="306" t="s">
        <v>8</v>
      </c>
      <c r="G443" s="320">
        <f>11029+12910+30825</f>
        <v>54764</v>
      </c>
      <c r="H443" s="331">
        <f t="shared" si="103"/>
        <v>54764</v>
      </c>
      <c r="I443" s="331">
        <f t="shared" si="104"/>
        <v>0</v>
      </c>
    </row>
    <row r="444" spans="1:9" ht="25.5" hidden="1">
      <c r="A444" s="304"/>
      <c r="B444" s="304"/>
      <c r="C444" s="304"/>
      <c r="D444" s="304" t="s">
        <v>230</v>
      </c>
      <c r="E444" s="304"/>
      <c r="F444" s="306" t="s">
        <v>228</v>
      </c>
      <c r="G444" s="320">
        <f t="shared" ref="G444" si="108">SUM(G445:G445)</f>
        <v>0</v>
      </c>
      <c r="H444" s="331">
        <f t="shared" si="103"/>
        <v>0</v>
      </c>
      <c r="I444" s="331">
        <f t="shared" si="104"/>
        <v>0</v>
      </c>
    </row>
    <row r="445" spans="1:9" ht="12.75" hidden="1" customHeight="1">
      <c r="A445" s="304"/>
      <c r="B445" s="304"/>
      <c r="C445" s="304"/>
      <c r="D445" s="304"/>
      <c r="E445" s="308" t="s">
        <v>113</v>
      </c>
      <c r="F445" s="306" t="s">
        <v>8</v>
      </c>
      <c r="G445" s="320"/>
      <c r="H445" s="331">
        <f t="shared" si="103"/>
        <v>0</v>
      </c>
      <c r="I445" s="331">
        <f t="shared" si="104"/>
        <v>0</v>
      </c>
    </row>
    <row r="446" spans="1:9" ht="12.75" hidden="1" customHeight="1">
      <c r="A446" s="304"/>
      <c r="B446" s="304"/>
      <c r="C446" s="304"/>
      <c r="D446" s="304" t="s">
        <v>231</v>
      </c>
      <c r="E446" s="304"/>
      <c r="F446" s="306" t="s">
        <v>45</v>
      </c>
      <c r="G446" s="320">
        <f t="shared" ref="G446" si="109">G447</f>
        <v>30385</v>
      </c>
      <c r="H446" s="331">
        <f t="shared" si="103"/>
        <v>30385</v>
      </c>
      <c r="I446" s="331">
        <f t="shared" si="104"/>
        <v>0</v>
      </c>
    </row>
    <row r="447" spans="1:9" ht="12.75" hidden="1" customHeight="1">
      <c r="A447" s="304"/>
      <c r="B447" s="304"/>
      <c r="C447" s="304"/>
      <c r="D447" s="304"/>
      <c r="E447" s="308" t="s">
        <v>113</v>
      </c>
      <c r="F447" s="306" t="s">
        <v>8</v>
      </c>
      <c r="G447" s="320">
        <f>25200+5185</f>
        <v>30385</v>
      </c>
      <c r="H447" s="331">
        <f t="shared" si="103"/>
        <v>30385</v>
      </c>
      <c r="I447" s="331">
        <f t="shared" si="104"/>
        <v>0</v>
      </c>
    </row>
    <row r="448" spans="1:9" ht="25.5" hidden="1">
      <c r="A448" s="304"/>
      <c r="B448" s="304"/>
      <c r="C448" s="304"/>
      <c r="D448" s="304" t="s">
        <v>232</v>
      </c>
      <c r="E448" s="304"/>
      <c r="F448" s="306" t="s">
        <v>229</v>
      </c>
      <c r="G448" s="320">
        <f>SUM(G449:G449)</f>
        <v>169506</v>
      </c>
      <c r="H448" s="331">
        <f t="shared" si="103"/>
        <v>169506</v>
      </c>
      <c r="I448" s="331">
        <f t="shared" si="104"/>
        <v>0</v>
      </c>
    </row>
    <row r="449" spans="1:9" ht="12.75" hidden="1" customHeight="1">
      <c r="A449" s="304"/>
      <c r="B449" s="304"/>
      <c r="C449" s="304"/>
      <c r="D449" s="304"/>
      <c r="E449" s="308" t="s">
        <v>113</v>
      </c>
      <c r="F449" s="306" t="s">
        <v>8</v>
      </c>
      <c r="G449" s="320">
        <f>169978-3212+2268+2000-1528</f>
        <v>169506</v>
      </c>
      <c r="H449" s="331">
        <f t="shared" si="103"/>
        <v>169506</v>
      </c>
      <c r="I449" s="331">
        <f t="shared" si="104"/>
        <v>0</v>
      </c>
    </row>
    <row r="450" spans="1:9" ht="25.5" hidden="1" customHeight="1">
      <c r="A450" s="304"/>
      <c r="B450" s="304"/>
      <c r="C450" s="304"/>
      <c r="D450" s="304" t="s">
        <v>66</v>
      </c>
      <c r="E450" s="304"/>
      <c r="F450" s="306" t="s">
        <v>89</v>
      </c>
      <c r="G450" s="325">
        <f t="shared" ref="G450" si="110">G451</f>
        <v>59278</v>
      </c>
      <c r="H450" s="331">
        <f t="shared" si="103"/>
        <v>59278</v>
      </c>
      <c r="I450" s="331">
        <f t="shared" si="104"/>
        <v>0</v>
      </c>
    </row>
    <row r="451" spans="1:9" ht="12.75" hidden="1" customHeight="1">
      <c r="A451" s="304"/>
      <c r="B451" s="304"/>
      <c r="C451" s="304"/>
      <c r="D451" s="304"/>
      <c r="E451" s="308" t="s">
        <v>113</v>
      </c>
      <c r="F451" s="306" t="s">
        <v>8</v>
      </c>
      <c r="G451" s="325">
        <f>1870+69397+3550-15539</f>
        <v>59278</v>
      </c>
      <c r="H451" s="331">
        <f t="shared" si="103"/>
        <v>59278</v>
      </c>
      <c r="I451" s="331">
        <f t="shared" si="104"/>
        <v>0</v>
      </c>
    </row>
    <row r="452" spans="1:9" ht="25.5" hidden="1" customHeight="1">
      <c r="A452" s="304"/>
      <c r="B452" s="304"/>
      <c r="C452" s="304"/>
      <c r="D452" s="304" t="s">
        <v>234</v>
      </c>
      <c r="E452" s="304"/>
      <c r="F452" s="306" t="s">
        <v>524</v>
      </c>
      <c r="G452" s="325">
        <f>G453</f>
        <v>0</v>
      </c>
      <c r="H452" s="331">
        <f t="shared" si="103"/>
        <v>0</v>
      </c>
      <c r="I452" s="331">
        <f t="shared" si="104"/>
        <v>0</v>
      </c>
    </row>
    <row r="453" spans="1:9" hidden="1">
      <c r="A453" s="304"/>
      <c r="B453" s="304"/>
      <c r="C453" s="304"/>
      <c r="D453" s="304"/>
      <c r="E453" s="308" t="s">
        <v>113</v>
      </c>
      <c r="F453" s="306" t="s">
        <v>8</v>
      </c>
      <c r="G453" s="325"/>
      <c r="H453" s="331">
        <f t="shared" si="103"/>
        <v>0</v>
      </c>
      <c r="I453" s="331">
        <f t="shared" si="104"/>
        <v>0</v>
      </c>
    </row>
    <row r="454" spans="1:9" ht="12.75" hidden="1" customHeight="1">
      <c r="A454" s="304"/>
      <c r="B454" s="304"/>
      <c r="C454" s="304"/>
      <c r="D454" s="304" t="s">
        <v>258</v>
      </c>
      <c r="E454" s="308"/>
      <c r="F454" s="306" t="s">
        <v>349</v>
      </c>
      <c r="G454" s="325">
        <f t="shared" ref="G454" si="111">SUM(G455:G455)</f>
        <v>294840</v>
      </c>
      <c r="H454" s="331">
        <f t="shared" si="103"/>
        <v>294840</v>
      </c>
      <c r="I454" s="331">
        <f t="shared" si="104"/>
        <v>0</v>
      </c>
    </row>
    <row r="455" spans="1:9" ht="12.75" hidden="1" customHeight="1">
      <c r="A455" s="304"/>
      <c r="B455" s="304"/>
      <c r="C455" s="304"/>
      <c r="D455" s="304"/>
      <c r="E455" s="308" t="s">
        <v>113</v>
      </c>
      <c r="F455" s="306" t="s">
        <v>8</v>
      </c>
      <c r="G455" s="325">
        <v>294840</v>
      </c>
      <c r="H455" s="331">
        <f t="shared" si="103"/>
        <v>294840</v>
      </c>
      <c r="I455" s="331">
        <f t="shared" si="104"/>
        <v>0</v>
      </c>
    </row>
    <row r="456" spans="1:9" ht="25.5" hidden="1">
      <c r="A456" s="304"/>
      <c r="B456" s="304"/>
      <c r="C456" s="304"/>
      <c r="D456" s="304" t="s">
        <v>530</v>
      </c>
      <c r="E456" s="308"/>
      <c r="F456" s="306" t="s">
        <v>531</v>
      </c>
      <c r="G456" s="325">
        <v>17845</v>
      </c>
      <c r="H456" s="331">
        <f t="shared" si="103"/>
        <v>17845</v>
      </c>
      <c r="I456" s="331">
        <f t="shared" si="104"/>
        <v>0</v>
      </c>
    </row>
    <row r="457" spans="1:9" ht="15.75" hidden="1" customHeight="1">
      <c r="A457" s="304"/>
      <c r="B457" s="304"/>
      <c r="C457" s="304" t="s">
        <v>305</v>
      </c>
      <c r="D457" s="304"/>
      <c r="E457" s="308"/>
      <c r="F457" s="306" t="s">
        <v>288</v>
      </c>
      <c r="G457" s="325">
        <f>G458</f>
        <v>100000</v>
      </c>
      <c r="H457" s="331">
        <f t="shared" si="103"/>
        <v>100000</v>
      </c>
      <c r="I457" s="331">
        <f t="shared" si="104"/>
        <v>0</v>
      </c>
    </row>
    <row r="458" spans="1:9" ht="25.5" hidden="1">
      <c r="A458" s="304"/>
      <c r="B458" s="304"/>
      <c r="C458" s="304"/>
      <c r="D458" s="304" t="s">
        <v>611</v>
      </c>
      <c r="E458" s="308"/>
      <c r="F458" s="306" t="s">
        <v>614</v>
      </c>
      <c r="G458" s="325">
        <v>100000</v>
      </c>
      <c r="H458" s="331">
        <f t="shared" si="103"/>
        <v>100000</v>
      </c>
      <c r="I458" s="331">
        <f t="shared" si="104"/>
        <v>0</v>
      </c>
    </row>
    <row r="459" spans="1:9" ht="25.5" hidden="1">
      <c r="A459" s="304"/>
      <c r="B459" s="304"/>
      <c r="C459" s="323" t="s">
        <v>658</v>
      </c>
      <c r="D459" s="323"/>
      <c r="E459" s="326"/>
      <c r="F459" s="306" t="s">
        <v>659</v>
      </c>
      <c r="G459" s="325">
        <f>SUM(G460:G463)</f>
        <v>296941</v>
      </c>
      <c r="H459" s="331">
        <f t="shared" si="103"/>
        <v>296941</v>
      </c>
      <c r="I459" s="331">
        <f t="shared" si="104"/>
        <v>0</v>
      </c>
    </row>
    <row r="460" spans="1:9" ht="25.5" hidden="1">
      <c r="A460" s="304"/>
      <c r="B460" s="304"/>
      <c r="C460" s="323"/>
      <c r="D460" s="323" t="s">
        <v>48</v>
      </c>
      <c r="E460" s="326"/>
      <c r="F460" s="306" t="s">
        <v>660</v>
      </c>
      <c r="G460" s="325">
        <v>31618</v>
      </c>
      <c r="H460" s="331">
        <f t="shared" si="103"/>
        <v>31618</v>
      </c>
      <c r="I460" s="331">
        <f t="shared" si="104"/>
        <v>0</v>
      </c>
    </row>
    <row r="461" spans="1:9" ht="38.25" hidden="1">
      <c r="A461" s="304"/>
      <c r="B461" s="304"/>
      <c r="C461" s="323"/>
      <c r="D461" s="323" t="s">
        <v>280</v>
      </c>
      <c r="E461" s="326"/>
      <c r="F461" s="306" t="s">
        <v>279</v>
      </c>
      <c r="G461" s="325">
        <v>96015</v>
      </c>
      <c r="H461" s="331">
        <f t="shared" si="103"/>
        <v>96015</v>
      </c>
      <c r="I461" s="331">
        <f t="shared" si="104"/>
        <v>0</v>
      </c>
    </row>
    <row r="462" spans="1:9" ht="38.25" hidden="1">
      <c r="A462" s="304"/>
      <c r="B462" s="304"/>
      <c r="C462" s="323"/>
      <c r="D462" s="323" t="s">
        <v>281</v>
      </c>
      <c r="E462" s="326"/>
      <c r="F462" s="306" t="s">
        <v>449</v>
      </c>
      <c r="G462" s="325">
        <v>1622</v>
      </c>
      <c r="H462" s="331">
        <f t="shared" si="103"/>
        <v>1622</v>
      </c>
      <c r="I462" s="331">
        <f t="shared" si="104"/>
        <v>0</v>
      </c>
    </row>
    <row r="463" spans="1:9" hidden="1">
      <c r="A463" s="304"/>
      <c r="B463" s="304"/>
      <c r="C463" s="323"/>
      <c r="D463" s="323" t="s">
        <v>328</v>
      </c>
      <c r="E463" s="326"/>
      <c r="F463" s="306" t="s">
        <v>569</v>
      </c>
      <c r="G463" s="325">
        <v>167686</v>
      </c>
      <c r="H463" s="331">
        <f t="shared" si="103"/>
        <v>167686</v>
      </c>
      <c r="I463" s="331">
        <f t="shared" si="104"/>
        <v>0</v>
      </c>
    </row>
    <row r="464" spans="1:9" hidden="1">
      <c r="A464" s="304" t="s">
        <v>70</v>
      </c>
      <c r="B464" s="304"/>
      <c r="C464" s="304"/>
      <c r="D464" s="304"/>
      <c r="E464" s="304"/>
      <c r="F464" s="306" t="s">
        <v>71</v>
      </c>
      <c r="G464" s="320">
        <f>G505+G465+G537</f>
        <v>179141407</v>
      </c>
      <c r="H464" s="331">
        <f t="shared" si="103"/>
        <v>179141407</v>
      </c>
      <c r="I464" s="331">
        <f t="shared" si="104"/>
        <v>0</v>
      </c>
    </row>
    <row r="465" spans="1:9" hidden="1">
      <c r="A465" s="304"/>
      <c r="B465" s="304" t="s">
        <v>31</v>
      </c>
      <c r="C465" s="304"/>
      <c r="D465" s="304"/>
      <c r="E465" s="304"/>
      <c r="F465" s="306" t="s">
        <v>72</v>
      </c>
      <c r="G465" s="320">
        <f>G476+G486+G466+G483</f>
        <v>113389304</v>
      </c>
      <c r="H465" s="331">
        <f t="shared" si="103"/>
        <v>113389304</v>
      </c>
      <c r="I465" s="331">
        <f t="shared" si="104"/>
        <v>0</v>
      </c>
    </row>
    <row r="466" spans="1:9" hidden="1">
      <c r="A466" s="304"/>
      <c r="B466" s="304"/>
      <c r="C466" s="304" t="s">
        <v>446</v>
      </c>
      <c r="D466" s="304"/>
      <c r="E466" s="304"/>
      <c r="F466" s="306" t="s">
        <v>441</v>
      </c>
      <c r="G466" s="320">
        <f>G467+G469+G471+G475+G473</f>
        <v>1072721</v>
      </c>
      <c r="H466" s="331">
        <f t="shared" si="103"/>
        <v>1072721</v>
      </c>
      <c r="I466" s="331">
        <f t="shared" si="104"/>
        <v>0</v>
      </c>
    </row>
    <row r="467" spans="1:9" ht="25.5" hidden="1">
      <c r="A467" s="304"/>
      <c r="B467" s="304"/>
      <c r="C467" s="304"/>
      <c r="D467" s="304" t="s">
        <v>48</v>
      </c>
      <c r="E467" s="304"/>
      <c r="F467" s="306" t="s">
        <v>293</v>
      </c>
      <c r="G467" s="320">
        <f t="shared" ref="G467" si="112">SUM(G468:G468)</f>
        <v>520360</v>
      </c>
      <c r="H467" s="331">
        <f t="shared" si="103"/>
        <v>520360</v>
      </c>
      <c r="I467" s="331">
        <f t="shared" si="104"/>
        <v>0</v>
      </c>
    </row>
    <row r="468" spans="1:9" ht="12.75" hidden="1" customHeight="1">
      <c r="A468" s="304"/>
      <c r="B468" s="304"/>
      <c r="C468" s="304"/>
      <c r="D468" s="304"/>
      <c r="E468" s="308" t="s">
        <v>113</v>
      </c>
      <c r="F468" s="306" t="s">
        <v>8</v>
      </c>
      <c r="G468" s="320">
        <f>286431+515+11884+221530</f>
        <v>520360</v>
      </c>
      <c r="H468" s="331">
        <f t="shared" si="103"/>
        <v>520360</v>
      </c>
      <c r="I468" s="331">
        <f t="shared" si="104"/>
        <v>0</v>
      </c>
    </row>
    <row r="469" spans="1:9" ht="12.75" hidden="1" customHeight="1">
      <c r="A469" s="304"/>
      <c r="B469" s="304"/>
      <c r="C469" s="304"/>
      <c r="D469" s="304" t="s">
        <v>49</v>
      </c>
      <c r="E469" s="304"/>
      <c r="F469" s="306" t="s">
        <v>45</v>
      </c>
      <c r="G469" s="320">
        <f t="shared" ref="G469" si="113">G470</f>
        <v>0</v>
      </c>
      <c r="H469" s="331">
        <f t="shared" si="103"/>
        <v>0</v>
      </c>
      <c r="I469" s="331">
        <f t="shared" si="104"/>
        <v>0</v>
      </c>
    </row>
    <row r="470" spans="1:9" ht="12.75" hidden="1" customHeight="1">
      <c r="A470" s="304"/>
      <c r="B470" s="304"/>
      <c r="C470" s="304"/>
      <c r="D470" s="304"/>
      <c r="E470" s="308" t="s">
        <v>113</v>
      </c>
      <c r="F470" s="306" t="s">
        <v>8</v>
      </c>
      <c r="G470" s="320"/>
      <c r="H470" s="331">
        <f t="shared" si="103"/>
        <v>0</v>
      </c>
      <c r="I470" s="331">
        <f t="shared" si="104"/>
        <v>0</v>
      </c>
    </row>
    <row r="471" spans="1:9" hidden="1">
      <c r="A471" s="304"/>
      <c r="B471" s="304"/>
      <c r="C471" s="304"/>
      <c r="D471" s="304" t="s">
        <v>106</v>
      </c>
      <c r="E471" s="308"/>
      <c r="F471" s="306" t="s">
        <v>464</v>
      </c>
      <c r="G471" s="320">
        <f t="shared" ref="G471" si="114">G472</f>
        <v>0</v>
      </c>
      <c r="H471" s="331">
        <f t="shared" si="103"/>
        <v>0</v>
      </c>
      <c r="I471" s="331">
        <f t="shared" si="104"/>
        <v>0</v>
      </c>
    </row>
    <row r="472" spans="1:9" ht="12.75" hidden="1" customHeight="1">
      <c r="A472" s="304"/>
      <c r="B472" s="304"/>
      <c r="C472" s="304"/>
      <c r="D472" s="304"/>
      <c r="E472" s="308" t="s">
        <v>113</v>
      </c>
      <c r="F472" s="306" t="s">
        <v>8</v>
      </c>
      <c r="G472" s="320"/>
      <c r="H472" s="331">
        <f t="shared" si="103"/>
        <v>0</v>
      </c>
      <c r="I472" s="331">
        <f t="shared" si="104"/>
        <v>0</v>
      </c>
    </row>
    <row r="473" spans="1:9" ht="38.25" hidden="1">
      <c r="A473" s="304"/>
      <c r="B473" s="304"/>
      <c r="C473" s="304"/>
      <c r="D473" s="304" t="s">
        <v>255</v>
      </c>
      <c r="E473" s="308"/>
      <c r="F473" s="306" t="s">
        <v>287</v>
      </c>
      <c r="G473" s="320">
        <f>G474</f>
        <v>0</v>
      </c>
      <c r="H473" s="331">
        <f t="shared" si="103"/>
        <v>0</v>
      </c>
      <c r="I473" s="331">
        <f t="shared" si="104"/>
        <v>0</v>
      </c>
    </row>
    <row r="474" spans="1:9" ht="12.75" hidden="1" customHeight="1">
      <c r="A474" s="304"/>
      <c r="B474" s="304"/>
      <c r="C474" s="304"/>
      <c r="D474" s="304"/>
      <c r="E474" s="308" t="s">
        <v>113</v>
      </c>
      <c r="F474" s="306" t="s">
        <v>8</v>
      </c>
      <c r="G474" s="320"/>
      <c r="H474" s="331">
        <f t="shared" si="103"/>
        <v>0</v>
      </c>
      <c r="I474" s="331">
        <f t="shared" si="104"/>
        <v>0</v>
      </c>
    </row>
    <row r="475" spans="1:9" ht="25.5" hidden="1">
      <c r="A475" s="304"/>
      <c r="B475" s="304"/>
      <c r="C475" s="304"/>
      <c r="D475" s="304" t="s">
        <v>419</v>
      </c>
      <c r="E475" s="308"/>
      <c r="F475" s="306" t="s">
        <v>483</v>
      </c>
      <c r="G475" s="320">
        <v>552361</v>
      </c>
      <c r="H475" s="331">
        <f t="shared" si="103"/>
        <v>552361</v>
      </c>
      <c r="I475" s="331">
        <f t="shared" si="104"/>
        <v>0</v>
      </c>
    </row>
    <row r="476" spans="1:9" ht="25.5" hidden="1">
      <c r="A476" s="304"/>
      <c r="B476" s="304"/>
      <c r="C476" s="304" t="s">
        <v>467</v>
      </c>
      <c r="D476" s="304"/>
      <c r="E476" s="304"/>
      <c r="F476" s="306" t="s">
        <v>468</v>
      </c>
      <c r="G476" s="320">
        <f t="shared" ref="G476" si="115">G481+G477</f>
        <v>412392</v>
      </c>
      <c r="H476" s="331">
        <f t="shared" si="103"/>
        <v>412392</v>
      </c>
      <c r="I476" s="331">
        <f t="shared" si="104"/>
        <v>0</v>
      </c>
    </row>
    <row r="477" spans="1:9" ht="25.5" hidden="1">
      <c r="A477" s="304"/>
      <c r="B477" s="304"/>
      <c r="C477" s="304"/>
      <c r="D477" s="304" t="s">
        <v>213</v>
      </c>
      <c r="E477" s="304"/>
      <c r="F477" s="306" t="s">
        <v>300</v>
      </c>
      <c r="G477" s="320">
        <f t="shared" ref="G477" si="116">SUM(G478:G480)</f>
        <v>412392</v>
      </c>
      <c r="H477" s="331">
        <f t="shared" si="103"/>
        <v>412392</v>
      </c>
      <c r="I477" s="331">
        <f t="shared" si="104"/>
        <v>0</v>
      </c>
    </row>
    <row r="478" spans="1:9" hidden="1">
      <c r="A478" s="304"/>
      <c r="B478" s="304"/>
      <c r="C478" s="304"/>
      <c r="D478" s="304"/>
      <c r="E478" s="304" t="s">
        <v>112</v>
      </c>
      <c r="F478" s="306" t="s">
        <v>128</v>
      </c>
      <c r="G478" s="320"/>
      <c r="H478" s="331">
        <f t="shared" si="103"/>
        <v>0</v>
      </c>
      <c r="I478" s="331">
        <f t="shared" si="104"/>
        <v>0</v>
      </c>
    </row>
    <row r="479" spans="1:9" ht="12.75" hidden="1" customHeight="1">
      <c r="A479" s="304"/>
      <c r="B479" s="304"/>
      <c r="C479" s="304"/>
      <c r="D479" s="304"/>
      <c r="E479" s="304" t="s">
        <v>113</v>
      </c>
      <c r="F479" s="306" t="s">
        <v>8</v>
      </c>
      <c r="G479" s="320">
        <f>321006+29806-321006+376448+6138</f>
        <v>412392</v>
      </c>
      <c r="H479" s="331">
        <f t="shared" si="103"/>
        <v>412392</v>
      </c>
      <c r="I479" s="331">
        <f t="shared" si="104"/>
        <v>0</v>
      </c>
    </row>
    <row r="480" spans="1:9" ht="12.75" hidden="1" customHeight="1">
      <c r="A480" s="304"/>
      <c r="B480" s="304"/>
      <c r="C480" s="304"/>
      <c r="D480" s="304"/>
      <c r="E480" s="304" t="s">
        <v>66</v>
      </c>
      <c r="F480" s="306" t="s">
        <v>454</v>
      </c>
      <c r="G480" s="320"/>
      <c r="H480" s="331">
        <f t="shared" si="103"/>
        <v>0</v>
      </c>
      <c r="I480" s="331">
        <f t="shared" si="104"/>
        <v>0</v>
      </c>
    </row>
    <row r="481" spans="1:9" ht="38.25" hidden="1" customHeight="1">
      <c r="A481" s="304"/>
      <c r="B481" s="304"/>
      <c r="C481" s="298"/>
      <c r="D481" s="304" t="s">
        <v>255</v>
      </c>
      <c r="E481" s="304"/>
      <c r="F481" s="306" t="s">
        <v>287</v>
      </c>
      <c r="G481" s="320">
        <f t="shared" ref="G481" si="117">SUM(G482:G482)</f>
        <v>0</v>
      </c>
      <c r="H481" s="331">
        <f t="shared" si="103"/>
        <v>0</v>
      </c>
      <c r="I481" s="331">
        <f t="shared" si="104"/>
        <v>0</v>
      </c>
    </row>
    <row r="482" spans="1:9" ht="12.75" hidden="1" customHeight="1">
      <c r="A482" s="304"/>
      <c r="B482" s="304"/>
      <c r="C482" s="298"/>
      <c r="D482" s="304"/>
      <c r="E482" s="304" t="s">
        <v>113</v>
      </c>
      <c r="F482" s="306" t="s">
        <v>8</v>
      </c>
      <c r="G482" s="320"/>
      <c r="H482" s="331">
        <f t="shared" si="103"/>
        <v>0</v>
      </c>
      <c r="I482" s="331">
        <f t="shared" si="104"/>
        <v>0</v>
      </c>
    </row>
    <row r="483" spans="1:9" ht="12.75" hidden="1" customHeight="1">
      <c r="A483" s="304"/>
      <c r="B483" s="304"/>
      <c r="C483" s="304" t="s">
        <v>551</v>
      </c>
      <c r="D483" s="304"/>
      <c r="E483" s="304"/>
      <c r="F483" s="324" t="s">
        <v>552</v>
      </c>
      <c r="G483" s="320">
        <f>G484</f>
        <v>3565539</v>
      </c>
      <c r="H483" s="331">
        <f t="shared" si="103"/>
        <v>3565539</v>
      </c>
      <c r="I483" s="331">
        <f t="shared" si="104"/>
        <v>0</v>
      </c>
    </row>
    <row r="484" spans="1:9" ht="29.25" hidden="1" customHeight="1">
      <c r="A484" s="304"/>
      <c r="B484" s="304"/>
      <c r="C484" s="304"/>
      <c r="D484" s="304" t="s">
        <v>188</v>
      </c>
      <c r="E484" s="304"/>
      <c r="F484" s="306" t="s">
        <v>448</v>
      </c>
      <c r="G484" s="320">
        <f>G485</f>
        <v>3565539</v>
      </c>
      <c r="H484" s="331">
        <f t="shared" si="103"/>
        <v>3565539</v>
      </c>
      <c r="I484" s="331">
        <f t="shared" si="104"/>
        <v>0</v>
      </c>
    </row>
    <row r="485" spans="1:9" ht="12.75" hidden="1" customHeight="1">
      <c r="A485" s="304"/>
      <c r="B485" s="304"/>
      <c r="C485" s="304"/>
      <c r="D485" s="304"/>
      <c r="E485" s="304" t="s">
        <v>113</v>
      </c>
      <c r="F485" s="306" t="s">
        <v>8</v>
      </c>
      <c r="G485" s="320">
        <f>902958+132791+863776+225352+1440662</f>
        <v>3565539</v>
      </c>
      <c r="H485" s="331">
        <f t="shared" si="103"/>
        <v>3565539</v>
      </c>
      <c r="I485" s="331">
        <f t="shared" si="104"/>
        <v>0</v>
      </c>
    </row>
    <row r="486" spans="1:9" ht="14.25" hidden="1" customHeight="1">
      <c r="A486" s="304"/>
      <c r="B486" s="304"/>
      <c r="C486" s="298">
        <v>373</v>
      </c>
      <c r="D486" s="304"/>
      <c r="E486" s="304"/>
      <c r="F486" s="306" t="s">
        <v>288</v>
      </c>
      <c r="G486" s="320">
        <f>G489+G493+G498+G500+G487</f>
        <v>108338652</v>
      </c>
      <c r="H486" s="331">
        <f t="shared" si="103"/>
        <v>108338652</v>
      </c>
      <c r="I486" s="331">
        <f t="shared" si="104"/>
        <v>0</v>
      </c>
    </row>
    <row r="487" spans="1:9" ht="38.25" hidden="1">
      <c r="A487" s="304"/>
      <c r="B487" s="304"/>
      <c r="C487" s="298"/>
      <c r="D487" s="304" t="s">
        <v>112</v>
      </c>
      <c r="E487" s="304"/>
      <c r="F487" s="306" t="s">
        <v>287</v>
      </c>
      <c r="G487" s="320">
        <f>G488</f>
        <v>0</v>
      </c>
      <c r="H487" s="331">
        <f t="shared" si="103"/>
        <v>0</v>
      </c>
      <c r="I487" s="331">
        <f t="shared" si="104"/>
        <v>0</v>
      </c>
    </row>
    <row r="488" spans="1:9" ht="14.25" hidden="1" customHeight="1">
      <c r="A488" s="304"/>
      <c r="B488" s="304"/>
      <c r="C488" s="298"/>
      <c r="D488" s="304"/>
      <c r="E488" s="304" t="s">
        <v>113</v>
      </c>
      <c r="F488" s="306" t="s">
        <v>8</v>
      </c>
      <c r="G488" s="320"/>
      <c r="H488" s="331">
        <f t="shared" si="103"/>
        <v>0</v>
      </c>
      <c r="I488" s="331">
        <f t="shared" si="104"/>
        <v>0</v>
      </c>
    </row>
    <row r="489" spans="1:9" ht="25.5" hidden="1">
      <c r="A489" s="304"/>
      <c r="B489" s="304"/>
      <c r="C489" s="298"/>
      <c r="D489" s="304" t="s">
        <v>190</v>
      </c>
      <c r="E489" s="304"/>
      <c r="F489" s="306" t="s">
        <v>299</v>
      </c>
      <c r="G489" s="320">
        <f t="shared" ref="G489" si="118">SUM(G490:G492)</f>
        <v>12860972</v>
      </c>
      <c r="H489" s="331">
        <f t="shared" si="103"/>
        <v>12860972</v>
      </c>
      <c r="I489" s="331">
        <f t="shared" si="104"/>
        <v>0</v>
      </c>
    </row>
    <row r="490" spans="1:9" ht="12.75" hidden="1" customHeight="1">
      <c r="A490" s="304"/>
      <c r="B490" s="304"/>
      <c r="C490" s="298"/>
      <c r="D490" s="304"/>
      <c r="E490" s="304" t="s">
        <v>214</v>
      </c>
      <c r="F490" s="306" t="s">
        <v>455</v>
      </c>
      <c r="G490" s="320">
        <v>12860972</v>
      </c>
      <c r="H490" s="331">
        <f t="shared" si="103"/>
        <v>12860972</v>
      </c>
      <c r="I490" s="331">
        <f t="shared" si="104"/>
        <v>0</v>
      </c>
    </row>
    <row r="491" spans="1:9" ht="12.75" hidden="1" customHeight="1">
      <c r="A491" s="304"/>
      <c r="B491" s="304"/>
      <c r="C491" s="298"/>
      <c r="D491" s="304"/>
      <c r="E491" s="304" t="s">
        <v>112</v>
      </c>
      <c r="F491" s="306" t="s">
        <v>128</v>
      </c>
      <c r="G491" s="320"/>
      <c r="H491" s="331">
        <f t="shared" si="103"/>
        <v>0</v>
      </c>
      <c r="I491" s="331">
        <f t="shared" si="104"/>
        <v>0</v>
      </c>
    </row>
    <row r="492" spans="1:9" ht="12.75" hidden="1" customHeight="1">
      <c r="A492" s="304"/>
      <c r="B492" s="304"/>
      <c r="C492" s="298"/>
      <c r="D492" s="304"/>
      <c r="E492" s="304" t="s">
        <v>113</v>
      </c>
      <c r="F492" s="306" t="s">
        <v>8</v>
      </c>
      <c r="G492" s="320"/>
      <c r="H492" s="331">
        <f t="shared" si="103"/>
        <v>0</v>
      </c>
      <c r="I492" s="331">
        <f t="shared" si="104"/>
        <v>0</v>
      </c>
    </row>
    <row r="493" spans="1:9" ht="26.25" hidden="1" customHeight="1">
      <c r="A493" s="304"/>
      <c r="B493" s="304"/>
      <c r="C493" s="298"/>
      <c r="D493" s="304" t="s">
        <v>253</v>
      </c>
      <c r="E493" s="304"/>
      <c r="F493" s="306" t="s">
        <v>300</v>
      </c>
      <c r="G493" s="320">
        <f>SUM(G494:G497)</f>
        <v>3648321</v>
      </c>
      <c r="H493" s="331">
        <f t="shared" ref="H493:H556" si="119">G493</f>
        <v>3648321</v>
      </c>
      <c r="I493" s="331">
        <f t="shared" si="104"/>
        <v>0</v>
      </c>
    </row>
    <row r="494" spans="1:9" ht="12.75" hidden="1" customHeight="1">
      <c r="A494" s="304"/>
      <c r="B494" s="304"/>
      <c r="C494" s="298"/>
      <c r="D494" s="304"/>
      <c r="E494" s="304" t="s">
        <v>214</v>
      </c>
      <c r="F494" s="306" t="s">
        <v>455</v>
      </c>
      <c r="G494" s="320">
        <f>3186041+216771</f>
        <v>3402812</v>
      </c>
      <c r="H494" s="331">
        <f t="shared" si="119"/>
        <v>3402812</v>
      </c>
      <c r="I494" s="331">
        <f t="shared" ref="I494:I557" si="120">G494-H494</f>
        <v>0</v>
      </c>
    </row>
    <row r="495" spans="1:9" ht="12.75" hidden="1" customHeight="1">
      <c r="A495" s="304"/>
      <c r="B495" s="304"/>
      <c r="C495" s="298"/>
      <c r="D495" s="304"/>
      <c r="E495" s="304" t="s">
        <v>112</v>
      </c>
      <c r="F495" s="306" t="s">
        <v>128</v>
      </c>
      <c r="G495" s="320"/>
      <c r="H495" s="331">
        <f t="shared" si="119"/>
        <v>0</v>
      </c>
      <c r="I495" s="331">
        <f t="shared" si="120"/>
        <v>0</v>
      </c>
    </row>
    <row r="496" spans="1:9" ht="12.75" hidden="1" customHeight="1">
      <c r="A496" s="304"/>
      <c r="B496" s="304"/>
      <c r="C496" s="298"/>
      <c r="D496" s="304"/>
      <c r="E496" s="304" t="s">
        <v>113</v>
      </c>
      <c r="F496" s="306" t="s">
        <v>8</v>
      </c>
      <c r="G496" s="320">
        <f>2963155-800000+32534-1946929-3251</f>
        <v>245509</v>
      </c>
      <c r="H496" s="331">
        <f t="shared" si="119"/>
        <v>245509</v>
      </c>
      <c r="I496" s="331">
        <f t="shared" si="120"/>
        <v>0</v>
      </c>
    </row>
    <row r="497" spans="1:9" ht="12.75" hidden="1" customHeight="1">
      <c r="A497" s="304"/>
      <c r="B497" s="304"/>
      <c r="C497" s="298"/>
      <c r="D497" s="304"/>
      <c r="E497" s="304" t="s">
        <v>66</v>
      </c>
      <c r="F497" s="306" t="s">
        <v>454</v>
      </c>
      <c r="G497" s="320"/>
      <c r="H497" s="331">
        <f t="shared" si="119"/>
        <v>0</v>
      </c>
      <c r="I497" s="331">
        <f t="shared" si="120"/>
        <v>0</v>
      </c>
    </row>
    <row r="498" spans="1:9" ht="12.75" hidden="1" customHeight="1">
      <c r="A498" s="304"/>
      <c r="B498" s="304"/>
      <c r="C498" s="298"/>
      <c r="D498" s="304" t="s">
        <v>390</v>
      </c>
      <c r="E498" s="304"/>
      <c r="F498" s="306" t="s">
        <v>391</v>
      </c>
      <c r="G498" s="320">
        <f t="shared" ref="G498" si="121">G499</f>
        <v>11655</v>
      </c>
      <c r="H498" s="331">
        <f t="shared" si="119"/>
        <v>11655</v>
      </c>
      <c r="I498" s="331">
        <f t="shared" si="120"/>
        <v>0</v>
      </c>
    </row>
    <row r="499" spans="1:9" ht="12.75" hidden="1" customHeight="1">
      <c r="A499" s="304"/>
      <c r="B499" s="304"/>
      <c r="C499" s="298"/>
      <c r="D499" s="304"/>
      <c r="E499" s="304" t="s">
        <v>113</v>
      </c>
      <c r="F499" s="306" t="s">
        <v>8</v>
      </c>
      <c r="G499" s="320">
        <f>12950-1295</f>
        <v>11655</v>
      </c>
      <c r="H499" s="331">
        <f t="shared" si="119"/>
        <v>11655</v>
      </c>
      <c r="I499" s="331">
        <f t="shared" si="120"/>
        <v>0</v>
      </c>
    </row>
    <row r="500" spans="1:9" hidden="1">
      <c r="A500" s="304"/>
      <c r="B500" s="304"/>
      <c r="C500" s="298"/>
      <c r="D500" s="304" t="s">
        <v>420</v>
      </c>
      <c r="E500" s="304"/>
      <c r="F500" s="306" t="s">
        <v>421</v>
      </c>
      <c r="G500" s="320">
        <f>SUM(G501:G504)</f>
        <v>91817704</v>
      </c>
      <c r="H500" s="331">
        <f t="shared" si="119"/>
        <v>91817704</v>
      </c>
      <c r="I500" s="331">
        <f t="shared" si="120"/>
        <v>0</v>
      </c>
    </row>
    <row r="501" spans="1:9" ht="12.75" hidden="1" customHeight="1">
      <c r="A501" s="304"/>
      <c r="B501" s="304"/>
      <c r="C501" s="298"/>
      <c r="D501" s="304"/>
      <c r="E501" s="304" t="s">
        <v>214</v>
      </c>
      <c r="F501" s="306" t="s">
        <v>455</v>
      </c>
      <c r="G501" s="320">
        <f>7534141+24469656</f>
        <v>32003797</v>
      </c>
      <c r="H501" s="331">
        <f t="shared" si="119"/>
        <v>32003797</v>
      </c>
      <c r="I501" s="331">
        <f t="shared" si="120"/>
        <v>0</v>
      </c>
    </row>
    <row r="502" spans="1:9" ht="12.75" hidden="1" customHeight="1">
      <c r="A502" s="304"/>
      <c r="B502" s="304"/>
      <c r="C502" s="298"/>
      <c r="D502" s="304"/>
      <c r="E502" s="304" t="s">
        <v>112</v>
      </c>
      <c r="F502" s="306" t="s">
        <v>128</v>
      </c>
      <c r="G502" s="320"/>
      <c r="H502" s="331">
        <f t="shared" si="119"/>
        <v>0</v>
      </c>
      <c r="I502" s="331">
        <f t="shared" si="120"/>
        <v>0</v>
      </c>
    </row>
    <row r="503" spans="1:9" ht="12.75" hidden="1" customHeight="1">
      <c r="A503" s="304"/>
      <c r="B503" s="304"/>
      <c r="C503" s="298"/>
      <c r="D503" s="304"/>
      <c r="E503" s="304" t="s">
        <v>113</v>
      </c>
      <c r="F503" s="306" t="s">
        <v>8</v>
      </c>
      <c r="G503" s="320">
        <f>90485433-662505+238235-300000-20866724-793478-132791-120623-44201-7989439</f>
        <v>59813907</v>
      </c>
      <c r="H503" s="331">
        <f t="shared" si="119"/>
        <v>59813907</v>
      </c>
      <c r="I503" s="331">
        <f t="shared" si="120"/>
        <v>0</v>
      </c>
    </row>
    <row r="504" spans="1:9" ht="12.75" hidden="1" customHeight="1">
      <c r="A504" s="304"/>
      <c r="B504" s="304"/>
      <c r="C504" s="298"/>
      <c r="D504" s="304"/>
      <c r="E504" s="304" t="s">
        <v>66</v>
      </c>
      <c r="F504" s="306" t="s">
        <v>454</v>
      </c>
      <c r="G504" s="320"/>
      <c r="H504" s="331">
        <f t="shared" si="119"/>
        <v>0</v>
      </c>
      <c r="I504" s="331">
        <f t="shared" si="120"/>
        <v>0</v>
      </c>
    </row>
    <row r="505" spans="1:9" hidden="1">
      <c r="A505" s="304"/>
      <c r="B505" s="304" t="s">
        <v>32</v>
      </c>
      <c r="C505" s="298"/>
      <c r="D505" s="304"/>
      <c r="E505" s="304"/>
      <c r="F505" s="306" t="s">
        <v>73</v>
      </c>
      <c r="G505" s="320">
        <f>G509+G532+G506</f>
        <v>13156345</v>
      </c>
      <c r="H505" s="331">
        <f t="shared" si="119"/>
        <v>13156345</v>
      </c>
      <c r="I505" s="331">
        <f t="shared" si="120"/>
        <v>0</v>
      </c>
    </row>
    <row r="506" spans="1:9" ht="25.5" hidden="1">
      <c r="A506" s="304"/>
      <c r="B506" s="304"/>
      <c r="C506" s="298" t="s">
        <v>466</v>
      </c>
      <c r="D506" s="304"/>
      <c r="E506" s="304"/>
      <c r="F506" s="306" t="s">
        <v>465</v>
      </c>
      <c r="G506" s="320">
        <f t="shared" ref="G506:G507" si="122">G507</f>
        <v>3198147</v>
      </c>
      <c r="H506" s="331">
        <f t="shared" si="119"/>
        <v>3198147</v>
      </c>
      <c r="I506" s="331">
        <f t="shared" si="120"/>
        <v>0</v>
      </c>
    </row>
    <row r="507" spans="1:9" hidden="1">
      <c r="A507" s="304"/>
      <c r="B507" s="304"/>
      <c r="C507" s="298"/>
      <c r="D507" s="304" t="s">
        <v>253</v>
      </c>
      <c r="E507" s="304"/>
      <c r="F507" s="306" t="s">
        <v>324</v>
      </c>
      <c r="G507" s="320">
        <f t="shared" si="122"/>
        <v>3198147</v>
      </c>
      <c r="H507" s="331">
        <f t="shared" si="119"/>
        <v>3198147</v>
      </c>
      <c r="I507" s="331">
        <f t="shared" si="120"/>
        <v>0</v>
      </c>
    </row>
    <row r="508" spans="1:9" ht="12.75" hidden="1" customHeight="1">
      <c r="A508" s="304"/>
      <c r="B508" s="304"/>
      <c r="C508" s="298"/>
      <c r="D508" s="304"/>
      <c r="E508" s="304" t="s">
        <v>113</v>
      </c>
      <c r="F508" s="306" t="s">
        <v>8</v>
      </c>
      <c r="G508" s="320">
        <f>1000000+2198147</f>
        <v>3198147</v>
      </c>
      <c r="H508" s="331">
        <f t="shared" si="119"/>
        <v>3198147</v>
      </c>
      <c r="I508" s="331">
        <f t="shared" si="120"/>
        <v>0</v>
      </c>
    </row>
    <row r="509" spans="1:9" ht="25.5" hidden="1">
      <c r="A509" s="304"/>
      <c r="B509" s="304"/>
      <c r="C509" s="304" t="s">
        <v>467</v>
      </c>
      <c r="D509" s="304"/>
      <c r="E509" s="304"/>
      <c r="F509" s="306" t="s">
        <v>468</v>
      </c>
      <c r="G509" s="320">
        <f>G510+G512+G514+G516+G520+G526+G522+G524+G529+G531</f>
        <v>8323959</v>
      </c>
      <c r="H509" s="331">
        <f t="shared" si="119"/>
        <v>8323959</v>
      </c>
      <c r="I509" s="331">
        <f t="shared" si="120"/>
        <v>0</v>
      </c>
    </row>
    <row r="510" spans="1:9" ht="25.5" hidden="1">
      <c r="A510" s="304"/>
      <c r="B510" s="304"/>
      <c r="C510" s="304"/>
      <c r="D510" s="304" t="s">
        <v>48</v>
      </c>
      <c r="E510" s="304"/>
      <c r="F510" s="306" t="s">
        <v>469</v>
      </c>
      <c r="G510" s="320">
        <f t="shared" ref="G510" si="123">SUM(G511:G511)</f>
        <v>413644</v>
      </c>
      <c r="H510" s="331">
        <f t="shared" si="119"/>
        <v>413644</v>
      </c>
      <c r="I510" s="331">
        <f t="shared" si="120"/>
        <v>0</v>
      </c>
    </row>
    <row r="511" spans="1:9" ht="12.75" hidden="1" customHeight="1">
      <c r="A511" s="304"/>
      <c r="B511" s="304"/>
      <c r="C511" s="304"/>
      <c r="D511" s="304"/>
      <c r="E511" s="304" t="s">
        <v>113</v>
      </c>
      <c r="F511" s="306" t="s">
        <v>8</v>
      </c>
      <c r="G511" s="320">
        <f>291095+122549</f>
        <v>413644</v>
      </c>
      <c r="H511" s="331">
        <f t="shared" si="119"/>
        <v>413644</v>
      </c>
      <c r="I511" s="331">
        <f t="shared" si="120"/>
        <v>0</v>
      </c>
    </row>
    <row r="512" spans="1:9" hidden="1">
      <c r="A512" s="304"/>
      <c r="B512" s="304"/>
      <c r="C512" s="304"/>
      <c r="D512" s="304" t="s">
        <v>214</v>
      </c>
      <c r="E512" s="304"/>
      <c r="F512" s="306" t="s">
        <v>297</v>
      </c>
      <c r="G512" s="320">
        <f>SUM(G513:G513)</f>
        <v>3249768</v>
      </c>
      <c r="H512" s="331">
        <f t="shared" si="119"/>
        <v>3249768</v>
      </c>
      <c r="I512" s="331">
        <f t="shared" si="120"/>
        <v>0</v>
      </c>
    </row>
    <row r="513" spans="1:9" ht="12.75" hidden="1" customHeight="1">
      <c r="A513" s="304"/>
      <c r="B513" s="304"/>
      <c r="C513" s="304"/>
      <c r="D513" s="304"/>
      <c r="E513" s="304" t="s">
        <v>113</v>
      </c>
      <c r="F513" s="306" t="s">
        <v>8</v>
      </c>
      <c r="G513" s="320">
        <f>2164301+369957+300000+415510</f>
        <v>3249768</v>
      </c>
      <c r="H513" s="331">
        <f t="shared" si="119"/>
        <v>3249768</v>
      </c>
      <c r="I513" s="331">
        <f t="shared" si="120"/>
        <v>0</v>
      </c>
    </row>
    <row r="514" spans="1:9" ht="12.75" hidden="1" customHeight="1">
      <c r="A514" s="304"/>
      <c r="B514" s="304"/>
      <c r="C514" s="304"/>
      <c r="D514" s="304" t="s">
        <v>106</v>
      </c>
      <c r="E514" s="304"/>
      <c r="F514" s="306" t="s">
        <v>350</v>
      </c>
      <c r="G514" s="320">
        <f t="shared" ref="G514" si="124">G515</f>
        <v>1248</v>
      </c>
      <c r="H514" s="331">
        <f t="shared" si="119"/>
        <v>1248</v>
      </c>
      <c r="I514" s="331">
        <f t="shared" si="120"/>
        <v>0</v>
      </c>
    </row>
    <row r="515" spans="1:9" ht="12.75" hidden="1" customHeight="1">
      <c r="A515" s="304"/>
      <c r="B515" s="304"/>
      <c r="C515" s="304"/>
      <c r="D515" s="304"/>
      <c r="E515" s="304" t="s">
        <v>113</v>
      </c>
      <c r="F515" s="306" t="s">
        <v>8</v>
      </c>
      <c r="G515" s="320">
        <v>1248</v>
      </c>
      <c r="H515" s="331">
        <f t="shared" si="119"/>
        <v>1248</v>
      </c>
      <c r="I515" s="331">
        <f t="shared" si="120"/>
        <v>0</v>
      </c>
    </row>
    <row r="516" spans="1:9" hidden="1">
      <c r="A516" s="304"/>
      <c r="B516" s="304"/>
      <c r="C516" s="304"/>
      <c r="D516" s="304" t="s">
        <v>215</v>
      </c>
      <c r="E516" s="304"/>
      <c r="F516" s="306" t="s">
        <v>298</v>
      </c>
      <c r="G516" s="320">
        <f t="shared" ref="G516" si="125">SUM(G517:G519)</f>
        <v>1869877</v>
      </c>
      <c r="H516" s="331">
        <f t="shared" si="119"/>
        <v>1869877</v>
      </c>
      <c r="I516" s="331">
        <f t="shared" si="120"/>
        <v>0</v>
      </c>
    </row>
    <row r="517" spans="1:9" ht="14.25" hidden="1" customHeight="1">
      <c r="A517" s="304"/>
      <c r="B517" s="304"/>
      <c r="C517" s="304"/>
      <c r="D517" s="304"/>
      <c r="E517" s="304" t="s">
        <v>112</v>
      </c>
      <c r="F517" s="306" t="s">
        <v>128</v>
      </c>
      <c r="G517" s="320"/>
      <c r="H517" s="331">
        <f t="shared" si="119"/>
        <v>0</v>
      </c>
      <c r="I517" s="331">
        <f t="shared" si="120"/>
        <v>0</v>
      </c>
    </row>
    <row r="518" spans="1:9" ht="12.75" hidden="1" customHeight="1">
      <c r="A518" s="304"/>
      <c r="B518" s="304"/>
      <c r="C518" s="304"/>
      <c r="D518" s="304"/>
      <c r="E518" s="304" t="s">
        <v>113</v>
      </c>
      <c r="F518" s="306" t="s">
        <v>8</v>
      </c>
      <c r="G518" s="320">
        <f>1385929+125000-508445+850000+101377-83984</f>
        <v>1869877</v>
      </c>
      <c r="H518" s="331">
        <f t="shared" si="119"/>
        <v>1869877</v>
      </c>
      <c r="I518" s="331">
        <f t="shared" si="120"/>
        <v>0</v>
      </c>
    </row>
    <row r="519" spans="1:9" ht="12.75" hidden="1" customHeight="1">
      <c r="A519" s="304"/>
      <c r="B519" s="304"/>
      <c r="C519" s="304"/>
      <c r="D519" s="304"/>
      <c r="E519" s="304" t="s">
        <v>66</v>
      </c>
      <c r="F519" s="306" t="s">
        <v>454</v>
      </c>
      <c r="G519" s="320"/>
      <c r="H519" s="331">
        <f t="shared" si="119"/>
        <v>0</v>
      </c>
      <c r="I519" s="331">
        <f t="shared" si="120"/>
        <v>0</v>
      </c>
    </row>
    <row r="520" spans="1:9" ht="12.75" hidden="1" customHeight="1">
      <c r="A520" s="304"/>
      <c r="B520" s="304"/>
      <c r="C520" s="304"/>
      <c r="D520" s="304" t="s">
        <v>225</v>
      </c>
      <c r="E520" s="304"/>
      <c r="F520" s="306" t="s">
        <v>45</v>
      </c>
      <c r="G520" s="320">
        <f t="shared" ref="G520" si="126">G521</f>
        <v>0</v>
      </c>
      <c r="H520" s="331">
        <f t="shared" si="119"/>
        <v>0</v>
      </c>
      <c r="I520" s="331">
        <f t="shared" si="120"/>
        <v>0</v>
      </c>
    </row>
    <row r="521" spans="1:9" ht="12.75" hidden="1" customHeight="1">
      <c r="A521" s="304"/>
      <c r="B521" s="304"/>
      <c r="C521" s="304"/>
      <c r="D521" s="304"/>
      <c r="E521" s="304" t="s">
        <v>113</v>
      </c>
      <c r="F521" s="306" t="s">
        <v>8</v>
      </c>
      <c r="G521" s="320"/>
      <c r="H521" s="331">
        <f t="shared" si="119"/>
        <v>0</v>
      </c>
      <c r="I521" s="331">
        <f t="shared" si="120"/>
        <v>0</v>
      </c>
    </row>
    <row r="522" spans="1:9" hidden="1">
      <c r="A522" s="304"/>
      <c r="B522" s="304"/>
      <c r="C522" s="304"/>
      <c r="D522" s="304" t="s">
        <v>230</v>
      </c>
      <c r="E522" s="304"/>
      <c r="F522" s="306" t="s">
        <v>324</v>
      </c>
      <c r="G522" s="320">
        <f t="shared" ref="G522" si="127">SUM(G523:G523)</f>
        <v>0</v>
      </c>
      <c r="H522" s="331">
        <f t="shared" si="119"/>
        <v>0</v>
      </c>
      <c r="I522" s="331">
        <f t="shared" si="120"/>
        <v>0</v>
      </c>
    </row>
    <row r="523" spans="1:9" ht="12.75" hidden="1" customHeight="1">
      <c r="A523" s="304"/>
      <c r="B523" s="304"/>
      <c r="C523" s="304"/>
      <c r="D523" s="304"/>
      <c r="E523" s="304" t="s">
        <v>113</v>
      </c>
      <c r="F523" s="306" t="s">
        <v>8</v>
      </c>
      <c r="G523" s="320"/>
      <c r="H523" s="331">
        <f t="shared" si="119"/>
        <v>0</v>
      </c>
      <c r="I523" s="331">
        <f t="shared" si="120"/>
        <v>0</v>
      </c>
    </row>
    <row r="524" spans="1:9" ht="26.25" hidden="1" customHeight="1">
      <c r="A524" s="304"/>
      <c r="B524" s="304"/>
      <c r="C524" s="304"/>
      <c r="D524" s="304" t="s">
        <v>281</v>
      </c>
      <c r="E524" s="304"/>
      <c r="F524" s="306" t="s">
        <v>477</v>
      </c>
      <c r="G524" s="320">
        <f t="shared" ref="G524" si="128">G525</f>
        <v>274490</v>
      </c>
      <c r="H524" s="331">
        <f t="shared" si="119"/>
        <v>274490</v>
      </c>
      <c r="I524" s="331">
        <f t="shared" si="120"/>
        <v>0</v>
      </c>
    </row>
    <row r="525" spans="1:9" ht="12.75" hidden="1" customHeight="1">
      <c r="A525" s="304"/>
      <c r="B525" s="304"/>
      <c r="C525" s="304"/>
      <c r="D525" s="304"/>
      <c r="E525" s="304" t="s">
        <v>113</v>
      </c>
      <c r="F525" s="306" t="s">
        <v>8</v>
      </c>
      <c r="G525" s="320">
        <f>128701+145789</f>
        <v>274490</v>
      </c>
      <c r="H525" s="331">
        <f t="shared" si="119"/>
        <v>274490</v>
      </c>
      <c r="I525" s="331">
        <f t="shared" si="120"/>
        <v>0</v>
      </c>
    </row>
    <row r="526" spans="1:9" ht="27.75" hidden="1" customHeight="1">
      <c r="A526" s="304"/>
      <c r="B526" s="304"/>
      <c r="C526" s="304"/>
      <c r="D526" s="304" t="s">
        <v>232</v>
      </c>
      <c r="E526" s="304"/>
      <c r="F526" s="306" t="s">
        <v>411</v>
      </c>
      <c r="G526" s="320">
        <f t="shared" ref="G526" si="129">SUM(G527:G528)</f>
        <v>2015156</v>
      </c>
      <c r="H526" s="331">
        <f t="shared" si="119"/>
        <v>2015156</v>
      </c>
      <c r="I526" s="331">
        <f t="shared" si="120"/>
        <v>0</v>
      </c>
    </row>
    <row r="527" spans="1:9" ht="12.75" hidden="1" customHeight="1">
      <c r="A527" s="304"/>
      <c r="B527" s="304"/>
      <c r="C527" s="304"/>
      <c r="D527" s="304"/>
      <c r="E527" s="304" t="s">
        <v>112</v>
      </c>
      <c r="F527" s="306" t="s">
        <v>128</v>
      </c>
      <c r="G527" s="320"/>
      <c r="H527" s="331">
        <f t="shared" si="119"/>
        <v>0</v>
      </c>
      <c r="I527" s="331">
        <f t="shared" si="120"/>
        <v>0</v>
      </c>
    </row>
    <row r="528" spans="1:9" ht="12.75" hidden="1" customHeight="1">
      <c r="A528" s="304"/>
      <c r="B528" s="304"/>
      <c r="C528" s="304"/>
      <c r="D528" s="304"/>
      <c r="E528" s="304" t="s">
        <v>113</v>
      </c>
      <c r="F528" s="306" t="s">
        <v>8</v>
      </c>
      <c r="G528" s="320">
        <f>345318+1957872-426161+138127</f>
        <v>2015156</v>
      </c>
      <c r="H528" s="331">
        <f t="shared" si="119"/>
        <v>2015156</v>
      </c>
      <c r="I528" s="331">
        <f t="shared" si="120"/>
        <v>0</v>
      </c>
    </row>
    <row r="529" spans="1:9" ht="12.75" hidden="1" customHeight="1">
      <c r="A529" s="304"/>
      <c r="B529" s="304"/>
      <c r="C529" s="304"/>
      <c r="D529" s="304" t="s">
        <v>282</v>
      </c>
      <c r="E529" s="304"/>
      <c r="F529" s="306" t="s">
        <v>89</v>
      </c>
      <c r="G529" s="320">
        <f t="shared" ref="G529" si="130">G530</f>
        <v>0</v>
      </c>
      <c r="H529" s="331">
        <f t="shared" si="119"/>
        <v>0</v>
      </c>
      <c r="I529" s="331">
        <f t="shared" si="120"/>
        <v>0</v>
      </c>
    </row>
    <row r="530" spans="1:9" ht="12.75" hidden="1" customHeight="1">
      <c r="A530" s="304"/>
      <c r="B530" s="304"/>
      <c r="C530" s="304"/>
      <c r="D530" s="304"/>
      <c r="E530" s="304" t="s">
        <v>113</v>
      </c>
      <c r="F530" s="306" t="s">
        <v>8</v>
      </c>
      <c r="G530" s="320"/>
      <c r="H530" s="331">
        <f t="shared" si="119"/>
        <v>0</v>
      </c>
      <c r="I530" s="331">
        <f t="shared" si="120"/>
        <v>0</v>
      </c>
    </row>
    <row r="531" spans="1:9" ht="12.75" hidden="1" customHeight="1">
      <c r="A531" s="304"/>
      <c r="B531" s="304"/>
      <c r="C531" s="304"/>
      <c r="D531" s="323" t="s">
        <v>662</v>
      </c>
      <c r="E531" s="323"/>
      <c r="F531" s="327" t="s">
        <v>663</v>
      </c>
      <c r="G531" s="328">
        <v>499776</v>
      </c>
      <c r="H531" s="331">
        <f t="shared" si="119"/>
        <v>499776</v>
      </c>
      <c r="I531" s="331">
        <f t="shared" si="120"/>
        <v>0</v>
      </c>
    </row>
    <row r="532" spans="1:9" ht="12.75" hidden="1" customHeight="1">
      <c r="A532" s="304"/>
      <c r="B532" s="304"/>
      <c r="C532" s="298">
        <v>373</v>
      </c>
      <c r="D532" s="304"/>
      <c r="E532" s="304"/>
      <c r="F532" s="306" t="s">
        <v>288</v>
      </c>
      <c r="G532" s="320">
        <f>G533+G535</f>
        <v>1634239</v>
      </c>
      <c r="H532" s="331">
        <f t="shared" si="119"/>
        <v>1634239</v>
      </c>
      <c r="I532" s="331">
        <f t="shared" si="120"/>
        <v>0</v>
      </c>
    </row>
    <row r="533" spans="1:9" hidden="1">
      <c r="A533" s="304"/>
      <c r="B533" s="304"/>
      <c r="C533" s="304"/>
      <c r="D533" s="304" t="s">
        <v>195</v>
      </c>
      <c r="E533" s="304"/>
      <c r="F533" s="306" t="s">
        <v>324</v>
      </c>
      <c r="G533" s="320">
        <f t="shared" ref="G533" si="131">SUM(G534:G534)</f>
        <v>1634239</v>
      </c>
      <c r="H533" s="331">
        <f t="shared" si="119"/>
        <v>1634239</v>
      </c>
      <c r="I533" s="331">
        <f t="shared" si="120"/>
        <v>0</v>
      </c>
    </row>
    <row r="534" spans="1:9" ht="12.75" hidden="1" customHeight="1">
      <c r="A534" s="304"/>
      <c r="B534" s="304"/>
      <c r="C534" s="304"/>
      <c r="D534" s="304"/>
      <c r="E534" s="304" t="s">
        <v>113</v>
      </c>
      <c r="F534" s="306" t="s">
        <v>8</v>
      </c>
      <c r="G534" s="320">
        <f>1634239</f>
        <v>1634239</v>
      </c>
      <c r="H534" s="331">
        <f t="shared" si="119"/>
        <v>1634239</v>
      </c>
      <c r="I534" s="331">
        <f t="shared" si="120"/>
        <v>0</v>
      </c>
    </row>
    <row r="535" spans="1:9" ht="12.75" hidden="1" customHeight="1">
      <c r="A535" s="304"/>
      <c r="B535" s="304"/>
      <c r="C535" s="304"/>
      <c r="D535" s="304" t="s">
        <v>341</v>
      </c>
      <c r="E535" s="304"/>
      <c r="F535" s="306" t="s">
        <v>297</v>
      </c>
      <c r="G535" s="320">
        <f>G536</f>
        <v>0</v>
      </c>
      <c r="H535" s="331">
        <f t="shared" si="119"/>
        <v>0</v>
      </c>
      <c r="I535" s="331">
        <f t="shared" si="120"/>
        <v>0</v>
      </c>
    </row>
    <row r="536" spans="1:9" ht="12.75" hidden="1" customHeight="1">
      <c r="A536" s="304"/>
      <c r="B536" s="304"/>
      <c r="C536" s="304"/>
      <c r="D536" s="304"/>
      <c r="E536" s="304" t="s">
        <v>113</v>
      </c>
      <c r="F536" s="306" t="s">
        <v>8</v>
      </c>
      <c r="G536" s="320"/>
      <c r="H536" s="331">
        <f t="shared" si="119"/>
        <v>0</v>
      </c>
      <c r="I536" s="331">
        <f t="shared" si="120"/>
        <v>0</v>
      </c>
    </row>
    <row r="537" spans="1:9" hidden="1">
      <c r="A537" s="304"/>
      <c r="B537" s="304">
        <v>3</v>
      </c>
      <c r="C537" s="304"/>
      <c r="D537" s="304"/>
      <c r="E537" s="304"/>
      <c r="F537" s="306" t="s">
        <v>199</v>
      </c>
      <c r="G537" s="320">
        <f>G538+G553+G556+G547+G550</f>
        <v>52595758</v>
      </c>
      <c r="H537" s="331">
        <f t="shared" si="119"/>
        <v>52595758</v>
      </c>
      <c r="I537" s="331">
        <f t="shared" si="120"/>
        <v>0</v>
      </c>
    </row>
    <row r="538" spans="1:9" hidden="1">
      <c r="A538" s="304"/>
      <c r="B538" s="304"/>
      <c r="C538" s="304">
        <v>123</v>
      </c>
      <c r="D538" s="304"/>
      <c r="E538" s="304"/>
      <c r="F538" s="306" t="s">
        <v>429</v>
      </c>
      <c r="G538" s="320">
        <f>G541+G545+G543+G539</f>
        <v>40518545</v>
      </c>
      <c r="H538" s="331">
        <f t="shared" si="119"/>
        <v>40518545</v>
      </c>
      <c r="I538" s="331">
        <f t="shared" si="120"/>
        <v>0</v>
      </c>
    </row>
    <row r="539" spans="1:9" hidden="1">
      <c r="A539" s="304"/>
      <c r="B539" s="304"/>
      <c r="C539" s="304"/>
      <c r="D539" s="304" t="s">
        <v>213</v>
      </c>
      <c r="E539" s="304"/>
      <c r="F539" s="306" t="s">
        <v>284</v>
      </c>
      <c r="G539" s="320">
        <f t="shared" ref="G539" si="132">G540</f>
        <v>68246</v>
      </c>
      <c r="H539" s="331">
        <f t="shared" si="119"/>
        <v>68246</v>
      </c>
      <c r="I539" s="331">
        <f t="shared" si="120"/>
        <v>0</v>
      </c>
    </row>
    <row r="540" spans="1:9" ht="12.75" hidden="1" customHeight="1">
      <c r="A540" s="304"/>
      <c r="B540" s="304"/>
      <c r="C540" s="304"/>
      <c r="D540" s="304"/>
      <c r="E540" s="304" t="s">
        <v>113</v>
      </c>
      <c r="F540" s="306" t="s">
        <v>8</v>
      </c>
      <c r="G540" s="320">
        <f>47139+21107</f>
        <v>68246</v>
      </c>
      <c r="H540" s="331">
        <f t="shared" si="119"/>
        <v>68246</v>
      </c>
      <c r="I540" s="331">
        <f t="shared" si="120"/>
        <v>0</v>
      </c>
    </row>
    <row r="541" spans="1:9" hidden="1">
      <c r="A541" s="304"/>
      <c r="B541" s="304"/>
      <c r="C541" s="304"/>
      <c r="D541" s="304" t="s">
        <v>202</v>
      </c>
      <c r="E541" s="304"/>
      <c r="F541" s="306" t="s">
        <v>200</v>
      </c>
      <c r="G541" s="320">
        <f>SUM(G542:G542)</f>
        <v>30428860</v>
      </c>
      <c r="H541" s="331">
        <f t="shared" si="119"/>
        <v>30428860</v>
      </c>
      <c r="I541" s="331">
        <f t="shared" si="120"/>
        <v>0</v>
      </c>
    </row>
    <row r="542" spans="1:9" ht="12.75" hidden="1" customHeight="1">
      <c r="A542" s="304"/>
      <c r="B542" s="304"/>
      <c r="C542" s="304"/>
      <c r="D542" s="304"/>
      <c r="E542" s="304" t="s">
        <v>113</v>
      </c>
      <c r="F542" s="306" t="s">
        <v>8</v>
      </c>
      <c r="G542" s="320">
        <f>21453751+2036432+10744-838065+2485716+3486842-95358+1895282-6484</f>
        <v>30428860</v>
      </c>
      <c r="H542" s="331">
        <f t="shared" si="119"/>
        <v>30428860</v>
      </c>
      <c r="I542" s="331">
        <f t="shared" si="120"/>
        <v>0</v>
      </c>
    </row>
    <row r="543" spans="1:9" ht="12.75" hidden="1" customHeight="1">
      <c r="A543" s="304"/>
      <c r="B543" s="304"/>
      <c r="C543" s="304"/>
      <c r="D543" s="304" t="s">
        <v>188</v>
      </c>
      <c r="E543" s="304"/>
      <c r="F543" s="306" t="s">
        <v>285</v>
      </c>
      <c r="G543" s="320">
        <f t="shared" ref="G543" si="133">G544</f>
        <v>0</v>
      </c>
      <c r="H543" s="331">
        <f t="shared" si="119"/>
        <v>0</v>
      </c>
      <c r="I543" s="331">
        <f t="shared" si="120"/>
        <v>0</v>
      </c>
    </row>
    <row r="544" spans="1:9" ht="12.75" hidden="1" customHeight="1">
      <c r="A544" s="304"/>
      <c r="B544" s="304"/>
      <c r="C544" s="304"/>
      <c r="D544" s="304"/>
      <c r="E544" s="304" t="s">
        <v>113</v>
      </c>
      <c r="F544" s="306" t="s">
        <v>8</v>
      </c>
      <c r="G544" s="320"/>
      <c r="H544" s="331">
        <f t="shared" si="119"/>
        <v>0</v>
      </c>
      <c r="I544" s="331">
        <f t="shared" si="120"/>
        <v>0</v>
      </c>
    </row>
    <row r="545" spans="1:9" hidden="1">
      <c r="A545" s="304"/>
      <c r="B545" s="304"/>
      <c r="C545" s="304"/>
      <c r="D545" s="304" t="s">
        <v>112</v>
      </c>
      <c r="E545" s="304"/>
      <c r="F545" s="306" t="s">
        <v>201</v>
      </c>
      <c r="G545" s="320">
        <f t="shared" ref="G545" si="134">SUM(G546:G546)</f>
        <v>10021439</v>
      </c>
      <c r="H545" s="331">
        <f t="shared" si="119"/>
        <v>10021439</v>
      </c>
      <c r="I545" s="331">
        <f t="shared" si="120"/>
        <v>0</v>
      </c>
    </row>
    <row r="546" spans="1:9" ht="12.75" hidden="1" customHeight="1">
      <c r="A546" s="304"/>
      <c r="B546" s="304"/>
      <c r="C546" s="304"/>
      <c r="D546" s="304"/>
      <c r="E546" s="304" t="s">
        <v>113</v>
      </c>
      <c r="F546" s="306" t="s">
        <v>8</v>
      </c>
      <c r="G546" s="320">
        <f>7177950+2712057-1412286+2761095-118504+755554-872444-1060418+78435</f>
        <v>10021439</v>
      </c>
      <c r="H546" s="331">
        <f t="shared" si="119"/>
        <v>10021439</v>
      </c>
      <c r="I546" s="331">
        <f t="shared" si="120"/>
        <v>0</v>
      </c>
    </row>
    <row r="547" spans="1:9" ht="25.5" hidden="1">
      <c r="A547" s="304"/>
      <c r="B547" s="304"/>
      <c r="C547" s="304" t="s">
        <v>466</v>
      </c>
      <c r="D547" s="304"/>
      <c r="E547" s="304"/>
      <c r="F547" s="306" t="s">
        <v>465</v>
      </c>
      <c r="G547" s="320">
        <f t="shared" ref="G547" si="135">G548</f>
        <v>5128254</v>
      </c>
      <c r="H547" s="331">
        <f t="shared" si="119"/>
        <v>5128254</v>
      </c>
      <c r="I547" s="331">
        <f t="shared" si="120"/>
        <v>0</v>
      </c>
    </row>
    <row r="548" spans="1:9" ht="12.75" hidden="1" customHeight="1">
      <c r="A548" s="304"/>
      <c r="B548" s="304"/>
      <c r="C548" s="304"/>
      <c r="D548" s="304" t="s">
        <v>254</v>
      </c>
      <c r="E548" s="304"/>
      <c r="F548" s="306" t="s">
        <v>457</v>
      </c>
      <c r="G548" s="320">
        <f t="shared" ref="G548" si="136">SUM(G549:G549)</f>
        <v>5128254</v>
      </c>
      <c r="H548" s="331">
        <f t="shared" si="119"/>
        <v>5128254</v>
      </c>
      <c r="I548" s="331">
        <f t="shared" si="120"/>
        <v>0</v>
      </c>
    </row>
    <row r="549" spans="1:9" ht="12.75" hidden="1" customHeight="1">
      <c r="A549" s="304"/>
      <c r="B549" s="304"/>
      <c r="C549" s="304"/>
      <c r="D549" s="304"/>
      <c r="E549" s="304" t="s">
        <v>113</v>
      </c>
      <c r="F549" s="306" t="s">
        <v>8</v>
      </c>
      <c r="G549" s="320">
        <f>663338+2773470+23520+525000+593814+549112</f>
        <v>5128254</v>
      </c>
      <c r="H549" s="331">
        <f t="shared" si="119"/>
        <v>5128254</v>
      </c>
      <c r="I549" s="331">
        <f t="shared" si="120"/>
        <v>0</v>
      </c>
    </row>
    <row r="550" spans="1:9" hidden="1">
      <c r="A550" s="304"/>
      <c r="B550" s="304"/>
      <c r="C550" s="304" t="s">
        <v>446</v>
      </c>
      <c r="D550" s="304"/>
      <c r="E550" s="304"/>
      <c r="F550" s="306" t="s">
        <v>441</v>
      </c>
      <c r="G550" s="320">
        <f>G551</f>
        <v>0</v>
      </c>
      <c r="H550" s="331">
        <f t="shared" si="119"/>
        <v>0</v>
      </c>
      <c r="I550" s="331">
        <f t="shared" si="120"/>
        <v>0</v>
      </c>
    </row>
    <row r="551" spans="1:9" hidden="1">
      <c r="A551" s="304"/>
      <c r="B551" s="304"/>
      <c r="C551" s="304"/>
      <c r="D551" s="304" t="s">
        <v>112</v>
      </c>
      <c r="E551" s="304"/>
      <c r="F551" s="306" t="s">
        <v>457</v>
      </c>
      <c r="G551" s="320">
        <f>G552</f>
        <v>0</v>
      </c>
      <c r="H551" s="331">
        <f t="shared" si="119"/>
        <v>0</v>
      </c>
      <c r="I551" s="331">
        <f t="shared" si="120"/>
        <v>0</v>
      </c>
    </row>
    <row r="552" spans="1:9" ht="12.75" hidden="1" customHeight="1">
      <c r="A552" s="304"/>
      <c r="B552" s="304"/>
      <c r="C552" s="304"/>
      <c r="D552" s="304"/>
      <c r="E552" s="304" t="s">
        <v>113</v>
      </c>
      <c r="F552" s="306" t="s">
        <v>8</v>
      </c>
      <c r="G552" s="320"/>
      <c r="H552" s="331">
        <f t="shared" si="119"/>
        <v>0</v>
      </c>
      <c r="I552" s="331">
        <f t="shared" si="120"/>
        <v>0</v>
      </c>
    </row>
    <row r="553" spans="1:9" ht="25.5" hidden="1">
      <c r="A553" s="304"/>
      <c r="B553" s="304"/>
      <c r="C553" s="304" t="s">
        <v>467</v>
      </c>
      <c r="D553" s="304"/>
      <c r="E553" s="304"/>
      <c r="F553" s="306" t="s">
        <v>468</v>
      </c>
      <c r="G553" s="320">
        <f>G554</f>
        <v>6856399</v>
      </c>
      <c r="H553" s="331">
        <f t="shared" si="119"/>
        <v>6856399</v>
      </c>
      <c r="I553" s="331">
        <f t="shared" si="120"/>
        <v>0</v>
      </c>
    </row>
    <row r="554" spans="1:9" hidden="1">
      <c r="A554" s="304"/>
      <c r="B554" s="304"/>
      <c r="C554" s="304"/>
      <c r="D554" s="304" t="s">
        <v>118</v>
      </c>
      <c r="E554" s="304"/>
      <c r="F554" s="306" t="s">
        <v>284</v>
      </c>
      <c r="G554" s="320">
        <f t="shared" ref="G554" si="137">SUM(G555:G555)</f>
        <v>6856399</v>
      </c>
      <c r="H554" s="331">
        <f t="shared" si="119"/>
        <v>6856399</v>
      </c>
      <c r="I554" s="331">
        <f t="shared" si="120"/>
        <v>0</v>
      </c>
    </row>
    <row r="555" spans="1:9" ht="12.75" hidden="1" customHeight="1">
      <c r="A555" s="304"/>
      <c r="B555" s="304"/>
      <c r="C555" s="304"/>
      <c r="D555" s="304"/>
      <c r="E555" s="304" t="s">
        <v>113</v>
      </c>
      <c r="F555" s="306" t="s">
        <v>8</v>
      </c>
      <c r="G555" s="320">
        <f>5000000+9854+1846545</f>
        <v>6856399</v>
      </c>
      <c r="H555" s="331">
        <f t="shared" si="119"/>
        <v>6856399</v>
      </c>
      <c r="I555" s="331">
        <f t="shared" si="120"/>
        <v>0</v>
      </c>
    </row>
    <row r="556" spans="1:9" ht="25.5" hidden="1">
      <c r="A556" s="304"/>
      <c r="B556" s="304"/>
      <c r="C556" s="304" t="s">
        <v>351</v>
      </c>
      <c r="D556" s="304"/>
      <c r="E556" s="304"/>
      <c r="F556" s="306" t="s">
        <v>251</v>
      </c>
      <c r="G556" s="320">
        <f t="shared" ref="G556:G557" si="138">G557</f>
        <v>92560</v>
      </c>
      <c r="H556" s="331">
        <f t="shared" si="119"/>
        <v>92560</v>
      </c>
      <c r="I556" s="331">
        <f t="shared" si="120"/>
        <v>0</v>
      </c>
    </row>
    <row r="557" spans="1:9" hidden="1">
      <c r="A557" s="304"/>
      <c r="B557" s="304"/>
      <c r="C557" s="304"/>
      <c r="D557" s="304" t="s">
        <v>185</v>
      </c>
      <c r="E557" s="304"/>
      <c r="F557" s="306" t="s">
        <v>200</v>
      </c>
      <c r="G557" s="320">
        <f t="shared" si="138"/>
        <v>92560</v>
      </c>
      <c r="H557" s="331">
        <f t="shared" ref="H557:H620" si="139">G557</f>
        <v>92560</v>
      </c>
      <c r="I557" s="331">
        <f t="shared" si="120"/>
        <v>0</v>
      </c>
    </row>
    <row r="558" spans="1:9" ht="12.75" hidden="1" customHeight="1">
      <c r="A558" s="304"/>
      <c r="B558" s="304"/>
      <c r="C558" s="304"/>
      <c r="D558" s="304"/>
      <c r="E558" s="304" t="s">
        <v>113</v>
      </c>
      <c r="F558" s="306" t="s">
        <v>8</v>
      </c>
      <c r="G558" s="320">
        <v>92560</v>
      </c>
      <c r="H558" s="331">
        <f t="shared" si="139"/>
        <v>92560</v>
      </c>
      <c r="I558" s="331">
        <f t="shared" ref="I558:I621" si="140">G558-H558</f>
        <v>0</v>
      </c>
    </row>
    <row r="559" spans="1:9" hidden="1">
      <c r="A559" s="304" t="s">
        <v>74</v>
      </c>
      <c r="B559" s="304"/>
      <c r="C559" s="304"/>
      <c r="D559" s="304"/>
      <c r="E559" s="304"/>
      <c r="F559" s="306" t="s">
        <v>75</v>
      </c>
      <c r="G559" s="320">
        <f>G560+G589+G604+G618+G630</f>
        <v>30530505</v>
      </c>
      <c r="H559" s="331">
        <f t="shared" si="139"/>
        <v>30530505</v>
      </c>
      <c r="I559" s="331">
        <f t="shared" si="140"/>
        <v>0</v>
      </c>
    </row>
    <row r="560" spans="1:9" hidden="1">
      <c r="A560" s="304"/>
      <c r="B560" s="304" t="s">
        <v>31</v>
      </c>
      <c r="C560" s="304"/>
      <c r="D560" s="304"/>
      <c r="E560" s="304"/>
      <c r="F560" s="306" t="s">
        <v>76</v>
      </c>
      <c r="G560" s="320">
        <f>G561+G586+G567+G564</f>
        <v>12545733</v>
      </c>
      <c r="H560" s="331">
        <f t="shared" si="139"/>
        <v>12545733</v>
      </c>
      <c r="I560" s="331">
        <f t="shared" si="140"/>
        <v>0</v>
      </c>
    </row>
    <row r="561" spans="1:9" hidden="1">
      <c r="A561" s="304"/>
      <c r="B561" s="304"/>
      <c r="C561" s="304">
        <v>123</v>
      </c>
      <c r="D561" s="304"/>
      <c r="E561" s="304"/>
      <c r="F561" s="306" t="s">
        <v>429</v>
      </c>
      <c r="G561" s="320">
        <f t="shared" ref="G561:G562" si="141">G562</f>
        <v>73770</v>
      </c>
      <c r="H561" s="331">
        <f t="shared" si="139"/>
        <v>73770</v>
      </c>
      <c r="I561" s="331">
        <f t="shared" si="140"/>
        <v>0</v>
      </c>
    </row>
    <row r="562" spans="1:9" hidden="1">
      <c r="A562" s="304"/>
      <c r="B562" s="304"/>
      <c r="C562" s="304"/>
      <c r="D562" s="304" t="s">
        <v>106</v>
      </c>
      <c r="E562" s="304"/>
      <c r="F562" s="306" t="s">
        <v>203</v>
      </c>
      <c r="G562" s="320">
        <f t="shared" si="141"/>
        <v>73770</v>
      </c>
      <c r="H562" s="331">
        <f t="shared" si="139"/>
        <v>73770</v>
      </c>
      <c r="I562" s="331">
        <f t="shared" si="140"/>
        <v>0</v>
      </c>
    </row>
    <row r="563" spans="1:9" ht="12.75" hidden="1" customHeight="1">
      <c r="A563" s="304"/>
      <c r="B563" s="304"/>
      <c r="C563" s="304"/>
      <c r="D563" s="304"/>
      <c r="E563" s="304" t="s">
        <v>113</v>
      </c>
      <c r="F563" s="306" t="s">
        <v>8</v>
      </c>
      <c r="G563" s="320">
        <f>105000-15645-15585</f>
        <v>73770</v>
      </c>
      <c r="H563" s="331">
        <f t="shared" si="139"/>
        <v>73770</v>
      </c>
      <c r="I563" s="331">
        <f t="shared" si="140"/>
        <v>0</v>
      </c>
    </row>
    <row r="564" spans="1:9" ht="25.5" hidden="1">
      <c r="A564" s="304"/>
      <c r="B564" s="304"/>
      <c r="C564" s="304" t="s">
        <v>466</v>
      </c>
      <c r="D564" s="304"/>
      <c r="E564" s="304"/>
      <c r="F564" s="306" t="s">
        <v>465</v>
      </c>
      <c r="G564" s="320">
        <f>G565</f>
        <v>937833</v>
      </c>
      <c r="H564" s="331">
        <f t="shared" si="139"/>
        <v>937833</v>
      </c>
      <c r="I564" s="331">
        <f t="shared" si="140"/>
        <v>0</v>
      </c>
    </row>
    <row r="565" spans="1:9" hidden="1">
      <c r="A565" s="304"/>
      <c r="B565" s="304"/>
      <c r="C565" s="304"/>
      <c r="D565" s="304" t="s">
        <v>188</v>
      </c>
      <c r="E565" s="304"/>
      <c r="F565" s="306" t="s">
        <v>535</v>
      </c>
      <c r="G565" s="320">
        <f>G566</f>
        <v>937833</v>
      </c>
      <c r="H565" s="331">
        <f t="shared" si="139"/>
        <v>937833</v>
      </c>
      <c r="I565" s="331">
        <f t="shared" si="140"/>
        <v>0</v>
      </c>
    </row>
    <row r="566" spans="1:9" ht="12.75" hidden="1" customHeight="1">
      <c r="A566" s="304"/>
      <c r="B566" s="304"/>
      <c r="C566" s="304"/>
      <c r="D566" s="304"/>
      <c r="E566" s="304" t="s">
        <v>113</v>
      </c>
      <c r="F566" s="306" t="s">
        <v>8</v>
      </c>
      <c r="G566" s="320">
        <f>684511+253322</f>
        <v>937833</v>
      </c>
      <c r="H566" s="331">
        <f t="shared" si="139"/>
        <v>937833</v>
      </c>
      <c r="I566" s="331">
        <f t="shared" si="140"/>
        <v>0</v>
      </c>
    </row>
    <row r="567" spans="1:9" ht="25.5" hidden="1">
      <c r="A567" s="304"/>
      <c r="B567" s="304"/>
      <c r="C567" s="304" t="s">
        <v>376</v>
      </c>
      <c r="D567" s="304"/>
      <c r="E567" s="304"/>
      <c r="F567" s="306" t="s">
        <v>377</v>
      </c>
      <c r="G567" s="320">
        <f>G568+G570+G572+G574+G576+G584+G6628+G582+G580+G578</f>
        <v>10835486</v>
      </c>
      <c r="H567" s="331">
        <f t="shared" si="139"/>
        <v>10835486</v>
      </c>
      <c r="I567" s="331">
        <f t="shared" si="140"/>
        <v>0</v>
      </c>
    </row>
    <row r="568" spans="1:9" ht="25.5" hidden="1">
      <c r="A568" s="304"/>
      <c r="B568" s="304"/>
      <c r="C568" s="304"/>
      <c r="D568" s="304" t="s">
        <v>48</v>
      </c>
      <c r="E568" s="304"/>
      <c r="F568" s="306" t="s">
        <v>381</v>
      </c>
      <c r="G568" s="320">
        <f t="shared" ref="G568" si="142">SUM(G569:G569)</f>
        <v>192030</v>
      </c>
      <c r="H568" s="331">
        <f t="shared" si="139"/>
        <v>192030</v>
      </c>
      <c r="I568" s="331">
        <f t="shared" si="140"/>
        <v>0</v>
      </c>
    </row>
    <row r="569" spans="1:9" ht="12.75" hidden="1" customHeight="1">
      <c r="A569" s="304"/>
      <c r="B569" s="304"/>
      <c r="C569" s="304"/>
      <c r="D569" s="304"/>
      <c r="E569" s="304" t="s">
        <v>113</v>
      </c>
      <c r="F569" s="306" t="s">
        <v>8</v>
      </c>
      <c r="G569" s="320">
        <f>191515+515</f>
        <v>192030</v>
      </c>
      <c r="H569" s="331">
        <f t="shared" si="139"/>
        <v>192030</v>
      </c>
      <c r="I569" s="331">
        <f t="shared" si="140"/>
        <v>0</v>
      </c>
    </row>
    <row r="570" spans="1:9" hidden="1">
      <c r="A570" s="304"/>
      <c r="B570" s="304"/>
      <c r="C570" s="304"/>
      <c r="D570" s="304" t="s">
        <v>49</v>
      </c>
      <c r="E570" s="304"/>
      <c r="F570" s="306" t="s">
        <v>208</v>
      </c>
      <c r="G570" s="320">
        <f t="shared" ref="G570" si="143">SUM(G571:G571)</f>
        <v>133530</v>
      </c>
      <c r="H570" s="331">
        <f t="shared" si="139"/>
        <v>133530</v>
      </c>
      <c r="I570" s="331">
        <f t="shared" si="140"/>
        <v>0</v>
      </c>
    </row>
    <row r="571" spans="1:9" ht="12.75" hidden="1" customHeight="1">
      <c r="A571" s="304"/>
      <c r="B571" s="304"/>
      <c r="C571" s="304"/>
      <c r="D571" s="304"/>
      <c r="E571" s="304" t="s">
        <v>113</v>
      </c>
      <c r="F571" s="306" t="s">
        <v>8</v>
      </c>
      <c r="G571" s="320">
        <v>133530</v>
      </c>
      <c r="H571" s="331">
        <f t="shared" si="139"/>
        <v>133530</v>
      </c>
      <c r="I571" s="331">
        <f t="shared" si="140"/>
        <v>0</v>
      </c>
    </row>
    <row r="572" spans="1:9" ht="12.75" hidden="1" customHeight="1">
      <c r="A572" s="304"/>
      <c r="B572" s="304"/>
      <c r="C572" s="304"/>
      <c r="D572" s="304" t="s">
        <v>214</v>
      </c>
      <c r="E572" s="304"/>
      <c r="F572" s="306" t="s">
        <v>209</v>
      </c>
      <c r="G572" s="320">
        <f>SUM(G573:G573)</f>
        <v>589202</v>
      </c>
      <c r="H572" s="331">
        <f t="shared" si="139"/>
        <v>589202</v>
      </c>
      <c r="I572" s="331">
        <f t="shared" si="140"/>
        <v>0</v>
      </c>
    </row>
    <row r="573" spans="1:9" ht="12.75" hidden="1" customHeight="1">
      <c r="A573" s="304"/>
      <c r="B573" s="304"/>
      <c r="C573" s="304"/>
      <c r="D573" s="304"/>
      <c r="E573" s="304" t="s">
        <v>113</v>
      </c>
      <c r="F573" s="306" t="s">
        <v>8</v>
      </c>
      <c r="G573" s="320">
        <v>589202</v>
      </c>
      <c r="H573" s="331">
        <f t="shared" si="139"/>
        <v>589202</v>
      </c>
      <c r="I573" s="331">
        <f t="shared" si="140"/>
        <v>0</v>
      </c>
    </row>
    <row r="574" spans="1:9" hidden="1">
      <c r="A574" s="304"/>
      <c r="B574" s="304"/>
      <c r="C574" s="304"/>
      <c r="D574" s="304" t="s">
        <v>106</v>
      </c>
      <c r="E574" s="304"/>
      <c r="F574" s="306" t="s">
        <v>210</v>
      </c>
      <c r="G574" s="320">
        <f>SUM(G575:G575)</f>
        <v>3943137</v>
      </c>
      <c r="H574" s="331">
        <f t="shared" si="139"/>
        <v>3943137</v>
      </c>
      <c r="I574" s="331">
        <f t="shared" si="140"/>
        <v>0</v>
      </c>
    </row>
    <row r="575" spans="1:9" ht="12.75" hidden="1" customHeight="1">
      <c r="A575" s="304"/>
      <c r="B575" s="304"/>
      <c r="C575" s="304"/>
      <c r="D575" s="304"/>
      <c r="E575" s="304" t="s">
        <v>113</v>
      </c>
      <c r="F575" s="306" t="s">
        <v>8</v>
      </c>
      <c r="G575" s="320">
        <f>3873121+70016</f>
        <v>3943137</v>
      </c>
      <c r="H575" s="331">
        <f t="shared" si="139"/>
        <v>3943137</v>
      </c>
      <c r="I575" s="331">
        <f t="shared" si="140"/>
        <v>0</v>
      </c>
    </row>
    <row r="576" spans="1:9" hidden="1">
      <c r="A576" s="304"/>
      <c r="B576" s="304"/>
      <c r="C576" s="304"/>
      <c r="D576" s="304" t="s">
        <v>215</v>
      </c>
      <c r="E576" s="304"/>
      <c r="F576" s="306" t="s">
        <v>211</v>
      </c>
      <c r="G576" s="320">
        <f>SUM(G577:G577)</f>
        <v>4018905</v>
      </c>
      <c r="H576" s="331">
        <f t="shared" si="139"/>
        <v>4018905</v>
      </c>
      <c r="I576" s="331">
        <f t="shared" si="140"/>
        <v>0</v>
      </c>
    </row>
    <row r="577" spans="1:9" ht="12.75" hidden="1" customHeight="1">
      <c r="A577" s="304"/>
      <c r="B577" s="304"/>
      <c r="C577" s="304"/>
      <c r="D577" s="304"/>
      <c r="E577" s="304" t="s">
        <v>113</v>
      </c>
      <c r="F577" s="306" t="s">
        <v>8</v>
      </c>
      <c r="G577" s="320">
        <f>3912844+106061</f>
        <v>4018905</v>
      </c>
      <c r="H577" s="331">
        <f t="shared" si="139"/>
        <v>4018905</v>
      </c>
      <c r="I577" s="331">
        <f t="shared" si="140"/>
        <v>0</v>
      </c>
    </row>
    <row r="578" spans="1:9" ht="12.75" hidden="1" customHeight="1">
      <c r="A578" s="304"/>
      <c r="B578" s="304"/>
      <c r="C578" s="304"/>
      <c r="D578" s="304" t="s">
        <v>188</v>
      </c>
      <c r="E578" s="304"/>
      <c r="F578" s="306" t="s">
        <v>535</v>
      </c>
      <c r="G578" s="320">
        <f>G579</f>
        <v>732070</v>
      </c>
      <c r="H578" s="331">
        <f t="shared" si="139"/>
        <v>732070</v>
      </c>
      <c r="I578" s="331">
        <f t="shared" si="140"/>
        <v>0</v>
      </c>
    </row>
    <row r="579" spans="1:9" ht="12.75" hidden="1" customHeight="1">
      <c r="A579" s="304"/>
      <c r="B579" s="304"/>
      <c r="C579" s="304"/>
      <c r="D579" s="304"/>
      <c r="E579" s="304" t="s">
        <v>113</v>
      </c>
      <c r="F579" s="306" t="s">
        <v>8</v>
      </c>
      <c r="G579" s="320">
        <v>732070</v>
      </c>
      <c r="H579" s="331">
        <f t="shared" si="139"/>
        <v>732070</v>
      </c>
      <c r="I579" s="331">
        <f t="shared" si="140"/>
        <v>0</v>
      </c>
    </row>
    <row r="580" spans="1:9" hidden="1">
      <c r="A580" s="304"/>
      <c r="B580" s="304"/>
      <c r="C580" s="304"/>
      <c r="D580" s="304" t="s">
        <v>112</v>
      </c>
      <c r="E580" s="304"/>
      <c r="F580" s="306" t="s">
        <v>45</v>
      </c>
      <c r="G580" s="320">
        <f t="shared" ref="G580" si="144">G581</f>
        <v>0</v>
      </c>
      <c r="H580" s="331">
        <f t="shared" si="139"/>
        <v>0</v>
      </c>
      <c r="I580" s="331">
        <f t="shared" si="140"/>
        <v>0</v>
      </c>
    </row>
    <row r="581" spans="1:9" ht="12.75" hidden="1" customHeight="1">
      <c r="A581" s="304"/>
      <c r="B581" s="304"/>
      <c r="C581" s="304"/>
      <c r="D581" s="304"/>
      <c r="E581" s="304" t="s">
        <v>113</v>
      </c>
      <c r="F581" s="306" t="s">
        <v>8</v>
      </c>
      <c r="G581" s="320"/>
      <c r="H581" s="331">
        <f t="shared" si="139"/>
        <v>0</v>
      </c>
      <c r="I581" s="331">
        <f t="shared" si="140"/>
        <v>0</v>
      </c>
    </row>
    <row r="582" spans="1:9" ht="25.5" hidden="1">
      <c r="A582" s="304"/>
      <c r="B582" s="304"/>
      <c r="C582" s="304"/>
      <c r="D582" s="304" t="s">
        <v>216</v>
      </c>
      <c r="E582" s="304"/>
      <c r="F582" s="306" t="s">
        <v>525</v>
      </c>
      <c r="G582" s="320">
        <f>G583</f>
        <v>1065350</v>
      </c>
      <c r="H582" s="331">
        <f t="shared" si="139"/>
        <v>1065350</v>
      </c>
      <c r="I582" s="331">
        <f t="shared" si="140"/>
        <v>0</v>
      </c>
    </row>
    <row r="583" spans="1:9" ht="12.75" hidden="1" customHeight="1">
      <c r="A583" s="304"/>
      <c r="B583" s="304"/>
      <c r="C583" s="304"/>
      <c r="D583" s="304"/>
      <c r="E583" s="304" t="s">
        <v>113</v>
      </c>
      <c r="F583" s="306" t="s">
        <v>8</v>
      </c>
      <c r="G583" s="320">
        <f>1006193+59157</f>
        <v>1065350</v>
      </c>
      <c r="H583" s="331">
        <f t="shared" si="139"/>
        <v>1065350</v>
      </c>
      <c r="I583" s="331">
        <f t="shared" si="140"/>
        <v>0</v>
      </c>
    </row>
    <row r="584" spans="1:9" ht="25.5" hidden="1">
      <c r="A584" s="304"/>
      <c r="B584" s="304"/>
      <c r="C584" s="304"/>
      <c r="D584" s="304" t="s">
        <v>66</v>
      </c>
      <c r="E584" s="304"/>
      <c r="F584" s="306" t="s">
        <v>89</v>
      </c>
      <c r="G584" s="320">
        <f t="shared" ref="G584" si="145">SUM(G585:G585)</f>
        <v>161262</v>
      </c>
      <c r="H584" s="331">
        <f t="shared" si="139"/>
        <v>161262</v>
      </c>
      <c r="I584" s="331">
        <f t="shared" si="140"/>
        <v>0</v>
      </c>
    </row>
    <row r="585" spans="1:9" ht="12.75" hidden="1" customHeight="1">
      <c r="A585" s="304"/>
      <c r="B585" s="304"/>
      <c r="C585" s="304"/>
      <c r="D585" s="304"/>
      <c r="E585" s="304" t="s">
        <v>113</v>
      </c>
      <c r="F585" s="306" t="s">
        <v>8</v>
      </c>
      <c r="G585" s="320">
        <v>161262</v>
      </c>
      <c r="H585" s="331">
        <f t="shared" si="139"/>
        <v>161262</v>
      </c>
      <c r="I585" s="331">
        <f t="shared" si="140"/>
        <v>0</v>
      </c>
    </row>
    <row r="586" spans="1:9" ht="15" hidden="1" customHeight="1">
      <c r="A586" s="304"/>
      <c r="B586" s="304"/>
      <c r="C586" s="304" t="s">
        <v>305</v>
      </c>
      <c r="D586" s="304"/>
      <c r="E586" s="304"/>
      <c r="F586" s="306" t="s">
        <v>288</v>
      </c>
      <c r="G586" s="320">
        <f t="shared" ref="G586" si="146">G587</f>
        <v>698644</v>
      </c>
      <c r="H586" s="331">
        <f t="shared" si="139"/>
        <v>698644</v>
      </c>
      <c r="I586" s="331">
        <f t="shared" si="140"/>
        <v>0</v>
      </c>
    </row>
    <row r="587" spans="1:9" hidden="1">
      <c r="A587" s="304"/>
      <c r="B587" s="304"/>
      <c r="C587" s="304"/>
      <c r="D587" s="304" t="s">
        <v>116</v>
      </c>
      <c r="E587" s="304"/>
      <c r="F587" s="306" t="s">
        <v>304</v>
      </c>
      <c r="G587" s="320">
        <f>SUM(G588:G588)</f>
        <v>698644</v>
      </c>
      <c r="H587" s="331">
        <f t="shared" si="139"/>
        <v>698644</v>
      </c>
      <c r="I587" s="331">
        <f t="shared" si="140"/>
        <v>0</v>
      </c>
    </row>
    <row r="588" spans="1:9" ht="12.75" hidden="1" customHeight="1">
      <c r="A588" s="304"/>
      <c r="B588" s="304"/>
      <c r="C588" s="304"/>
      <c r="D588" s="304"/>
      <c r="E588" s="304" t="s">
        <v>113</v>
      </c>
      <c r="F588" s="306" t="s">
        <v>8</v>
      </c>
      <c r="G588" s="320">
        <f>398644+300000</f>
        <v>698644</v>
      </c>
      <c r="H588" s="331">
        <f t="shared" si="139"/>
        <v>698644</v>
      </c>
      <c r="I588" s="331">
        <f t="shared" si="140"/>
        <v>0</v>
      </c>
    </row>
    <row r="589" spans="1:9" hidden="1">
      <c r="A589" s="304"/>
      <c r="B589" s="304" t="s">
        <v>32</v>
      </c>
      <c r="C589" s="304"/>
      <c r="D589" s="304"/>
      <c r="E589" s="304"/>
      <c r="F589" s="306" t="s">
        <v>57</v>
      </c>
      <c r="G589" s="320">
        <f>G593+G590</f>
        <v>11147213</v>
      </c>
      <c r="H589" s="331">
        <f t="shared" si="139"/>
        <v>11147213</v>
      </c>
      <c r="I589" s="331">
        <f t="shared" si="140"/>
        <v>0</v>
      </c>
    </row>
    <row r="590" spans="1:9" ht="13.5" hidden="1" customHeight="1">
      <c r="A590" s="304"/>
      <c r="B590" s="304"/>
      <c r="C590" s="304" t="s">
        <v>305</v>
      </c>
      <c r="D590" s="304"/>
      <c r="E590" s="304"/>
      <c r="F590" s="306" t="s">
        <v>288</v>
      </c>
      <c r="G590" s="320">
        <f t="shared" ref="G590" si="147">G591</f>
        <v>926462</v>
      </c>
      <c r="H590" s="331">
        <f t="shared" si="139"/>
        <v>926462</v>
      </c>
      <c r="I590" s="331">
        <f t="shared" si="140"/>
        <v>0</v>
      </c>
    </row>
    <row r="591" spans="1:9" hidden="1">
      <c r="A591" s="304"/>
      <c r="B591" s="304"/>
      <c r="C591" s="304"/>
      <c r="D591" s="304" t="s">
        <v>113</v>
      </c>
      <c r="E591" s="304"/>
      <c r="F591" s="306" t="s">
        <v>325</v>
      </c>
      <c r="G591" s="320">
        <f>SUM(G592:G592)</f>
        <v>926462</v>
      </c>
      <c r="H591" s="331">
        <f t="shared" si="139"/>
        <v>926462</v>
      </c>
      <c r="I591" s="331">
        <f t="shared" si="140"/>
        <v>0</v>
      </c>
    </row>
    <row r="592" spans="1:9" ht="12.75" hidden="1" customHeight="1">
      <c r="A592" s="304"/>
      <c r="B592" s="304"/>
      <c r="C592" s="304"/>
      <c r="D592" s="304"/>
      <c r="E592" s="304" t="s">
        <v>113</v>
      </c>
      <c r="F592" s="306" t="s">
        <v>8</v>
      </c>
      <c r="G592" s="320">
        <f>900000+17563+4698+4201</f>
        <v>926462</v>
      </c>
      <c r="H592" s="331">
        <f t="shared" si="139"/>
        <v>926462</v>
      </c>
      <c r="I592" s="331">
        <f t="shared" si="140"/>
        <v>0</v>
      </c>
    </row>
    <row r="593" spans="1:9" ht="25.5" hidden="1">
      <c r="A593" s="304"/>
      <c r="B593" s="304"/>
      <c r="C593" s="304">
        <v>381</v>
      </c>
      <c r="D593" s="304"/>
      <c r="E593" s="304"/>
      <c r="F593" s="306" t="s">
        <v>290</v>
      </c>
      <c r="G593" s="320">
        <f>G594+G598+G596+G600+G602</f>
        <v>10220751</v>
      </c>
      <c r="H593" s="331">
        <f t="shared" si="139"/>
        <v>10220751</v>
      </c>
      <c r="I593" s="331">
        <f t="shared" si="140"/>
        <v>0</v>
      </c>
    </row>
    <row r="594" spans="1:9" ht="25.5" hidden="1">
      <c r="A594" s="304"/>
      <c r="B594" s="304"/>
      <c r="C594" s="304"/>
      <c r="D594" s="304" t="s">
        <v>48</v>
      </c>
      <c r="E594" s="304"/>
      <c r="F594" s="306" t="s">
        <v>291</v>
      </c>
      <c r="G594" s="320">
        <f t="shared" ref="G594" si="148">SUM(G595:G595)</f>
        <v>177147</v>
      </c>
      <c r="H594" s="331">
        <f t="shared" si="139"/>
        <v>177147</v>
      </c>
      <c r="I594" s="331">
        <f t="shared" si="140"/>
        <v>0</v>
      </c>
    </row>
    <row r="595" spans="1:9" ht="12.75" hidden="1" customHeight="1">
      <c r="A595" s="304"/>
      <c r="B595" s="304"/>
      <c r="C595" s="304"/>
      <c r="D595" s="304"/>
      <c r="E595" s="304" t="s">
        <v>113</v>
      </c>
      <c r="F595" s="306" t="s">
        <v>8</v>
      </c>
      <c r="G595" s="320">
        <f>176632+515</f>
        <v>177147</v>
      </c>
      <c r="H595" s="331">
        <f t="shared" si="139"/>
        <v>177147</v>
      </c>
      <c r="I595" s="331">
        <f t="shared" si="140"/>
        <v>0</v>
      </c>
    </row>
    <row r="596" spans="1:9" ht="12.75" hidden="1" customHeight="1">
      <c r="A596" s="304"/>
      <c r="B596" s="304"/>
      <c r="C596" s="304"/>
      <c r="D596" s="304" t="s">
        <v>218</v>
      </c>
      <c r="E596" s="304"/>
      <c r="F596" s="306" t="s">
        <v>369</v>
      </c>
      <c r="G596" s="320">
        <f t="shared" ref="G596" si="149">G597</f>
        <v>505200</v>
      </c>
      <c r="H596" s="331">
        <f t="shared" si="139"/>
        <v>505200</v>
      </c>
      <c r="I596" s="331">
        <f t="shared" si="140"/>
        <v>0</v>
      </c>
    </row>
    <row r="597" spans="1:9" ht="12.75" hidden="1" customHeight="1">
      <c r="A597" s="304"/>
      <c r="B597" s="304"/>
      <c r="C597" s="304"/>
      <c r="D597" s="304"/>
      <c r="E597" s="304" t="s">
        <v>113</v>
      </c>
      <c r="F597" s="306" t="s">
        <v>8</v>
      </c>
      <c r="G597" s="320">
        <f>522025+19152+726-63200+26497</f>
        <v>505200</v>
      </c>
      <c r="H597" s="331">
        <f t="shared" si="139"/>
        <v>505200</v>
      </c>
      <c r="I597" s="331">
        <f t="shared" si="140"/>
        <v>0</v>
      </c>
    </row>
    <row r="598" spans="1:9" ht="25.5" hidden="1" customHeight="1">
      <c r="A598" s="304"/>
      <c r="B598" s="304"/>
      <c r="C598" s="304"/>
      <c r="D598" s="304" t="s">
        <v>49</v>
      </c>
      <c r="E598" s="304"/>
      <c r="F598" s="306" t="s">
        <v>292</v>
      </c>
      <c r="G598" s="320">
        <f>SUM(G599:G599)</f>
        <v>9097389</v>
      </c>
      <c r="H598" s="331">
        <f t="shared" si="139"/>
        <v>9097389</v>
      </c>
      <c r="I598" s="331">
        <f t="shared" si="140"/>
        <v>0</v>
      </c>
    </row>
    <row r="599" spans="1:9" ht="12.75" hidden="1" customHeight="1">
      <c r="A599" s="304"/>
      <c r="B599" s="304"/>
      <c r="C599" s="304"/>
      <c r="D599" s="304"/>
      <c r="E599" s="304" t="s">
        <v>113</v>
      </c>
      <c r="F599" s="306" t="s">
        <v>8</v>
      </c>
      <c r="G599" s="320">
        <f>8356417+400000+575-26796+197652+169541</f>
        <v>9097389</v>
      </c>
      <c r="H599" s="331">
        <f t="shared" si="139"/>
        <v>9097389</v>
      </c>
      <c r="I599" s="331">
        <f t="shared" si="140"/>
        <v>0</v>
      </c>
    </row>
    <row r="600" spans="1:9" ht="12.75" hidden="1" customHeight="1">
      <c r="A600" s="304"/>
      <c r="B600" s="304"/>
      <c r="C600" s="304"/>
      <c r="D600" s="304" t="s">
        <v>214</v>
      </c>
      <c r="E600" s="304"/>
      <c r="F600" s="306" t="s">
        <v>45</v>
      </c>
      <c r="G600" s="320">
        <f t="shared" ref="G600" si="150">G601</f>
        <v>0</v>
      </c>
      <c r="H600" s="331">
        <f t="shared" si="139"/>
        <v>0</v>
      </c>
      <c r="I600" s="331">
        <f t="shared" si="140"/>
        <v>0</v>
      </c>
    </row>
    <row r="601" spans="1:9" hidden="1">
      <c r="A601" s="304"/>
      <c r="B601" s="304"/>
      <c r="C601" s="304"/>
      <c r="D601" s="304"/>
      <c r="E601" s="304" t="s">
        <v>113</v>
      </c>
      <c r="F601" s="306" t="s">
        <v>8</v>
      </c>
      <c r="G601" s="320"/>
      <c r="H601" s="331">
        <f t="shared" si="139"/>
        <v>0</v>
      </c>
      <c r="I601" s="331">
        <f t="shared" si="140"/>
        <v>0</v>
      </c>
    </row>
    <row r="602" spans="1:9" ht="25.5" hidden="1">
      <c r="A602" s="304"/>
      <c r="B602" s="304"/>
      <c r="C602" s="304"/>
      <c r="D602" s="304" t="s">
        <v>66</v>
      </c>
      <c r="E602" s="304"/>
      <c r="F602" s="306" t="s">
        <v>89</v>
      </c>
      <c r="G602" s="320">
        <f t="shared" ref="G602" si="151">SUM(G603:G603)</f>
        <v>441015</v>
      </c>
      <c r="H602" s="331">
        <f t="shared" si="139"/>
        <v>441015</v>
      </c>
      <c r="I602" s="331">
        <f t="shared" si="140"/>
        <v>0</v>
      </c>
    </row>
    <row r="603" spans="1:9" hidden="1">
      <c r="A603" s="304"/>
      <c r="B603" s="304"/>
      <c r="C603" s="304"/>
      <c r="D603" s="304"/>
      <c r="E603" s="304" t="s">
        <v>113</v>
      </c>
      <c r="F603" s="306" t="s">
        <v>8</v>
      </c>
      <c r="G603" s="320">
        <f>313250+105765+22000</f>
        <v>441015</v>
      </c>
      <c r="H603" s="331">
        <f t="shared" si="139"/>
        <v>441015</v>
      </c>
      <c r="I603" s="331">
        <f t="shared" si="140"/>
        <v>0</v>
      </c>
    </row>
    <row r="604" spans="1:9" hidden="1">
      <c r="A604" s="304"/>
      <c r="B604" s="304" t="s">
        <v>33</v>
      </c>
      <c r="C604" s="304"/>
      <c r="D604" s="304"/>
      <c r="E604" s="304"/>
      <c r="F604" s="306" t="s">
        <v>58</v>
      </c>
      <c r="G604" s="320">
        <f>G605+G610+G615</f>
        <v>5296198</v>
      </c>
      <c r="H604" s="331">
        <f t="shared" si="139"/>
        <v>5296198</v>
      </c>
      <c r="I604" s="331">
        <f t="shared" si="140"/>
        <v>0</v>
      </c>
    </row>
    <row r="605" spans="1:9" ht="25.5" hidden="1">
      <c r="A605" s="304"/>
      <c r="B605" s="304"/>
      <c r="C605" s="304" t="s">
        <v>376</v>
      </c>
      <c r="D605" s="304"/>
      <c r="E605" s="304"/>
      <c r="F605" s="306" t="s">
        <v>377</v>
      </c>
      <c r="G605" s="320">
        <f t="shared" ref="G605" si="152">G606+G608</f>
        <v>2298978</v>
      </c>
      <c r="H605" s="331">
        <f t="shared" si="139"/>
        <v>2298978</v>
      </c>
      <c r="I605" s="331">
        <f t="shared" si="140"/>
        <v>0</v>
      </c>
    </row>
    <row r="606" spans="1:9" hidden="1">
      <c r="A606" s="304"/>
      <c r="B606" s="304"/>
      <c r="C606" s="304"/>
      <c r="D606" s="304" t="s">
        <v>213</v>
      </c>
      <c r="E606" s="304"/>
      <c r="F606" s="306" t="s">
        <v>212</v>
      </c>
      <c r="G606" s="320">
        <f t="shared" ref="G606" si="153">SUM(G607:G607)</f>
        <v>2080362</v>
      </c>
      <c r="H606" s="331">
        <f t="shared" si="139"/>
        <v>2080362</v>
      </c>
      <c r="I606" s="331">
        <f t="shared" si="140"/>
        <v>0</v>
      </c>
    </row>
    <row r="607" spans="1:9" ht="12.75" hidden="1" customHeight="1">
      <c r="A607" s="304"/>
      <c r="B607" s="304"/>
      <c r="C607" s="304"/>
      <c r="D607" s="304"/>
      <c r="E607" s="304" t="s">
        <v>113</v>
      </c>
      <c r="F607" s="306" t="s">
        <v>8</v>
      </c>
      <c r="G607" s="320">
        <f>2054462+25900</f>
        <v>2080362</v>
      </c>
      <c r="H607" s="331">
        <f t="shared" si="139"/>
        <v>2080362</v>
      </c>
      <c r="I607" s="331">
        <f t="shared" si="140"/>
        <v>0</v>
      </c>
    </row>
    <row r="608" spans="1:9" hidden="1">
      <c r="A608" s="304"/>
      <c r="B608" s="304"/>
      <c r="C608" s="304"/>
      <c r="D608" s="304" t="s">
        <v>202</v>
      </c>
      <c r="E608" s="304"/>
      <c r="F608" s="306" t="s">
        <v>207</v>
      </c>
      <c r="G608" s="320">
        <f t="shared" ref="G608" si="154">SUM(G609:G609)</f>
        <v>218616</v>
      </c>
      <c r="H608" s="331">
        <f t="shared" si="139"/>
        <v>218616</v>
      </c>
      <c r="I608" s="331">
        <f t="shared" si="140"/>
        <v>0</v>
      </c>
    </row>
    <row r="609" spans="1:9" ht="12.75" hidden="1" customHeight="1">
      <c r="A609" s="304"/>
      <c r="B609" s="304"/>
      <c r="C609" s="304"/>
      <c r="D609" s="304"/>
      <c r="E609" s="304" t="s">
        <v>113</v>
      </c>
      <c r="F609" s="306" t="s">
        <v>8</v>
      </c>
      <c r="G609" s="320">
        <v>218616</v>
      </c>
      <c r="H609" s="331">
        <f t="shared" si="139"/>
        <v>218616</v>
      </c>
      <c r="I609" s="331">
        <f t="shared" si="140"/>
        <v>0</v>
      </c>
    </row>
    <row r="610" spans="1:9" ht="15" hidden="1" customHeight="1">
      <c r="A610" s="304"/>
      <c r="B610" s="304"/>
      <c r="C610" s="304" t="s">
        <v>378</v>
      </c>
      <c r="D610" s="304"/>
      <c r="E610" s="304"/>
      <c r="F610" s="306" t="s">
        <v>379</v>
      </c>
      <c r="G610" s="320">
        <f t="shared" ref="G610" si="155">G611+G613</f>
        <v>1752220</v>
      </c>
      <c r="H610" s="331">
        <f t="shared" si="139"/>
        <v>1752220</v>
      </c>
      <c r="I610" s="331">
        <f t="shared" si="140"/>
        <v>0</v>
      </c>
    </row>
    <row r="611" spans="1:9" ht="25.5" hidden="1">
      <c r="A611" s="304"/>
      <c r="B611" s="304"/>
      <c r="C611" s="304"/>
      <c r="D611" s="304" t="s">
        <v>48</v>
      </c>
      <c r="E611" s="304"/>
      <c r="F611" s="306" t="s">
        <v>380</v>
      </c>
      <c r="G611" s="320">
        <f t="shared" ref="G611" si="156">SUM(G612:G612)</f>
        <v>1685699</v>
      </c>
      <c r="H611" s="331">
        <f t="shared" si="139"/>
        <v>1685699</v>
      </c>
      <c r="I611" s="331">
        <f t="shared" si="140"/>
        <v>0</v>
      </c>
    </row>
    <row r="612" spans="1:9" ht="12.75" hidden="1" customHeight="1">
      <c r="A612" s="304"/>
      <c r="B612" s="304"/>
      <c r="C612" s="304"/>
      <c r="D612" s="304"/>
      <c r="E612" s="304" t="s">
        <v>113</v>
      </c>
      <c r="F612" s="306" t="s">
        <v>8</v>
      </c>
      <c r="G612" s="320">
        <f>1453403+614553+1790+171187-540050-49140+33956</f>
        <v>1685699</v>
      </c>
      <c r="H612" s="331">
        <f t="shared" si="139"/>
        <v>1685699</v>
      </c>
      <c r="I612" s="331">
        <f t="shared" si="140"/>
        <v>0</v>
      </c>
    </row>
    <row r="613" spans="1:9" ht="12.75" hidden="1" customHeight="1">
      <c r="A613" s="304"/>
      <c r="B613" s="304"/>
      <c r="C613" s="304"/>
      <c r="D613" s="304" t="s">
        <v>202</v>
      </c>
      <c r="E613" s="304"/>
      <c r="F613" s="306" t="s">
        <v>45</v>
      </c>
      <c r="G613" s="320">
        <f t="shared" ref="G613" si="157">G614</f>
        <v>66521</v>
      </c>
      <c r="H613" s="331">
        <f t="shared" si="139"/>
        <v>66521</v>
      </c>
      <c r="I613" s="331">
        <f t="shared" si="140"/>
        <v>0</v>
      </c>
    </row>
    <row r="614" spans="1:9" ht="12.75" hidden="1" customHeight="1">
      <c r="A614" s="304"/>
      <c r="B614" s="304"/>
      <c r="C614" s="304"/>
      <c r="D614" s="304"/>
      <c r="E614" s="304" t="s">
        <v>113</v>
      </c>
      <c r="F614" s="306" t="s">
        <v>8</v>
      </c>
      <c r="G614" s="320">
        <v>66521</v>
      </c>
      <c r="H614" s="331">
        <f t="shared" si="139"/>
        <v>66521</v>
      </c>
      <c r="I614" s="331">
        <f t="shared" si="140"/>
        <v>0</v>
      </c>
    </row>
    <row r="615" spans="1:9" ht="12.75" hidden="1" customHeight="1">
      <c r="A615" s="304"/>
      <c r="B615" s="304"/>
      <c r="C615" s="304" t="s">
        <v>582</v>
      </c>
      <c r="D615" s="304"/>
      <c r="E615" s="304"/>
      <c r="F615" s="306" t="s">
        <v>583</v>
      </c>
      <c r="G615" s="320">
        <f>G616</f>
        <v>1245000</v>
      </c>
      <c r="H615" s="331">
        <f t="shared" si="139"/>
        <v>1245000</v>
      </c>
      <c r="I615" s="331">
        <f t="shared" si="140"/>
        <v>0</v>
      </c>
    </row>
    <row r="616" spans="1:9" ht="12.75" hidden="1" customHeight="1">
      <c r="A616" s="304"/>
      <c r="B616" s="304"/>
      <c r="C616" s="304"/>
      <c r="D616" s="304" t="s">
        <v>214</v>
      </c>
      <c r="E616" s="304"/>
      <c r="F616" s="306" t="s">
        <v>332</v>
      </c>
      <c r="G616" s="320">
        <f>G617</f>
        <v>1245000</v>
      </c>
      <c r="H616" s="331">
        <f t="shared" si="139"/>
        <v>1245000</v>
      </c>
      <c r="I616" s="331">
        <f t="shared" si="140"/>
        <v>0</v>
      </c>
    </row>
    <row r="617" spans="1:9" ht="12.75" hidden="1" customHeight="1">
      <c r="A617" s="304"/>
      <c r="B617" s="304"/>
      <c r="C617" s="304"/>
      <c r="D617" s="304"/>
      <c r="E617" s="304" t="s">
        <v>113</v>
      </c>
      <c r="F617" s="306" t="s">
        <v>8</v>
      </c>
      <c r="G617" s="320">
        <v>1245000</v>
      </c>
      <c r="H617" s="331">
        <f t="shared" si="139"/>
        <v>1245000</v>
      </c>
      <c r="I617" s="331">
        <f t="shared" si="140"/>
        <v>0</v>
      </c>
    </row>
    <row r="618" spans="1:9" hidden="1">
      <c r="A618" s="304"/>
      <c r="B618" s="304" t="s">
        <v>34</v>
      </c>
      <c r="C618" s="304"/>
      <c r="D618" s="304"/>
      <c r="E618" s="304"/>
      <c r="F618" s="306" t="s">
        <v>59</v>
      </c>
      <c r="G618" s="320">
        <f t="shared" ref="G618" si="158">G619</f>
        <v>464585</v>
      </c>
      <c r="H618" s="331">
        <f t="shared" si="139"/>
        <v>464585</v>
      </c>
      <c r="I618" s="331">
        <f t="shared" si="140"/>
        <v>0</v>
      </c>
    </row>
    <row r="619" spans="1:9" ht="25.5" hidden="1">
      <c r="A619" s="304"/>
      <c r="B619" s="304"/>
      <c r="C619" s="304" t="s">
        <v>487</v>
      </c>
      <c r="D619" s="304"/>
      <c r="E619" s="304"/>
      <c r="F619" s="306" t="s">
        <v>488</v>
      </c>
      <c r="G619" s="320">
        <f>G624+G620+G622+G626+G628</f>
        <v>464585</v>
      </c>
      <c r="H619" s="331">
        <f t="shared" si="139"/>
        <v>464585</v>
      </c>
      <c r="I619" s="331">
        <f t="shared" si="140"/>
        <v>0</v>
      </c>
    </row>
    <row r="620" spans="1:9" ht="25.5" hidden="1">
      <c r="A620" s="304"/>
      <c r="B620" s="304"/>
      <c r="C620" s="304"/>
      <c r="D620" s="304" t="s">
        <v>48</v>
      </c>
      <c r="E620" s="304"/>
      <c r="F620" s="306" t="s">
        <v>489</v>
      </c>
      <c r="G620" s="320">
        <f t="shared" ref="G620" si="159">SUM(G621:G621)</f>
        <v>229573</v>
      </c>
      <c r="H620" s="331">
        <f t="shared" si="139"/>
        <v>229573</v>
      </c>
      <c r="I620" s="331">
        <f t="shared" si="140"/>
        <v>0</v>
      </c>
    </row>
    <row r="621" spans="1:9" ht="12.75" hidden="1" customHeight="1">
      <c r="A621" s="304"/>
      <c r="B621" s="304"/>
      <c r="C621" s="304"/>
      <c r="D621" s="304"/>
      <c r="E621" s="304" t="s">
        <v>113</v>
      </c>
      <c r="F621" s="306" t="s">
        <v>8</v>
      </c>
      <c r="G621" s="320">
        <f>261384+4920+4905-41636</f>
        <v>229573</v>
      </c>
      <c r="H621" s="331">
        <f t="shared" ref="H621:H684" si="160">G621</f>
        <v>229573</v>
      </c>
      <c r="I621" s="331">
        <f t="shared" si="140"/>
        <v>0</v>
      </c>
    </row>
    <row r="622" spans="1:9" ht="12.75" hidden="1" customHeight="1">
      <c r="A622" s="304"/>
      <c r="B622" s="304"/>
      <c r="C622" s="304"/>
      <c r="D622" s="304" t="s">
        <v>49</v>
      </c>
      <c r="E622" s="304"/>
      <c r="F622" s="306" t="s">
        <v>453</v>
      </c>
      <c r="G622" s="320">
        <f t="shared" ref="G622" si="161">SUM(G623:G623)</f>
        <v>234512</v>
      </c>
      <c r="H622" s="331">
        <f t="shared" si="160"/>
        <v>234512</v>
      </c>
      <c r="I622" s="331">
        <f t="shared" ref="I622:I685" si="162">G622-H622</f>
        <v>0</v>
      </c>
    </row>
    <row r="623" spans="1:9" ht="12.75" hidden="1" customHeight="1">
      <c r="A623" s="304"/>
      <c r="B623" s="304"/>
      <c r="C623" s="304"/>
      <c r="D623" s="304"/>
      <c r="E623" s="304" t="s">
        <v>113</v>
      </c>
      <c r="F623" s="306" t="s">
        <v>8</v>
      </c>
      <c r="G623" s="320">
        <v>234512</v>
      </c>
      <c r="H623" s="331">
        <f t="shared" si="160"/>
        <v>234512</v>
      </c>
      <c r="I623" s="331">
        <f t="shared" si="162"/>
        <v>0</v>
      </c>
    </row>
    <row r="624" spans="1:9" hidden="1">
      <c r="A624" s="304"/>
      <c r="B624" s="304"/>
      <c r="C624" s="304"/>
      <c r="D624" s="304" t="s">
        <v>185</v>
      </c>
      <c r="E624" s="304"/>
      <c r="F624" s="306" t="s">
        <v>45</v>
      </c>
      <c r="G624" s="320">
        <f t="shared" ref="G624" si="163">G625</f>
        <v>0</v>
      </c>
      <c r="H624" s="331">
        <f t="shared" si="160"/>
        <v>0</v>
      </c>
      <c r="I624" s="331">
        <f t="shared" si="162"/>
        <v>0</v>
      </c>
    </row>
    <row r="625" spans="1:9" hidden="1">
      <c r="A625" s="304"/>
      <c r="B625" s="304"/>
      <c r="C625" s="304"/>
      <c r="D625" s="304"/>
      <c r="E625" s="304" t="s">
        <v>113</v>
      </c>
      <c r="F625" s="306" t="s">
        <v>8</v>
      </c>
      <c r="G625" s="320"/>
      <c r="H625" s="331">
        <f t="shared" si="160"/>
        <v>0</v>
      </c>
      <c r="I625" s="331">
        <f t="shared" si="162"/>
        <v>0</v>
      </c>
    </row>
    <row r="626" spans="1:9" ht="25.5" hidden="1">
      <c r="A626" s="304"/>
      <c r="B626" s="304"/>
      <c r="C626" s="304"/>
      <c r="D626" s="304" t="s">
        <v>66</v>
      </c>
      <c r="E626" s="304"/>
      <c r="F626" s="306" t="s">
        <v>89</v>
      </c>
      <c r="G626" s="320">
        <f t="shared" ref="G626" si="164">G627</f>
        <v>0</v>
      </c>
      <c r="H626" s="331">
        <f t="shared" si="160"/>
        <v>0</v>
      </c>
      <c r="I626" s="331">
        <f t="shared" si="162"/>
        <v>0</v>
      </c>
    </row>
    <row r="627" spans="1:9" hidden="1">
      <c r="A627" s="304"/>
      <c r="B627" s="304"/>
      <c r="C627" s="304"/>
      <c r="D627" s="304"/>
      <c r="E627" s="304" t="s">
        <v>113</v>
      </c>
      <c r="F627" s="306" t="s">
        <v>8</v>
      </c>
      <c r="G627" s="320"/>
      <c r="H627" s="331">
        <f t="shared" si="160"/>
        <v>0</v>
      </c>
      <c r="I627" s="331">
        <f t="shared" si="162"/>
        <v>0</v>
      </c>
    </row>
    <row r="628" spans="1:9" ht="25.5" hidden="1">
      <c r="A628" s="304"/>
      <c r="B628" s="304"/>
      <c r="C628" s="304"/>
      <c r="D628" s="304" t="s">
        <v>499</v>
      </c>
      <c r="E628" s="304"/>
      <c r="F628" s="306" t="s">
        <v>500</v>
      </c>
      <c r="G628" s="320">
        <f t="shared" ref="G628" si="165">SUM(G629:G629)</f>
        <v>500</v>
      </c>
      <c r="H628" s="331">
        <f t="shared" si="160"/>
        <v>500</v>
      </c>
      <c r="I628" s="331">
        <f t="shared" si="162"/>
        <v>0</v>
      </c>
    </row>
    <row r="629" spans="1:9" hidden="1">
      <c r="A629" s="304"/>
      <c r="B629" s="304"/>
      <c r="C629" s="304"/>
      <c r="D629" s="304"/>
      <c r="E629" s="304" t="s">
        <v>113</v>
      </c>
      <c r="F629" s="306" t="s">
        <v>8</v>
      </c>
      <c r="G629" s="320">
        <v>500</v>
      </c>
      <c r="H629" s="331">
        <f t="shared" si="160"/>
        <v>500</v>
      </c>
      <c r="I629" s="331">
        <f t="shared" si="162"/>
        <v>0</v>
      </c>
    </row>
    <row r="630" spans="1:9" ht="25.5" hidden="1">
      <c r="A630" s="304"/>
      <c r="B630" s="304" t="s">
        <v>36</v>
      </c>
      <c r="C630" s="304"/>
      <c r="D630" s="304"/>
      <c r="E630" s="304"/>
      <c r="F630" s="306" t="s">
        <v>584</v>
      </c>
      <c r="G630" s="320">
        <f>G631+G640</f>
        <v>1076776</v>
      </c>
      <c r="H630" s="331">
        <f t="shared" si="160"/>
        <v>1076776</v>
      </c>
      <c r="I630" s="331">
        <f t="shared" si="162"/>
        <v>0</v>
      </c>
    </row>
    <row r="631" spans="1:9" ht="25.5" hidden="1">
      <c r="A631" s="304"/>
      <c r="B631" s="304"/>
      <c r="C631" s="304" t="s">
        <v>585</v>
      </c>
      <c r="D631" s="304"/>
      <c r="E631" s="304"/>
      <c r="F631" s="306" t="s">
        <v>586</v>
      </c>
      <c r="G631" s="320">
        <f>G632+G634+G636+G638</f>
        <v>516126</v>
      </c>
      <c r="H631" s="331">
        <f t="shared" si="160"/>
        <v>516126</v>
      </c>
      <c r="I631" s="331">
        <f t="shared" si="162"/>
        <v>0</v>
      </c>
    </row>
    <row r="632" spans="1:9" ht="25.5" hidden="1">
      <c r="A632" s="304"/>
      <c r="B632" s="304"/>
      <c r="C632" s="304"/>
      <c r="D632" s="304" t="s">
        <v>48</v>
      </c>
      <c r="E632" s="304"/>
      <c r="F632" s="306" t="s">
        <v>587</v>
      </c>
      <c r="G632" s="320">
        <f>G633</f>
        <v>162745</v>
      </c>
      <c r="H632" s="331">
        <f t="shared" si="160"/>
        <v>162745</v>
      </c>
      <c r="I632" s="331">
        <f t="shared" si="162"/>
        <v>0</v>
      </c>
    </row>
    <row r="633" spans="1:9" ht="12.75" hidden="1" customHeight="1">
      <c r="A633" s="304"/>
      <c r="B633" s="304"/>
      <c r="C633" s="304"/>
      <c r="D633" s="304"/>
      <c r="E633" s="304" t="s">
        <v>113</v>
      </c>
      <c r="F633" s="306" t="s">
        <v>8</v>
      </c>
      <c r="G633" s="320">
        <f>172980+46165+112530-168930</f>
        <v>162745</v>
      </c>
      <c r="H633" s="331">
        <f t="shared" si="160"/>
        <v>162745</v>
      </c>
      <c r="I633" s="331">
        <f t="shared" si="162"/>
        <v>0</v>
      </c>
    </row>
    <row r="634" spans="1:9" hidden="1">
      <c r="A634" s="304"/>
      <c r="B634" s="304"/>
      <c r="C634" s="304"/>
      <c r="D634" s="304" t="s">
        <v>49</v>
      </c>
      <c r="E634" s="304"/>
      <c r="F634" s="306" t="s">
        <v>196</v>
      </c>
      <c r="G634" s="320">
        <f>G635</f>
        <v>318754</v>
      </c>
      <c r="H634" s="331">
        <f t="shared" si="160"/>
        <v>318754</v>
      </c>
      <c r="I634" s="331">
        <f t="shared" si="162"/>
        <v>0</v>
      </c>
    </row>
    <row r="635" spans="1:9" hidden="1">
      <c r="A635" s="304"/>
      <c r="B635" s="304"/>
      <c r="C635" s="304"/>
      <c r="D635" s="304"/>
      <c r="E635" s="304" t="s">
        <v>113</v>
      </c>
      <c r="F635" s="306" t="s">
        <v>8</v>
      </c>
      <c r="G635" s="320">
        <f>296680+20085+1989</f>
        <v>318754</v>
      </c>
      <c r="H635" s="331">
        <f t="shared" si="160"/>
        <v>318754</v>
      </c>
      <c r="I635" s="331">
        <f t="shared" si="162"/>
        <v>0</v>
      </c>
    </row>
    <row r="636" spans="1:9" hidden="1">
      <c r="A636" s="304"/>
      <c r="B636" s="304"/>
      <c r="C636" s="304"/>
      <c r="D636" s="304" t="s">
        <v>112</v>
      </c>
      <c r="E636" s="304"/>
      <c r="F636" s="306" t="s">
        <v>45</v>
      </c>
      <c r="G636" s="320">
        <f>G637</f>
        <v>3231</v>
      </c>
      <c r="H636" s="331">
        <f t="shared" si="160"/>
        <v>3231</v>
      </c>
      <c r="I636" s="331">
        <f t="shared" si="162"/>
        <v>0</v>
      </c>
    </row>
    <row r="637" spans="1:9" hidden="1">
      <c r="A637" s="304"/>
      <c r="B637" s="304"/>
      <c r="C637" s="304"/>
      <c r="D637" s="304"/>
      <c r="E637" s="304" t="s">
        <v>113</v>
      </c>
      <c r="F637" s="306" t="s">
        <v>8</v>
      </c>
      <c r="G637" s="320">
        <v>3231</v>
      </c>
      <c r="H637" s="331">
        <f t="shared" si="160"/>
        <v>3231</v>
      </c>
      <c r="I637" s="331">
        <f t="shared" si="162"/>
        <v>0</v>
      </c>
    </row>
    <row r="638" spans="1:9" ht="25.5" hidden="1">
      <c r="A638" s="304"/>
      <c r="B638" s="304"/>
      <c r="C638" s="304"/>
      <c r="D638" s="304" t="s">
        <v>66</v>
      </c>
      <c r="E638" s="304"/>
      <c r="F638" s="306" t="s">
        <v>89</v>
      </c>
      <c r="G638" s="320">
        <f>G639</f>
        <v>31396</v>
      </c>
      <c r="H638" s="331">
        <f t="shared" si="160"/>
        <v>31396</v>
      </c>
      <c r="I638" s="331">
        <f t="shared" si="162"/>
        <v>0</v>
      </c>
    </row>
    <row r="639" spans="1:9" hidden="1">
      <c r="A639" s="304"/>
      <c r="B639" s="304"/>
      <c r="C639" s="304"/>
      <c r="D639" s="304"/>
      <c r="E639" s="304" t="s">
        <v>113</v>
      </c>
      <c r="F639" s="306" t="s">
        <v>8</v>
      </c>
      <c r="G639" s="320">
        <f>33385-1989</f>
        <v>31396</v>
      </c>
      <c r="H639" s="331">
        <f t="shared" si="160"/>
        <v>31396</v>
      </c>
      <c r="I639" s="331">
        <f t="shared" si="162"/>
        <v>0</v>
      </c>
    </row>
    <row r="640" spans="1:9" ht="25.5" hidden="1">
      <c r="A640" s="304"/>
      <c r="B640" s="304"/>
      <c r="C640" s="304" t="s">
        <v>582</v>
      </c>
      <c r="D640" s="304"/>
      <c r="E640" s="304"/>
      <c r="F640" s="306" t="s">
        <v>583</v>
      </c>
      <c r="G640" s="320">
        <f>G641+G643+G645</f>
        <v>560650</v>
      </c>
      <c r="H640" s="331">
        <f t="shared" si="160"/>
        <v>560650</v>
      </c>
      <c r="I640" s="331">
        <f t="shared" si="162"/>
        <v>0</v>
      </c>
    </row>
    <row r="641" spans="1:9" ht="25.5" hidden="1">
      <c r="A641" s="304"/>
      <c r="B641" s="304"/>
      <c r="C641" s="304"/>
      <c r="D641" s="304" t="s">
        <v>48</v>
      </c>
      <c r="E641" s="304"/>
      <c r="F641" s="306" t="s">
        <v>588</v>
      </c>
      <c r="G641" s="320">
        <f>G642</f>
        <v>558247</v>
      </c>
      <c r="H641" s="331">
        <f t="shared" si="160"/>
        <v>558247</v>
      </c>
      <c r="I641" s="331">
        <f t="shared" si="162"/>
        <v>0</v>
      </c>
    </row>
    <row r="642" spans="1:9" hidden="1">
      <c r="A642" s="304"/>
      <c r="B642" s="304"/>
      <c r="C642" s="304"/>
      <c r="D642" s="304"/>
      <c r="E642" s="304" t="s">
        <v>113</v>
      </c>
      <c r="F642" s="306" t="s">
        <v>8</v>
      </c>
      <c r="G642" s="329">
        <f>358528+148947+50772</f>
        <v>558247</v>
      </c>
      <c r="H642" s="331">
        <f t="shared" si="160"/>
        <v>558247</v>
      </c>
      <c r="I642" s="331">
        <f t="shared" si="162"/>
        <v>0</v>
      </c>
    </row>
    <row r="643" spans="1:9" hidden="1">
      <c r="A643" s="304"/>
      <c r="B643" s="304"/>
      <c r="C643" s="304"/>
      <c r="D643" s="304" t="s">
        <v>215</v>
      </c>
      <c r="E643" s="304"/>
      <c r="F643" s="306" t="s">
        <v>45</v>
      </c>
      <c r="G643" s="320"/>
      <c r="H643" s="331">
        <f t="shared" si="160"/>
        <v>0</v>
      </c>
      <c r="I643" s="331">
        <f t="shared" si="162"/>
        <v>0</v>
      </c>
    </row>
    <row r="644" spans="1:9" hidden="1">
      <c r="A644" s="304"/>
      <c r="B644" s="304"/>
      <c r="C644" s="304"/>
      <c r="D644" s="304"/>
      <c r="E644" s="304" t="s">
        <v>113</v>
      </c>
      <c r="F644" s="306" t="s">
        <v>8</v>
      </c>
      <c r="G644" s="320"/>
      <c r="H644" s="331">
        <f t="shared" si="160"/>
        <v>0</v>
      </c>
      <c r="I644" s="331">
        <f t="shared" si="162"/>
        <v>0</v>
      </c>
    </row>
    <row r="645" spans="1:9" ht="25.5" hidden="1">
      <c r="A645" s="304"/>
      <c r="B645" s="304"/>
      <c r="C645" s="304"/>
      <c r="D645" s="304" t="s">
        <v>66</v>
      </c>
      <c r="E645" s="304"/>
      <c r="F645" s="306" t="s">
        <v>89</v>
      </c>
      <c r="G645" s="320">
        <f>G646</f>
        <v>2403</v>
      </c>
      <c r="H645" s="331">
        <f t="shared" si="160"/>
        <v>2403</v>
      </c>
      <c r="I645" s="331">
        <f t="shared" si="162"/>
        <v>0</v>
      </c>
    </row>
    <row r="646" spans="1:9" hidden="1">
      <c r="A646" s="304"/>
      <c r="B646" s="304"/>
      <c r="C646" s="304"/>
      <c r="D646" s="304"/>
      <c r="E646" s="304" t="s">
        <v>113</v>
      </c>
      <c r="F646" s="306" t="s">
        <v>8</v>
      </c>
      <c r="G646" s="320">
        <f>3755+2403-3755</f>
        <v>2403</v>
      </c>
      <c r="H646" s="331">
        <f t="shared" si="160"/>
        <v>2403</v>
      </c>
      <c r="I646" s="331">
        <f t="shared" si="162"/>
        <v>0</v>
      </c>
    </row>
    <row r="647" spans="1:9" hidden="1">
      <c r="A647" s="304" t="s">
        <v>60</v>
      </c>
      <c r="B647" s="304"/>
      <c r="C647" s="304"/>
      <c r="D647" s="304"/>
      <c r="E647" s="304"/>
      <c r="F647" s="306" t="s">
        <v>61</v>
      </c>
      <c r="G647" s="330">
        <f>G653+G648</f>
        <v>844392</v>
      </c>
      <c r="H647" s="331">
        <f t="shared" si="160"/>
        <v>844392</v>
      </c>
      <c r="I647" s="331">
        <f t="shared" si="162"/>
        <v>0</v>
      </c>
    </row>
    <row r="648" spans="1:9" hidden="1">
      <c r="A648" s="304"/>
      <c r="B648" s="308" t="s">
        <v>31</v>
      </c>
      <c r="C648" s="308"/>
      <c r="D648" s="308"/>
      <c r="E648" s="308"/>
      <c r="F648" s="309" t="s">
        <v>125</v>
      </c>
      <c r="G648" s="330">
        <f t="shared" ref="G648:G649" si="166">G649</f>
        <v>511034</v>
      </c>
      <c r="H648" s="331">
        <f t="shared" si="160"/>
        <v>511034</v>
      </c>
      <c r="I648" s="331">
        <f t="shared" si="162"/>
        <v>0</v>
      </c>
    </row>
    <row r="649" spans="1:9" ht="25.5" hidden="1">
      <c r="A649" s="304"/>
      <c r="B649" s="308"/>
      <c r="C649" s="304" t="s">
        <v>467</v>
      </c>
      <c r="D649" s="304"/>
      <c r="E649" s="304"/>
      <c r="F649" s="306" t="s">
        <v>468</v>
      </c>
      <c r="G649" s="330">
        <f t="shared" si="166"/>
        <v>511034</v>
      </c>
      <c r="H649" s="331">
        <f t="shared" si="160"/>
        <v>511034</v>
      </c>
      <c r="I649" s="331">
        <f t="shared" si="162"/>
        <v>0</v>
      </c>
    </row>
    <row r="650" spans="1:9" hidden="1">
      <c r="A650" s="304"/>
      <c r="B650" s="308"/>
      <c r="C650" s="304"/>
      <c r="D650" s="304" t="s">
        <v>190</v>
      </c>
      <c r="E650" s="304"/>
      <c r="F650" s="306" t="s">
        <v>296</v>
      </c>
      <c r="G650" s="330">
        <f>SUM(G651:G652)</f>
        <v>511034</v>
      </c>
      <c r="H650" s="331">
        <f t="shared" si="160"/>
        <v>511034</v>
      </c>
      <c r="I650" s="331">
        <f t="shared" si="162"/>
        <v>0</v>
      </c>
    </row>
    <row r="651" spans="1:9" hidden="1">
      <c r="A651" s="304"/>
      <c r="B651" s="308"/>
      <c r="C651" s="304"/>
      <c r="D651" s="304"/>
      <c r="E651" s="323" t="s">
        <v>214</v>
      </c>
      <c r="F651" s="306" t="s">
        <v>455</v>
      </c>
      <c r="G651" s="330">
        <v>318000</v>
      </c>
      <c r="H651" s="331">
        <f t="shared" si="160"/>
        <v>318000</v>
      </c>
      <c r="I651" s="331">
        <f t="shared" si="162"/>
        <v>0</v>
      </c>
    </row>
    <row r="652" spans="1:9" ht="12.75" hidden="1" customHeight="1">
      <c r="A652" s="304"/>
      <c r="B652" s="308"/>
      <c r="C652" s="308"/>
      <c r="D652" s="308"/>
      <c r="E652" s="308" t="s">
        <v>113</v>
      </c>
      <c r="F652" s="306" t="s">
        <v>8</v>
      </c>
      <c r="G652" s="330">
        <f>200000+1113034+150000-1270000</f>
        <v>193034</v>
      </c>
      <c r="H652" s="331">
        <f t="shared" si="160"/>
        <v>193034</v>
      </c>
      <c r="I652" s="331">
        <f t="shared" si="162"/>
        <v>0</v>
      </c>
    </row>
    <row r="653" spans="1:9" ht="25.5" hidden="1">
      <c r="A653" s="304"/>
      <c r="B653" s="304" t="s">
        <v>36</v>
      </c>
      <c r="C653" s="304"/>
      <c r="D653" s="304"/>
      <c r="E653" s="304"/>
      <c r="F653" s="306" t="s">
        <v>62</v>
      </c>
      <c r="G653" s="330">
        <f t="shared" ref="G653" si="167">G654</f>
        <v>333358</v>
      </c>
      <c r="H653" s="331">
        <f t="shared" si="160"/>
        <v>333358</v>
      </c>
      <c r="I653" s="331">
        <f t="shared" si="162"/>
        <v>0</v>
      </c>
    </row>
    <row r="654" spans="1:9" ht="25.5" hidden="1">
      <c r="A654" s="304"/>
      <c r="B654" s="304"/>
      <c r="C654" s="304" t="s">
        <v>467</v>
      </c>
      <c r="D654" s="304"/>
      <c r="E654" s="304"/>
      <c r="F654" s="306" t="s">
        <v>468</v>
      </c>
      <c r="G654" s="330">
        <f>G655</f>
        <v>333358</v>
      </c>
      <c r="H654" s="331">
        <f t="shared" si="160"/>
        <v>333358</v>
      </c>
      <c r="I654" s="331">
        <f t="shared" si="162"/>
        <v>0</v>
      </c>
    </row>
    <row r="655" spans="1:9" hidden="1">
      <c r="A655" s="304"/>
      <c r="B655" s="304"/>
      <c r="C655" s="304"/>
      <c r="D655" s="308" t="s">
        <v>302</v>
      </c>
      <c r="E655" s="308"/>
      <c r="F655" s="306" t="s">
        <v>301</v>
      </c>
      <c r="G655" s="330">
        <f>SUM(G656:G656)</f>
        <v>333358</v>
      </c>
      <c r="H655" s="331">
        <f t="shared" si="160"/>
        <v>333358</v>
      </c>
      <c r="I655" s="331">
        <f t="shared" si="162"/>
        <v>0</v>
      </c>
    </row>
    <row r="656" spans="1:9" ht="12.75" hidden="1" customHeight="1">
      <c r="A656" s="304"/>
      <c r="B656" s="304"/>
      <c r="C656" s="304"/>
      <c r="D656" s="308"/>
      <c r="E656" s="308" t="s">
        <v>113</v>
      </c>
      <c r="F656" s="306" t="s">
        <v>8</v>
      </c>
      <c r="G656" s="330">
        <f>320197+13161</f>
        <v>333358</v>
      </c>
      <c r="H656" s="331">
        <f t="shared" si="160"/>
        <v>333358</v>
      </c>
      <c r="I656" s="331">
        <f t="shared" si="162"/>
        <v>0</v>
      </c>
    </row>
    <row r="657" spans="1:9" ht="38.25" hidden="1">
      <c r="A657" s="304" t="s">
        <v>37</v>
      </c>
      <c r="B657" s="304"/>
      <c r="C657" s="304"/>
      <c r="D657" s="304"/>
      <c r="E657" s="304"/>
      <c r="F657" s="306" t="s">
        <v>63</v>
      </c>
      <c r="G657" s="320">
        <f>G658+G722+G735+G714+G746+G710+G718</f>
        <v>13105132</v>
      </c>
      <c r="H657" s="331">
        <f t="shared" si="160"/>
        <v>13105132</v>
      </c>
      <c r="I657" s="331">
        <f t="shared" si="162"/>
        <v>0</v>
      </c>
    </row>
    <row r="658" spans="1:9" hidden="1">
      <c r="A658" s="304"/>
      <c r="B658" s="304" t="s">
        <v>31</v>
      </c>
      <c r="C658" s="304"/>
      <c r="D658" s="304"/>
      <c r="E658" s="304"/>
      <c r="F658" s="306" t="s">
        <v>64</v>
      </c>
      <c r="G658" s="320">
        <f t="shared" ref="G658" si="168">G659</f>
        <v>7360062</v>
      </c>
      <c r="H658" s="331">
        <f t="shared" si="160"/>
        <v>7360062</v>
      </c>
      <c r="I658" s="331">
        <f t="shared" si="162"/>
        <v>0</v>
      </c>
    </row>
    <row r="659" spans="1:9" ht="25.5" hidden="1">
      <c r="A659" s="304"/>
      <c r="B659" s="304"/>
      <c r="C659" s="304">
        <v>349</v>
      </c>
      <c r="D659" s="304"/>
      <c r="E659" s="304"/>
      <c r="F659" s="306" t="s">
        <v>251</v>
      </c>
      <c r="G659" s="320">
        <f>G660+G662+G664+G668+G670+G672+G674+G676+G680+G682+G684+G688+G690+G696+G698+G702+G704+G706+G666+G694+G686+G708+G678+G700+G692</f>
        <v>7360062</v>
      </c>
      <c r="H659" s="331">
        <f t="shared" si="160"/>
        <v>7360062</v>
      </c>
      <c r="I659" s="331">
        <f t="shared" si="162"/>
        <v>0</v>
      </c>
    </row>
    <row r="660" spans="1:9" ht="25.5" hidden="1">
      <c r="A660" s="304"/>
      <c r="B660" s="304"/>
      <c r="C660" s="304"/>
      <c r="D660" s="304" t="s">
        <v>48</v>
      </c>
      <c r="E660" s="304"/>
      <c r="F660" s="306" t="s">
        <v>241</v>
      </c>
      <c r="G660" s="320">
        <f t="shared" ref="G660" si="169">SUM(G661:G661)</f>
        <v>401539</v>
      </c>
      <c r="H660" s="331">
        <f t="shared" si="160"/>
        <v>401539</v>
      </c>
      <c r="I660" s="331">
        <f t="shared" si="162"/>
        <v>0</v>
      </c>
    </row>
    <row r="661" spans="1:9" ht="12.75" hidden="1" customHeight="1">
      <c r="A661" s="304"/>
      <c r="B661" s="304"/>
      <c r="C661" s="304"/>
      <c r="D661" s="304"/>
      <c r="E661" s="304" t="s">
        <v>113</v>
      </c>
      <c r="F661" s="306" t="s">
        <v>8</v>
      </c>
      <c r="G661" s="320">
        <f>307495+515+21464+72065</f>
        <v>401539</v>
      </c>
      <c r="H661" s="331">
        <f t="shared" si="160"/>
        <v>401539</v>
      </c>
      <c r="I661" s="331">
        <f t="shared" si="162"/>
        <v>0</v>
      </c>
    </row>
    <row r="662" spans="1:9" hidden="1">
      <c r="A662" s="304"/>
      <c r="B662" s="304"/>
      <c r="C662" s="304"/>
      <c r="D662" s="304" t="s">
        <v>218</v>
      </c>
      <c r="E662" s="304"/>
      <c r="F662" s="306" t="s">
        <v>437</v>
      </c>
      <c r="G662" s="320">
        <f t="shared" ref="G662" si="170">G663</f>
        <v>20480</v>
      </c>
      <c r="H662" s="331">
        <f t="shared" si="160"/>
        <v>20480</v>
      </c>
      <c r="I662" s="331">
        <f t="shared" si="162"/>
        <v>0</v>
      </c>
    </row>
    <row r="663" spans="1:9" ht="12.75" hidden="1" customHeight="1">
      <c r="A663" s="304"/>
      <c r="B663" s="304"/>
      <c r="C663" s="304"/>
      <c r="D663" s="304"/>
      <c r="E663" s="304" t="s">
        <v>113</v>
      </c>
      <c r="F663" s="306" t="s">
        <v>8</v>
      </c>
      <c r="G663" s="320">
        <v>20480</v>
      </c>
      <c r="H663" s="331">
        <f t="shared" si="160"/>
        <v>20480</v>
      </c>
      <c r="I663" s="331">
        <f t="shared" si="162"/>
        <v>0</v>
      </c>
    </row>
    <row r="664" spans="1:9" hidden="1">
      <c r="A664" s="304"/>
      <c r="B664" s="304"/>
      <c r="C664" s="304"/>
      <c r="D664" s="304" t="s">
        <v>49</v>
      </c>
      <c r="E664" s="304"/>
      <c r="F664" s="306" t="s">
        <v>45</v>
      </c>
      <c r="G664" s="320">
        <f t="shared" ref="G664" si="171">G665</f>
        <v>0</v>
      </c>
      <c r="H664" s="331">
        <f t="shared" si="160"/>
        <v>0</v>
      </c>
      <c r="I664" s="331">
        <f t="shared" si="162"/>
        <v>0</v>
      </c>
    </row>
    <row r="665" spans="1:9" ht="12.75" hidden="1" customHeight="1">
      <c r="A665" s="304"/>
      <c r="B665" s="304"/>
      <c r="C665" s="304"/>
      <c r="D665" s="304"/>
      <c r="E665" s="304" t="s">
        <v>113</v>
      </c>
      <c r="F665" s="306" t="s">
        <v>8</v>
      </c>
      <c r="G665" s="320"/>
      <c r="H665" s="331">
        <f t="shared" si="160"/>
        <v>0</v>
      </c>
      <c r="I665" s="331">
        <f t="shared" si="162"/>
        <v>0</v>
      </c>
    </row>
    <row r="666" spans="1:9" ht="51" hidden="1">
      <c r="A666" s="304"/>
      <c r="B666" s="304"/>
      <c r="C666" s="304"/>
      <c r="D666" s="304" t="s">
        <v>106</v>
      </c>
      <c r="E666" s="304"/>
      <c r="F666" s="306" t="s">
        <v>431</v>
      </c>
      <c r="G666" s="320">
        <f t="shared" ref="G666" si="172">G667</f>
        <v>0</v>
      </c>
      <c r="H666" s="331">
        <f t="shared" si="160"/>
        <v>0</v>
      </c>
      <c r="I666" s="331">
        <f t="shared" si="162"/>
        <v>0</v>
      </c>
    </row>
    <row r="667" spans="1:9" ht="12.75" hidden="1" customHeight="1">
      <c r="A667" s="304"/>
      <c r="B667" s="304"/>
      <c r="C667" s="304"/>
      <c r="D667" s="304"/>
      <c r="E667" s="304" t="s">
        <v>113</v>
      </c>
      <c r="F667" s="306" t="s">
        <v>8</v>
      </c>
      <c r="G667" s="320"/>
      <c r="H667" s="331">
        <f t="shared" si="160"/>
        <v>0</v>
      </c>
      <c r="I667" s="331">
        <f t="shared" si="162"/>
        <v>0</v>
      </c>
    </row>
    <row r="668" spans="1:9" hidden="1">
      <c r="A668" s="304"/>
      <c r="B668" s="304"/>
      <c r="C668" s="304"/>
      <c r="D668" s="304" t="s">
        <v>213</v>
      </c>
      <c r="E668" s="304"/>
      <c r="F668" s="306" t="s">
        <v>242</v>
      </c>
      <c r="G668" s="330">
        <f t="shared" ref="G668" si="173">G669</f>
        <v>78</v>
      </c>
      <c r="H668" s="331">
        <f t="shared" si="160"/>
        <v>78</v>
      </c>
      <c r="I668" s="331">
        <f t="shared" si="162"/>
        <v>0</v>
      </c>
    </row>
    <row r="669" spans="1:9" ht="12.75" hidden="1" customHeight="1">
      <c r="A669" s="304"/>
      <c r="B669" s="304"/>
      <c r="C669" s="304"/>
      <c r="D669" s="304"/>
      <c r="E669" s="304" t="s">
        <v>113</v>
      </c>
      <c r="F669" s="306" t="s">
        <v>8</v>
      </c>
      <c r="G669" s="330">
        <f>73+5</f>
        <v>78</v>
      </c>
      <c r="H669" s="331">
        <f t="shared" si="160"/>
        <v>78</v>
      </c>
      <c r="I669" s="331">
        <f t="shared" si="162"/>
        <v>0</v>
      </c>
    </row>
    <row r="670" spans="1:9" ht="15.75" hidden="1" customHeight="1">
      <c r="A670" s="304"/>
      <c r="B670" s="304"/>
      <c r="C670" s="304"/>
      <c r="D670" s="304" t="s">
        <v>188</v>
      </c>
      <c r="E670" s="304"/>
      <c r="F670" s="306" t="s">
        <v>243</v>
      </c>
      <c r="G670" s="330">
        <f t="shared" ref="G670" si="174">G671</f>
        <v>1937</v>
      </c>
      <c r="H670" s="331">
        <f t="shared" si="160"/>
        <v>1937</v>
      </c>
      <c r="I670" s="331">
        <f t="shared" si="162"/>
        <v>0</v>
      </c>
    </row>
    <row r="671" spans="1:9" hidden="1">
      <c r="A671" s="304"/>
      <c r="B671" s="304"/>
      <c r="C671" s="304"/>
      <c r="D671" s="304"/>
      <c r="E671" s="304" t="s">
        <v>113</v>
      </c>
      <c r="F671" s="306" t="s">
        <v>8</v>
      </c>
      <c r="G671" s="330">
        <f>1793+144</f>
        <v>1937</v>
      </c>
      <c r="H671" s="331">
        <f t="shared" si="160"/>
        <v>1937</v>
      </c>
      <c r="I671" s="331">
        <f t="shared" si="162"/>
        <v>0</v>
      </c>
    </row>
    <row r="672" spans="1:9" hidden="1">
      <c r="A672" s="304"/>
      <c r="B672" s="304"/>
      <c r="C672" s="304"/>
      <c r="D672" s="304" t="s">
        <v>225</v>
      </c>
      <c r="E672" s="304"/>
      <c r="F672" s="306" t="s">
        <v>244</v>
      </c>
      <c r="G672" s="330">
        <f>SUM(G673:G673)</f>
        <v>465602</v>
      </c>
      <c r="H672" s="331">
        <f t="shared" si="160"/>
        <v>465602</v>
      </c>
      <c r="I672" s="331">
        <f t="shared" si="162"/>
        <v>0</v>
      </c>
    </row>
    <row r="673" spans="1:9" hidden="1">
      <c r="A673" s="304"/>
      <c r="B673" s="304"/>
      <c r="C673" s="304"/>
      <c r="D673" s="304"/>
      <c r="E673" s="304" t="s">
        <v>113</v>
      </c>
      <c r="F673" s="306" t="s">
        <v>8</v>
      </c>
      <c r="G673" s="330">
        <f>369759+95843</f>
        <v>465602</v>
      </c>
      <c r="H673" s="331">
        <f t="shared" si="160"/>
        <v>465602</v>
      </c>
      <c r="I673" s="331">
        <f t="shared" si="162"/>
        <v>0</v>
      </c>
    </row>
    <row r="674" spans="1:9" ht="15.75" hidden="1" customHeight="1">
      <c r="A674" s="304"/>
      <c r="B674" s="304"/>
      <c r="C674" s="304"/>
      <c r="D674" s="304" t="s">
        <v>253</v>
      </c>
      <c r="E674" s="304"/>
      <c r="F674" s="306" t="s">
        <v>245</v>
      </c>
      <c r="G674" s="330">
        <f t="shared" ref="G674" si="175">G675</f>
        <v>76531</v>
      </c>
      <c r="H674" s="331">
        <f t="shared" si="160"/>
        <v>76531</v>
      </c>
      <c r="I674" s="331">
        <f t="shared" si="162"/>
        <v>0</v>
      </c>
    </row>
    <row r="675" spans="1:9" ht="12.75" hidden="1" customHeight="1">
      <c r="A675" s="304"/>
      <c r="B675" s="304"/>
      <c r="C675" s="304"/>
      <c r="D675" s="304"/>
      <c r="E675" s="304" t="s">
        <v>113</v>
      </c>
      <c r="F675" s="306" t="s">
        <v>8</v>
      </c>
      <c r="G675" s="330">
        <f>71091+5440</f>
        <v>76531</v>
      </c>
      <c r="H675" s="331">
        <f t="shared" si="160"/>
        <v>76531</v>
      </c>
      <c r="I675" s="331">
        <f t="shared" si="162"/>
        <v>0</v>
      </c>
    </row>
    <row r="676" spans="1:9" ht="18" hidden="1" customHeight="1">
      <c r="A676" s="304"/>
      <c r="B676" s="304"/>
      <c r="C676" s="304"/>
      <c r="D676" s="304" t="s">
        <v>254</v>
      </c>
      <c r="E676" s="304"/>
      <c r="F676" s="306" t="s">
        <v>246</v>
      </c>
      <c r="G676" s="330">
        <f t="shared" ref="G676" si="176">G677</f>
        <v>5431</v>
      </c>
      <c r="H676" s="331">
        <f t="shared" si="160"/>
        <v>5431</v>
      </c>
      <c r="I676" s="331">
        <f t="shared" si="162"/>
        <v>0</v>
      </c>
    </row>
    <row r="677" spans="1:9" ht="12.75" hidden="1" customHeight="1">
      <c r="A677" s="304"/>
      <c r="B677" s="304"/>
      <c r="C677" s="304"/>
      <c r="D677" s="304"/>
      <c r="E677" s="304" t="s">
        <v>113</v>
      </c>
      <c r="F677" s="306" t="s">
        <v>8</v>
      </c>
      <c r="G677" s="330">
        <f>5110+321</f>
        <v>5431</v>
      </c>
      <c r="H677" s="331">
        <f t="shared" si="160"/>
        <v>5431</v>
      </c>
      <c r="I677" s="331">
        <f t="shared" si="162"/>
        <v>0</v>
      </c>
    </row>
    <row r="678" spans="1:9" ht="63.75" hidden="1">
      <c r="A678" s="304"/>
      <c r="B678" s="304"/>
      <c r="C678" s="304"/>
      <c r="D678" s="304" t="s">
        <v>216</v>
      </c>
      <c r="E678" s="304"/>
      <c r="F678" s="306" t="s">
        <v>532</v>
      </c>
      <c r="G678" s="330">
        <f>G679</f>
        <v>767831</v>
      </c>
      <c r="H678" s="331">
        <f t="shared" si="160"/>
        <v>767831</v>
      </c>
      <c r="I678" s="331">
        <f t="shared" si="162"/>
        <v>0</v>
      </c>
    </row>
    <row r="679" spans="1:9" ht="12.75" hidden="1" customHeight="1">
      <c r="A679" s="304"/>
      <c r="B679" s="304"/>
      <c r="C679" s="304"/>
      <c r="D679" s="304"/>
      <c r="E679" s="304" t="s">
        <v>113</v>
      </c>
      <c r="F679" s="306" t="s">
        <v>8</v>
      </c>
      <c r="G679" s="330">
        <v>767831</v>
      </c>
      <c r="H679" s="331">
        <f t="shared" si="160"/>
        <v>767831</v>
      </c>
      <c r="I679" s="331">
        <f t="shared" si="162"/>
        <v>0</v>
      </c>
    </row>
    <row r="680" spans="1:9" ht="25.5" hidden="1">
      <c r="A680" s="304"/>
      <c r="B680" s="304"/>
      <c r="C680" s="304"/>
      <c r="D680" s="304" t="s">
        <v>280</v>
      </c>
      <c r="E680" s="304"/>
      <c r="F680" s="306" t="s">
        <v>352</v>
      </c>
      <c r="G680" s="330">
        <f t="shared" ref="G680" si="177">G681</f>
        <v>5020</v>
      </c>
      <c r="H680" s="331">
        <f t="shared" si="160"/>
        <v>5020</v>
      </c>
      <c r="I680" s="331">
        <f t="shared" si="162"/>
        <v>0</v>
      </c>
    </row>
    <row r="681" spans="1:9" ht="12.75" hidden="1" customHeight="1">
      <c r="A681" s="304"/>
      <c r="B681" s="304"/>
      <c r="C681" s="304"/>
      <c r="D681" s="304"/>
      <c r="E681" s="304" t="s">
        <v>113</v>
      </c>
      <c r="F681" s="306" t="s">
        <v>8</v>
      </c>
      <c r="G681" s="330">
        <v>5020</v>
      </c>
      <c r="H681" s="331">
        <f t="shared" si="160"/>
        <v>5020</v>
      </c>
      <c r="I681" s="331">
        <f t="shared" si="162"/>
        <v>0</v>
      </c>
    </row>
    <row r="682" spans="1:9" hidden="1">
      <c r="A682" s="304"/>
      <c r="B682" s="304"/>
      <c r="C682" s="304"/>
      <c r="D682" s="304" t="s">
        <v>255</v>
      </c>
      <c r="E682" s="304"/>
      <c r="F682" s="306" t="s">
        <v>247</v>
      </c>
      <c r="G682" s="330">
        <f t="shared" ref="G682" si="178">G683</f>
        <v>209507</v>
      </c>
      <c r="H682" s="331">
        <f t="shared" si="160"/>
        <v>209507</v>
      </c>
      <c r="I682" s="331">
        <f t="shared" si="162"/>
        <v>0</v>
      </c>
    </row>
    <row r="683" spans="1:9" ht="12.75" hidden="1" customHeight="1">
      <c r="A683" s="304"/>
      <c r="B683" s="304"/>
      <c r="C683" s="304"/>
      <c r="D683" s="304"/>
      <c r="E683" s="304" t="s">
        <v>113</v>
      </c>
      <c r="F683" s="306" t="s">
        <v>8</v>
      </c>
      <c r="G683" s="330">
        <f>124992+84515</f>
        <v>209507</v>
      </c>
      <c r="H683" s="331">
        <f t="shared" si="160"/>
        <v>209507</v>
      </c>
      <c r="I683" s="331">
        <f t="shared" si="162"/>
        <v>0</v>
      </c>
    </row>
    <row r="684" spans="1:9" ht="12.75" hidden="1" customHeight="1">
      <c r="A684" s="304"/>
      <c r="B684" s="304"/>
      <c r="C684" s="304"/>
      <c r="D684" s="304" t="s">
        <v>231</v>
      </c>
      <c r="E684" s="304"/>
      <c r="F684" s="306" t="s">
        <v>472</v>
      </c>
      <c r="G684" s="330">
        <f t="shared" ref="G684" si="179">G685</f>
        <v>0</v>
      </c>
      <c r="H684" s="331">
        <f t="shared" si="160"/>
        <v>0</v>
      </c>
      <c r="I684" s="331">
        <f t="shared" si="162"/>
        <v>0</v>
      </c>
    </row>
    <row r="685" spans="1:9" ht="12.75" hidden="1" customHeight="1">
      <c r="A685" s="304"/>
      <c r="B685" s="304"/>
      <c r="C685" s="304"/>
      <c r="D685" s="304"/>
      <c r="E685" s="304" t="s">
        <v>113</v>
      </c>
      <c r="F685" s="306" t="s">
        <v>8</v>
      </c>
      <c r="G685" s="330"/>
      <c r="H685" s="331">
        <f t="shared" ref="H685:H748" si="180">G685</f>
        <v>0</v>
      </c>
      <c r="I685" s="331">
        <f t="shared" si="162"/>
        <v>0</v>
      </c>
    </row>
    <row r="686" spans="1:9" ht="12.75" hidden="1" customHeight="1">
      <c r="A686" s="304"/>
      <c r="B686" s="304"/>
      <c r="C686" s="304"/>
      <c r="D686" s="304" t="s">
        <v>281</v>
      </c>
      <c r="E686" s="304"/>
      <c r="F686" s="306" t="s">
        <v>473</v>
      </c>
      <c r="G686" s="330">
        <f t="shared" ref="G686" si="181">G687</f>
        <v>0</v>
      </c>
      <c r="H686" s="331">
        <f t="shared" si="180"/>
        <v>0</v>
      </c>
      <c r="I686" s="331">
        <f t="shared" ref="I686:I749" si="182">G686-H686</f>
        <v>0</v>
      </c>
    </row>
    <row r="687" spans="1:9" ht="12.75" hidden="1" customHeight="1">
      <c r="A687" s="304"/>
      <c r="B687" s="304"/>
      <c r="C687" s="304"/>
      <c r="D687" s="304"/>
      <c r="E687" s="304" t="s">
        <v>113</v>
      </c>
      <c r="F687" s="306" t="s">
        <v>8</v>
      </c>
      <c r="G687" s="330"/>
      <c r="H687" s="331">
        <f t="shared" si="180"/>
        <v>0</v>
      </c>
      <c r="I687" s="331">
        <f t="shared" si="182"/>
        <v>0</v>
      </c>
    </row>
    <row r="688" spans="1:9" ht="25.5" hidden="1">
      <c r="A688" s="304"/>
      <c r="B688" s="304"/>
      <c r="C688" s="304"/>
      <c r="D688" s="304" t="s">
        <v>302</v>
      </c>
      <c r="E688" s="304"/>
      <c r="F688" s="306" t="s">
        <v>353</v>
      </c>
      <c r="G688" s="330">
        <f t="shared" ref="G688" si="183">G689</f>
        <v>0</v>
      </c>
      <c r="H688" s="331">
        <f t="shared" si="180"/>
        <v>0</v>
      </c>
      <c r="I688" s="331">
        <f t="shared" si="182"/>
        <v>0</v>
      </c>
    </row>
    <row r="689" spans="1:9" ht="12.75" hidden="1" customHeight="1">
      <c r="A689" s="304"/>
      <c r="B689" s="304"/>
      <c r="C689" s="304"/>
      <c r="D689" s="304"/>
      <c r="E689" s="304" t="s">
        <v>113</v>
      </c>
      <c r="F689" s="306" t="s">
        <v>8</v>
      </c>
      <c r="G689" s="330"/>
      <c r="H689" s="331">
        <f t="shared" si="180"/>
        <v>0</v>
      </c>
      <c r="I689" s="331">
        <f t="shared" si="182"/>
        <v>0</v>
      </c>
    </row>
    <row r="690" spans="1:9" ht="40.5" hidden="1" customHeight="1">
      <c r="A690" s="304"/>
      <c r="B690" s="304"/>
      <c r="C690" s="304"/>
      <c r="D690" s="304" t="s">
        <v>235</v>
      </c>
      <c r="E690" s="304"/>
      <c r="F690" s="306" t="s">
        <v>354</v>
      </c>
      <c r="G690" s="330">
        <f t="shared" ref="G690" si="184">G691</f>
        <v>37239</v>
      </c>
      <c r="H690" s="331">
        <f t="shared" si="180"/>
        <v>37239</v>
      </c>
      <c r="I690" s="331">
        <f t="shared" si="182"/>
        <v>0</v>
      </c>
    </row>
    <row r="691" spans="1:9" ht="12.75" hidden="1" customHeight="1">
      <c r="A691" s="304"/>
      <c r="B691" s="304"/>
      <c r="C691" s="304"/>
      <c r="D691" s="304"/>
      <c r="E691" s="304" t="s">
        <v>113</v>
      </c>
      <c r="F691" s="306" t="s">
        <v>8</v>
      </c>
      <c r="G691" s="330">
        <v>37239</v>
      </c>
      <c r="H691" s="331">
        <f t="shared" si="180"/>
        <v>37239</v>
      </c>
      <c r="I691" s="331">
        <f t="shared" si="182"/>
        <v>0</v>
      </c>
    </row>
    <row r="692" spans="1:9" ht="12.75" hidden="1" customHeight="1">
      <c r="A692" s="304"/>
      <c r="B692" s="304"/>
      <c r="C692" s="304"/>
      <c r="D692" s="304" t="s">
        <v>66</v>
      </c>
      <c r="E692" s="304"/>
      <c r="F692" s="306" t="s">
        <v>89</v>
      </c>
      <c r="G692" s="330">
        <f>G693</f>
        <v>135000</v>
      </c>
      <c r="H692" s="331">
        <f t="shared" si="180"/>
        <v>135000</v>
      </c>
      <c r="I692" s="331">
        <f t="shared" si="182"/>
        <v>0</v>
      </c>
    </row>
    <row r="693" spans="1:9" ht="12.75" hidden="1" customHeight="1">
      <c r="A693" s="304"/>
      <c r="B693" s="304"/>
      <c r="C693" s="304"/>
      <c r="D693" s="323"/>
      <c r="E693" s="323" t="s">
        <v>113</v>
      </c>
      <c r="F693" s="306" t="s">
        <v>8</v>
      </c>
      <c r="G693" s="330">
        <f>90000+45000</f>
        <v>135000</v>
      </c>
      <c r="H693" s="331">
        <f t="shared" si="180"/>
        <v>135000</v>
      </c>
      <c r="I693" s="331">
        <f t="shared" si="182"/>
        <v>0</v>
      </c>
    </row>
    <row r="694" spans="1:9" ht="51" hidden="1">
      <c r="A694" s="304"/>
      <c r="B694" s="304"/>
      <c r="C694" s="304"/>
      <c r="D694" s="304" t="s">
        <v>268</v>
      </c>
      <c r="E694" s="304"/>
      <c r="F694" s="306" t="s">
        <v>430</v>
      </c>
      <c r="G694" s="330">
        <f t="shared" ref="G694" si="185">G695</f>
        <v>856</v>
      </c>
      <c r="H694" s="331">
        <f t="shared" si="180"/>
        <v>856</v>
      </c>
      <c r="I694" s="331">
        <f t="shared" si="182"/>
        <v>0</v>
      </c>
    </row>
    <row r="695" spans="1:9" ht="12.75" hidden="1" customHeight="1">
      <c r="A695" s="304"/>
      <c r="B695" s="304"/>
      <c r="C695" s="304"/>
      <c r="D695" s="304"/>
      <c r="E695" s="304" t="s">
        <v>113</v>
      </c>
      <c r="F695" s="306" t="s">
        <v>8</v>
      </c>
      <c r="G695" s="330">
        <v>856</v>
      </c>
      <c r="H695" s="331">
        <f t="shared" si="180"/>
        <v>856</v>
      </c>
      <c r="I695" s="331">
        <f t="shared" si="182"/>
        <v>0</v>
      </c>
    </row>
    <row r="696" spans="1:9" ht="14.25" hidden="1" customHeight="1">
      <c r="A696" s="304"/>
      <c r="B696" s="304"/>
      <c r="C696" s="304"/>
      <c r="D696" s="304" t="s">
        <v>233</v>
      </c>
      <c r="E696" s="304"/>
      <c r="F696" s="306" t="s">
        <v>248</v>
      </c>
      <c r="G696" s="330">
        <f t="shared" ref="G696" si="186">SUM(G697:G697)</f>
        <v>75000</v>
      </c>
      <c r="H696" s="331">
        <f t="shared" si="180"/>
        <v>75000</v>
      </c>
      <c r="I696" s="331">
        <f t="shared" si="182"/>
        <v>0</v>
      </c>
    </row>
    <row r="697" spans="1:9" ht="12.75" hidden="1" customHeight="1">
      <c r="A697" s="304"/>
      <c r="B697" s="304"/>
      <c r="C697" s="304"/>
      <c r="D697" s="304"/>
      <c r="E697" s="304" t="s">
        <v>113</v>
      </c>
      <c r="F697" s="306" t="s">
        <v>8</v>
      </c>
      <c r="G697" s="330">
        <v>75000</v>
      </c>
      <c r="H697" s="331">
        <f t="shared" si="180"/>
        <v>75000</v>
      </c>
      <c r="I697" s="331">
        <f t="shared" si="182"/>
        <v>0</v>
      </c>
    </row>
    <row r="698" spans="1:9" ht="25.5" hidden="1">
      <c r="A698" s="304"/>
      <c r="B698" s="304"/>
      <c r="C698" s="304"/>
      <c r="D698" s="304" t="s">
        <v>257</v>
      </c>
      <c r="E698" s="304"/>
      <c r="F698" s="306" t="s">
        <v>249</v>
      </c>
      <c r="G698" s="330">
        <f t="shared" ref="G698" si="187">SUM(G699:G699)</f>
        <v>0</v>
      </c>
      <c r="H698" s="331">
        <f t="shared" si="180"/>
        <v>0</v>
      </c>
      <c r="I698" s="331">
        <f t="shared" si="182"/>
        <v>0</v>
      </c>
    </row>
    <row r="699" spans="1:9" ht="12.75" hidden="1" customHeight="1">
      <c r="A699" s="304"/>
      <c r="B699" s="304"/>
      <c r="C699" s="304"/>
      <c r="D699" s="304"/>
      <c r="E699" s="304" t="s">
        <v>113</v>
      </c>
      <c r="F699" s="306" t="s">
        <v>8</v>
      </c>
      <c r="G699" s="330"/>
      <c r="H699" s="331">
        <f t="shared" si="180"/>
        <v>0</v>
      </c>
      <c r="I699" s="331">
        <f t="shared" si="182"/>
        <v>0</v>
      </c>
    </row>
    <row r="700" spans="1:9" ht="25.5" hidden="1">
      <c r="A700" s="304"/>
      <c r="B700" s="304"/>
      <c r="C700" s="304"/>
      <c r="D700" s="304" t="s">
        <v>537</v>
      </c>
      <c r="E700" s="304"/>
      <c r="F700" s="306" t="s">
        <v>536</v>
      </c>
      <c r="G700" s="330">
        <f>G701</f>
        <v>0</v>
      </c>
      <c r="H700" s="331">
        <f t="shared" si="180"/>
        <v>0</v>
      </c>
      <c r="I700" s="331">
        <f t="shared" si="182"/>
        <v>0</v>
      </c>
    </row>
    <row r="701" spans="1:9" ht="12.75" hidden="1" customHeight="1">
      <c r="A701" s="304"/>
      <c r="B701" s="304"/>
      <c r="C701" s="304"/>
      <c r="D701" s="304"/>
      <c r="E701" s="304" t="s">
        <v>112</v>
      </c>
      <c r="F701" s="306" t="s">
        <v>128</v>
      </c>
      <c r="G701" s="330"/>
      <c r="H701" s="331">
        <f t="shared" si="180"/>
        <v>0</v>
      </c>
      <c r="I701" s="331">
        <f t="shared" si="182"/>
        <v>0</v>
      </c>
    </row>
    <row r="702" spans="1:9" ht="25.5" hidden="1">
      <c r="A702" s="304"/>
      <c r="B702" s="304"/>
      <c r="C702" s="304"/>
      <c r="D702" s="304" t="s">
        <v>258</v>
      </c>
      <c r="E702" s="304"/>
      <c r="F702" s="306" t="s">
        <v>250</v>
      </c>
      <c r="G702" s="330">
        <f t="shared" ref="G702" si="188">SUM(G703:G703)</f>
        <v>1071773</v>
      </c>
      <c r="H702" s="331">
        <f t="shared" si="180"/>
        <v>1071773</v>
      </c>
      <c r="I702" s="331">
        <f t="shared" si="182"/>
        <v>0</v>
      </c>
    </row>
    <row r="703" spans="1:9" ht="12.75" hidden="1" customHeight="1">
      <c r="A703" s="304"/>
      <c r="B703" s="304"/>
      <c r="C703" s="304"/>
      <c r="D703" s="304"/>
      <c r="E703" s="304" t="s">
        <v>113</v>
      </c>
      <c r="F703" s="306" t="s">
        <v>8</v>
      </c>
      <c r="G703" s="330">
        <v>1071773</v>
      </c>
      <c r="H703" s="331">
        <f t="shared" si="180"/>
        <v>1071773</v>
      </c>
      <c r="I703" s="331">
        <f t="shared" si="182"/>
        <v>0</v>
      </c>
    </row>
    <row r="704" spans="1:9" ht="38.25" hidden="1" customHeight="1">
      <c r="A704" s="304"/>
      <c r="B704" s="304"/>
      <c r="C704" s="304"/>
      <c r="D704" s="304" t="s">
        <v>355</v>
      </c>
      <c r="E704" s="304"/>
      <c r="F704" s="306" t="s">
        <v>356</v>
      </c>
      <c r="G704" s="330">
        <f t="shared" ref="G704" si="189">SUM(G705:G705)</f>
        <v>1200000</v>
      </c>
      <c r="H704" s="331">
        <f t="shared" si="180"/>
        <v>1200000</v>
      </c>
      <c r="I704" s="331">
        <f t="shared" si="182"/>
        <v>0</v>
      </c>
    </row>
    <row r="705" spans="1:9" ht="12.75" hidden="1" customHeight="1">
      <c r="A705" s="304"/>
      <c r="B705" s="304"/>
      <c r="C705" s="304"/>
      <c r="D705" s="304"/>
      <c r="E705" s="304" t="s">
        <v>113</v>
      </c>
      <c r="F705" s="306" t="s">
        <v>8</v>
      </c>
      <c r="G705" s="330">
        <v>1200000</v>
      </c>
      <c r="H705" s="331">
        <f t="shared" si="180"/>
        <v>1200000</v>
      </c>
      <c r="I705" s="331">
        <f t="shared" si="182"/>
        <v>0</v>
      </c>
    </row>
    <row r="706" spans="1:9" ht="38.25" hidden="1">
      <c r="A706" s="304"/>
      <c r="B706" s="304"/>
      <c r="C706" s="304"/>
      <c r="D706" s="304" t="s">
        <v>259</v>
      </c>
      <c r="E706" s="304"/>
      <c r="F706" s="306" t="s">
        <v>252</v>
      </c>
      <c r="G706" s="330">
        <f t="shared" ref="G706" si="190">SUM(G707:G707)</f>
        <v>2886238</v>
      </c>
      <c r="H706" s="331">
        <f t="shared" si="180"/>
        <v>2886238</v>
      </c>
      <c r="I706" s="331">
        <f t="shared" si="182"/>
        <v>0</v>
      </c>
    </row>
    <row r="707" spans="1:9" ht="12.75" hidden="1" customHeight="1">
      <c r="A707" s="304"/>
      <c r="B707" s="304"/>
      <c r="C707" s="304"/>
      <c r="D707" s="304"/>
      <c r="E707" s="304" t="s">
        <v>113</v>
      </c>
      <c r="F707" s="306" t="s">
        <v>8</v>
      </c>
      <c r="G707" s="330">
        <f>2830238+56000</f>
        <v>2886238</v>
      </c>
      <c r="H707" s="331">
        <f t="shared" si="180"/>
        <v>2886238</v>
      </c>
      <c r="I707" s="331">
        <f t="shared" si="182"/>
        <v>0</v>
      </c>
    </row>
    <row r="708" spans="1:9" ht="51" hidden="1">
      <c r="A708" s="304"/>
      <c r="B708" s="304"/>
      <c r="C708" s="304"/>
      <c r="D708" s="304" t="s">
        <v>519</v>
      </c>
      <c r="E708" s="304"/>
      <c r="F708" s="306" t="s">
        <v>520</v>
      </c>
      <c r="G708" s="330">
        <f>G709</f>
        <v>0</v>
      </c>
      <c r="H708" s="331">
        <f t="shared" si="180"/>
        <v>0</v>
      </c>
      <c r="I708" s="331">
        <f t="shared" si="182"/>
        <v>0</v>
      </c>
    </row>
    <row r="709" spans="1:9" hidden="1">
      <c r="A709" s="304"/>
      <c r="B709" s="304"/>
      <c r="C709" s="304"/>
      <c r="D709" s="304"/>
      <c r="E709" s="304" t="s">
        <v>112</v>
      </c>
      <c r="F709" s="306" t="s">
        <v>128</v>
      </c>
      <c r="G709" s="330"/>
      <c r="H709" s="331">
        <f t="shared" si="180"/>
        <v>0</v>
      </c>
      <c r="I709" s="331">
        <f t="shared" si="182"/>
        <v>0</v>
      </c>
    </row>
    <row r="710" spans="1:9" hidden="1">
      <c r="A710" s="304"/>
      <c r="B710" s="304" t="s">
        <v>32</v>
      </c>
      <c r="C710" s="304"/>
      <c r="D710" s="304"/>
      <c r="E710" s="304"/>
      <c r="F710" s="306" t="s">
        <v>458</v>
      </c>
      <c r="G710" s="330">
        <f t="shared" ref="G710:G712" si="191">G711</f>
        <v>3261444</v>
      </c>
      <c r="H710" s="331">
        <f t="shared" si="180"/>
        <v>3261444</v>
      </c>
      <c r="I710" s="331">
        <f t="shared" si="182"/>
        <v>0</v>
      </c>
    </row>
    <row r="711" spans="1:9" ht="25.5" hidden="1">
      <c r="A711" s="304"/>
      <c r="B711" s="304"/>
      <c r="C711" s="304" t="s">
        <v>466</v>
      </c>
      <c r="D711" s="304"/>
      <c r="E711" s="304"/>
      <c r="F711" s="306" t="s">
        <v>465</v>
      </c>
      <c r="G711" s="330">
        <f t="shared" si="191"/>
        <v>3261444</v>
      </c>
      <c r="H711" s="331">
        <f t="shared" si="180"/>
        <v>3261444</v>
      </c>
      <c r="I711" s="331">
        <f t="shared" si="182"/>
        <v>0</v>
      </c>
    </row>
    <row r="712" spans="1:9" ht="25.5" hidden="1">
      <c r="A712" s="304"/>
      <c r="B712" s="304"/>
      <c r="C712" s="304"/>
      <c r="D712" s="304" t="s">
        <v>202</v>
      </c>
      <c r="E712" s="304"/>
      <c r="F712" s="306" t="s">
        <v>357</v>
      </c>
      <c r="G712" s="330">
        <f t="shared" si="191"/>
        <v>3261444</v>
      </c>
      <c r="H712" s="331">
        <f t="shared" si="180"/>
        <v>3261444</v>
      </c>
      <c r="I712" s="331">
        <f t="shared" si="182"/>
        <v>0</v>
      </c>
    </row>
    <row r="713" spans="1:9" ht="12.75" hidden="1" customHeight="1">
      <c r="A713" s="304"/>
      <c r="B713" s="304"/>
      <c r="C713" s="304"/>
      <c r="D713" s="304"/>
      <c r="E713" s="304" t="s">
        <v>113</v>
      </c>
      <c r="F713" s="306" t="s">
        <v>8</v>
      </c>
      <c r="G713" s="330">
        <f>395121+103726+2240767+23104+498726</f>
        <v>3261444</v>
      </c>
      <c r="H713" s="331">
        <f t="shared" si="180"/>
        <v>3261444</v>
      </c>
      <c r="I713" s="331">
        <f t="shared" si="182"/>
        <v>0</v>
      </c>
    </row>
    <row r="714" spans="1:9" hidden="1">
      <c r="A714" s="304"/>
      <c r="B714" s="304" t="s">
        <v>33</v>
      </c>
      <c r="C714" s="304"/>
      <c r="D714" s="304"/>
      <c r="E714" s="304"/>
      <c r="F714" s="306" t="s">
        <v>337</v>
      </c>
      <c r="G714" s="330">
        <f t="shared" ref="G714:G715" si="192">G715</f>
        <v>476015</v>
      </c>
      <c r="H714" s="331">
        <f t="shared" si="180"/>
        <v>476015</v>
      </c>
      <c r="I714" s="331">
        <f t="shared" si="182"/>
        <v>0</v>
      </c>
    </row>
    <row r="715" spans="1:9" ht="25.5" hidden="1">
      <c r="A715" s="304"/>
      <c r="B715" s="304"/>
      <c r="C715" s="304" t="s">
        <v>466</v>
      </c>
      <c r="D715" s="304"/>
      <c r="E715" s="304"/>
      <c r="F715" s="306" t="s">
        <v>465</v>
      </c>
      <c r="G715" s="330">
        <f t="shared" si="192"/>
        <v>476015</v>
      </c>
      <c r="H715" s="331">
        <f t="shared" si="180"/>
        <v>476015</v>
      </c>
      <c r="I715" s="331">
        <f t="shared" si="182"/>
        <v>0</v>
      </c>
    </row>
    <row r="716" spans="1:9" hidden="1">
      <c r="A716" s="304"/>
      <c r="B716" s="304"/>
      <c r="C716" s="304"/>
      <c r="D716" s="304" t="s">
        <v>392</v>
      </c>
      <c r="E716" s="304"/>
      <c r="F716" s="306" t="s">
        <v>393</v>
      </c>
      <c r="G716" s="320">
        <f t="shared" ref="G716" si="193">SUM(G717:G717)</f>
        <v>476015</v>
      </c>
      <c r="H716" s="331">
        <f t="shared" si="180"/>
        <v>476015</v>
      </c>
      <c r="I716" s="331">
        <f t="shared" si="182"/>
        <v>0</v>
      </c>
    </row>
    <row r="717" spans="1:9" ht="12.75" hidden="1" customHeight="1">
      <c r="A717" s="304"/>
      <c r="B717" s="304"/>
      <c r="C717" s="304"/>
      <c r="D717" s="304"/>
      <c r="E717" s="304" t="s">
        <v>113</v>
      </c>
      <c r="F717" s="306" t="s">
        <v>8</v>
      </c>
      <c r="G717" s="320">
        <f>427478+48537</f>
        <v>476015</v>
      </c>
      <c r="H717" s="331">
        <f t="shared" si="180"/>
        <v>476015</v>
      </c>
      <c r="I717" s="331">
        <f t="shared" si="182"/>
        <v>0</v>
      </c>
    </row>
    <row r="718" spans="1:9" hidden="1">
      <c r="A718" s="304"/>
      <c r="B718" s="304" t="s">
        <v>34</v>
      </c>
      <c r="C718" s="304"/>
      <c r="D718" s="304"/>
      <c r="E718" s="304"/>
      <c r="F718" s="306" t="s">
        <v>501</v>
      </c>
      <c r="G718" s="320">
        <f t="shared" ref="G718:G720" si="194">G719</f>
        <v>32000</v>
      </c>
      <c r="H718" s="331">
        <f t="shared" si="180"/>
        <v>32000</v>
      </c>
      <c r="I718" s="331">
        <f t="shared" si="182"/>
        <v>0</v>
      </c>
    </row>
    <row r="719" spans="1:9" ht="25.5" hidden="1">
      <c r="A719" s="304"/>
      <c r="B719" s="304"/>
      <c r="C719" s="304" t="s">
        <v>351</v>
      </c>
      <c r="D719" s="304"/>
      <c r="E719" s="304"/>
      <c r="F719" s="306" t="s">
        <v>502</v>
      </c>
      <c r="G719" s="320">
        <f t="shared" si="194"/>
        <v>32000</v>
      </c>
      <c r="H719" s="331">
        <f t="shared" si="180"/>
        <v>32000</v>
      </c>
      <c r="I719" s="331">
        <f t="shared" si="182"/>
        <v>0</v>
      </c>
    </row>
    <row r="720" spans="1:9" ht="25.5" hidden="1">
      <c r="A720" s="304"/>
      <c r="B720" s="304"/>
      <c r="C720" s="304"/>
      <c r="D720" s="304" t="s">
        <v>214</v>
      </c>
      <c r="E720" s="304"/>
      <c r="F720" s="306" t="s">
        <v>503</v>
      </c>
      <c r="G720" s="320">
        <f t="shared" si="194"/>
        <v>32000</v>
      </c>
      <c r="H720" s="331">
        <f t="shared" si="180"/>
        <v>32000</v>
      </c>
      <c r="I720" s="331">
        <f t="shared" si="182"/>
        <v>0</v>
      </c>
    </row>
    <row r="721" spans="1:9" hidden="1">
      <c r="A721" s="304"/>
      <c r="B721" s="304"/>
      <c r="C721" s="304"/>
      <c r="D721" s="304"/>
      <c r="E721" s="304" t="s">
        <v>113</v>
      </c>
      <c r="F721" s="306" t="s">
        <v>8</v>
      </c>
      <c r="G721" s="320">
        <v>32000</v>
      </c>
      <c r="H721" s="331">
        <f t="shared" si="180"/>
        <v>32000</v>
      </c>
      <c r="I721" s="331">
        <f t="shared" si="182"/>
        <v>0</v>
      </c>
    </row>
    <row r="722" spans="1:9" hidden="1">
      <c r="A722" s="304"/>
      <c r="B722" s="304" t="s">
        <v>35</v>
      </c>
      <c r="C722" s="304"/>
      <c r="D722" s="304"/>
      <c r="E722" s="304"/>
      <c r="F722" s="306" t="s">
        <v>77</v>
      </c>
      <c r="G722" s="320">
        <f t="shared" ref="G722" si="195">G723</f>
        <v>897825</v>
      </c>
      <c r="H722" s="331">
        <f t="shared" si="180"/>
        <v>897825</v>
      </c>
      <c r="I722" s="331">
        <f t="shared" si="182"/>
        <v>0</v>
      </c>
    </row>
    <row r="723" spans="1:9" ht="25.5" hidden="1">
      <c r="A723" s="304"/>
      <c r="B723" s="304"/>
      <c r="C723" s="304" t="s">
        <v>466</v>
      </c>
      <c r="D723" s="304"/>
      <c r="E723" s="304"/>
      <c r="F723" s="306" t="s">
        <v>465</v>
      </c>
      <c r="G723" s="320">
        <f>G724+G728+G732+G726+G730+G734</f>
        <v>897825</v>
      </c>
      <c r="H723" s="331">
        <f t="shared" si="180"/>
        <v>897825</v>
      </c>
      <c r="I723" s="331">
        <f t="shared" si="182"/>
        <v>0</v>
      </c>
    </row>
    <row r="724" spans="1:9" ht="25.5" hidden="1">
      <c r="A724" s="304"/>
      <c r="B724" s="304"/>
      <c r="C724" s="304"/>
      <c r="D724" s="304" t="s">
        <v>48</v>
      </c>
      <c r="E724" s="304"/>
      <c r="F724" s="306" t="s">
        <v>269</v>
      </c>
      <c r="G724" s="320">
        <f t="shared" ref="G724" si="196">SUM(G725:G725)</f>
        <v>290526</v>
      </c>
      <c r="H724" s="331">
        <f t="shared" si="180"/>
        <v>290526</v>
      </c>
      <c r="I724" s="331">
        <f t="shared" si="182"/>
        <v>0</v>
      </c>
    </row>
    <row r="725" spans="1:9" hidden="1">
      <c r="A725" s="304"/>
      <c r="B725" s="304"/>
      <c r="C725" s="304"/>
      <c r="D725" s="304"/>
      <c r="E725" s="304" t="s">
        <v>113</v>
      </c>
      <c r="F725" s="306" t="s">
        <v>8</v>
      </c>
      <c r="G725" s="320">
        <f>261712+515+28299</f>
        <v>290526</v>
      </c>
      <c r="H725" s="331">
        <f t="shared" si="180"/>
        <v>290526</v>
      </c>
      <c r="I725" s="331">
        <f t="shared" si="182"/>
        <v>0</v>
      </c>
    </row>
    <row r="726" spans="1:9" ht="12.75" hidden="1" customHeight="1">
      <c r="A726" s="304"/>
      <c r="B726" s="304"/>
      <c r="C726" s="304"/>
      <c r="D726" s="304" t="s">
        <v>185</v>
      </c>
      <c r="E726" s="304"/>
      <c r="F726" s="306" t="s">
        <v>373</v>
      </c>
      <c r="G726" s="320">
        <f t="shared" ref="G726" si="197">G727</f>
        <v>0</v>
      </c>
      <c r="H726" s="331">
        <f t="shared" si="180"/>
        <v>0</v>
      </c>
      <c r="I726" s="331">
        <f t="shared" si="182"/>
        <v>0</v>
      </c>
    </row>
    <row r="727" spans="1:9" ht="12.75" hidden="1" customHeight="1">
      <c r="A727" s="304"/>
      <c r="B727" s="304"/>
      <c r="C727" s="304"/>
      <c r="D727" s="304"/>
      <c r="E727" s="304" t="s">
        <v>113</v>
      </c>
      <c r="F727" s="306" t="s">
        <v>8</v>
      </c>
      <c r="G727" s="320"/>
      <c r="H727" s="331">
        <f t="shared" si="180"/>
        <v>0</v>
      </c>
      <c r="I727" s="331">
        <f t="shared" si="182"/>
        <v>0</v>
      </c>
    </row>
    <row r="728" spans="1:9" hidden="1">
      <c r="A728" s="304"/>
      <c r="B728" s="304"/>
      <c r="C728" s="304"/>
      <c r="D728" s="304" t="s">
        <v>106</v>
      </c>
      <c r="E728" s="304"/>
      <c r="F728" s="306" t="s">
        <v>358</v>
      </c>
      <c r="G728" s="320">
        <f t="shared" ref="G728" si="198">SUM(G729:G729)</f>
        <v>0</v>
      </c>
      <c r="H728" s="331">
        <f t="shared" si="180"/>
        <v>0</v>
      </c>
      <c r="I728" s="331">
        <f t="shared" si="182"/>
        <v>0</v>
      </c>
    </row>
    <row r="729" spans="1:9" ht="12.75" hidden="1" customHeight="1">
      <c r="A729" s="304"/>
      <c r="B729" s="304"/>
      <c r="C729" s="304"/>
      <c r="D729" s="304"/>
      <c r="E729" s="304" t="s">
        <v>113</v>
      </c>
      <c r="F729" s="306" t="s">
        <v>8</v>
      </c>
      <c r="G729" s="320"/>
      <c r="H729" s="331">
        <f t="shared" si="180"/>
        <v>0</v>
      </c>
      <c r="I729" s="331">
        <f t="shared" si="182"/>
        <v>0</v>
      </c>
    </row>
    <row r="730" spans="1:9" hidden="1">
      <c r="A730" s="304"/>
      <c r="B730" s="304"/>
      <c r="C730" s="304"/>
      <c r="D730" s="304" t="s">
        <v>190</v>
      </c>
      <c r="E730" s="304"/>
      <c r="F730" s="306" t="s">
        <v>45</v>
      </c>
      <c r="G730" s="320">
        <f t="shared" ref="G730" si="199">G731</f>
        <v>0</v>
      </c>
      <c r="H730" s="331">
        <f t="shared" si="180"/>
        <v>0</v>
      </c>
      <c r="I730" s="331">
        <f t="shared" si="182"/>
        <v>0</v>
      </c>
    </row>
    <row r="731" spans="1:9" ht="12.75" hidden="1" customHeight="1">
      <c r="A731" s="304"/>
      <c r="B731" s="304"/>
      <c r="C731" s="304"/>
      <c r="D731" s="304"/>
      <c r="E731" s="304" t="s">
        <v>113</v>
      </c>
      <c r="F731" s="306" t="s">
        <v>8</v>
      </c>
      <c r="G731" s="320"/>
      <c r="H731" s="331">
        <f t="shared" si="180"/>
        <v>0</v>
      </c>
      <c r="I731" s="331">
        <f t="shared" si="182"/>
        <v>0</v>
      </c>
    </row>
    <row r="732" spans="1:9" ht="25.5" hidden="1">
      <c r="A732" s="304"/>
      <c r="B732" s="304"/>
      <c r="C732" s="304"/>
      <c r="D732" s="304" t="s">
        <v>66</v>
      </c>
      <c r="E732" s="304"/>
      <c r="F732" s="306" t="s">
        <v>89</v>
      </c>
      <c r="G732" s="320">
        <f t="shared" ref="G732" si="200">G733</f>
        <v>7773</v>
      </c>
      <c r="H732" s="331">
        <f t="shared" si="180"/>
        <v>7773</v>
      </c>
      <c r="I732" s="331">
        <f t="shared" si="182"/>
        <v>0</v>
      </c>
    </row>
    <row r="733" spans="1:9" ht="12.75" hidden="1" customHeight="1">
      <c r="A733" s="304"/>
      <c r="B733" s="304"/>
      <c r="C733" s="304"/>
      <c r="D733" s="304"/>
      <c r="E733" s="304" t="s">
        <v>113</v>
      </c>
      <c r="F733" s="306" t="s">
        <v>8</v>
      </c>
      <c r="G733" s="320">
        <v>7773</v>
      </c>
      <c r="H733" s="331">
        <f t="shared" si="180"/>
        <v>7773</v>
      </c>
      <c r="I733" s="331">
        <f t="shared" si="182"/>
        <v>0</v>
      </c>
    </row>
    <row r="734" spans="1:9" ht="38.25" hidden="1">
      <c r="A734" s="304"/>
      <c r="B734" s="304"/>
      <c r="C734" s="304"/>
      <c r="D734" s="323" t="s">
        <v>348</v>
      </c>
      <c r="E734" s="323"/>
      <c r="F734" s="327" t="s">
        <v>664</v>
      </c>
      <c r="G734" s="328">
        <v>599526</v>
      </c>
      <c r="H734" s="331">
        <f t="shared" si="180"/>
        <v>599526</v>
      </c>
      <c r="I734" s="331">
        <f t="shared" si="182"/>
        <v>0</v>
      </c>
    </row>
    <row r="735" spans="1:9" hidden="1">
      <c r="A735" s="304"/>
      <c r="B735" s="304">
        <v>6</v>
      </c>
      <c r="C735" s="304"/>
      <c r="D735" s="304"/>
      <c r="E735" s="304"/>
      <c r="F735" s="306" t="s">
        <v>316</v>
      </c>
      <c r="G735" s="320">
        <f>G736+G741</f>
        <v>879342</v>
      </c>
      <c r="H735" s="331">
        <f t="shared" si="180"/>
        <v>879342</v>
      </c>
      <c r="I735" s="331">
        <f t="shared" si="182"/>
        <v>0</v>
      </c>
    </row>
    <row r="736" spans="1:9" ht="25.5" hidden="1">
      <c r="A736" s="304"/>
      <c r="B736" s="304"/>
      <c r="C736" s="304" t="s">
        <v>443</v>
      </c>
      <c r="D736" s="304"/>
      <c r="E736" s="304"/>
      <c r="F736" s="306" t="s">
        <v>442</v>
      </c>
      <c r="G736" s="320">
        <f t="shared" ref="G736" si="201">G739+G737</f>
        <v>0</v>
      </c>
      <c r="H736" s="331">
        <f t="shared" si="180"/>
        <v>0</v>
      </c>
      <c r="I736" s="331">
        <f t="shared" si="182"/>
        <v>0</v>
      </c>
    </row>
    <row r="737" spans="1:9" ht="12.75" hidden="1" customHeight="1">
      <c r="A737" s="304"/>
      <c r="B737" s="304"/>
      <c r="C737" s="304"/>
      <c r="D737" s="304" t="s">
        <v>185</v>
      </c>
      <c r="E737" s="304"/>
      <c r="F737" s="306" t="s">
        <v>478</v>
      </c>
      <c r="G737" s="320">
        <f t="shared" ref="G737" si="202">G738</f>
        <v>0</v>
      </c>
      <c r="H737" s="331">
        <f t="shared" si="180"/>
        <v>0</v>
      </c>
      <c r="I737" s="331">
        <f t="shared" si="182"/>
        <v>0</v>
      </c>
    </row>
    <row r="738" spans="1:9" ht="12.75" hidden="1" customHeight="1">
      <c r="A738" s="304"/>
      <c r="B738" s="304"/>
      <c r="C738" s="304"/>
      <c r="D738" s="304"/>
      <c r="E738" s="304" t="s">
        <v>113</v>
      </c>
      <c r="F738" s="306" t="s">
        <v>8</v>
      </c>
      <c r="G738" s="320"/>
      <c r="H738" s="331">
        <f t="shared" si="180"/>
        <v>0</v>
      </c>
      <c r="I738" s="331">
        <f t="shared" si="182"/>
        <v>0</v>
      </c>
    </row>
    <row r="739" spans="1:9" ht="38.25" hidden="1">
      <c r="A739" s="304"/>
      <c r="B739" s="304"/>
      <c r="C739" s="304"/>
      <c r="D739" s="304" t="s">
        <v>188</v>
      </c>
      <c r="E739" s="304"/>
      <c r="F739" s="306" t="s">
        <v>448</v>
      </c>
      <c r="G739" s="320">
        <f t="shared" ref="G739" si="203">G740</f>
        <v>0</v>
      </c>
      <c r="H739" s="331">
        <f t="shared" si="180"/>
        <v>0</v>
      </c>
      <c r="I739" s="331">
        <f t="shared" si="182"/>
        <v>0</v>
      </c>
    </row>
    <row r="740" spans="1:9" ht="12.75" hidden="1" customHeight="1">
      <c r="A740" s="304"/>
      <c r="B740" s="304"/>
      <c r="C740" s="304"/>
      <c r="D740" s="304"/>
      <c r="E740" s="304" t="s">
        <v>113</v>
      </c>
      <c r="F740" s="306" t="s">
        <v>8</v>
      </c>
      <c r="G740" s="320"/>
      <c r="H740" s="331">
        <f t="shared" si="180"/>
        <v>0</v>
      </c>
      <c r="I740" s="331">
        <f t="shared" si="182"/>
        <v>0</v>
      </c>
    </row>
    <row r="741" spans="1:9" ht="12.75" hidden="1" customHeight="1">
      <c r="A741" s="304"/>
      <c r="B741" s="304"/>
      <c r="C741" s="304" t="s">
        <v>551</v>
      </c>
      <c r="D741" s="304"/>
      <c r="E741" s="304"/>
      <c r="F741" s="324" t="s">
        <v>552</v>
      </c>
      <c r="G741" s="320">
        <f>G742+G744</f>
        <v>879342</v>
      </c>
      <c r="H741" s="331">
        <f t="shared" si="180"/>
        <v>879342</v>
      </c>
      <c r="I741" s="331">
        <f t="shared" si="182"/>
        <v>0</v>
      </c>
    </row>
    <row r="742" spans="1:9" ht="38.25" hidden="1">
      <c r="A742" s="304"/>
      <c r="B742" s="304"/>
      <c r="C742" s="304"/>
      <c r="D742" s="304" t="s">
        <v>48</v>
      </c>
      <c r="E742" s="304"/>
      <c r="F742" s="324" t="s">
        <v>555</v>
      </c>
      <c r="G742" s="320">
        <f>G743</f>
        <v>373307</v>
      </c>
      <c r="H742" s="331">
        <f t="shared" si="180"/>
        <v>373307</v>
      </c>
      <c r="I742" s="331">
        <f t="shared" si="182"/>
        <v>0</v>
      </c>
    </row>
    <row r="743" spans="1:9" ht="12.75" hidden="1" customHeight="1">
      <c r="A743" s="304"/>
      <c r="B743" s="304"/>
      <c r="C743" s="304"/>
      <c r="D743" s="304"/>
      <c r="E743" s="304" t="s">
        <v>113</v>
      </c>
      <c r="F743" s="306" t="s">
        <v>8</v>
      </c>
      <c r="G743" s="320">
        <f>372792+515</f>
        <v>373307</v>
      </c>
      <c r="H743" s="331">
        <f t="shared" si="180"/>
        <v>373307</v>
      </c>
      <c r="I743" s="331">
        <f t="shared" si="182"/>
        <v>0</v>
      </c>
    </row>
    <row r="744" spans="1:9" ht="12.75" hidden="1" customHeight="1">
      <c r="A744" s="304"/>
      <c r="B744" s="304"/>
      <c r="C744" s="304"/>
      <c r="D744" s="304" t="s">
        <v>185</v>
      </c>
      <c r="E744" s="304"/>
      <c r="F744" s="306" t="s">
        <v>608</v>
      </c>
      <c r="G744" s="320">
        <f>G745</f>
        <v>506035</v>
      </c>
      <c r="H744" s="331">
        <f t="shared" si="180"/>
        <v>506035</v>
      </c>
      <c r="I744" s="331">
        <f t="shared" si="182"/>
        <v>0</v>
      </c>
    </row>
    <row r="745" spans="1:9" ht="12.75" hidden="1" customHeight="1">
      <c r="A745" s="304"/>
      <c r="B745" s="304"/>
      <c r="C745" s="304"/>
      <c r="D745" s="304"/>
      <c r="E745" s="304" t="s">
        <v>113</v>
      </c>
      <c r="F745" s="306" t="s">
        <v>8</v>
      </c>
      <c r="G745" s="320">
        <v>506035</v>
      </c>
      <c r="H745" s="331">
        <f t="shared" si="180"/>
        <v>506035</v>
      </c>
      <c r="I745" s="331">
        <f t="shared" si="182"/>
        <v>0</v>
      </c>
    </row>
    <row r="746" spans="1:9" ht="25.5" hidden="1">
      <c r="A746" s="304"/>
      <c r="B746" s="304" t="s">
        <v>36</v>
      </c>
      <c r="C746" s="304"/>
      <c r="D746" s="304"/>
      <c r="E746" s="304"/>
      <c r="F746" s="306" t="s">
        <v>359</v>
      </c>
      <c r="G746" s="320">
        <f t="shared" ref="G746:G748" si="204">G747</f>
        <v>198444</v>
      </c>
      <c r="H746" s="331">
        <f t="shared" si="180"/>
        <v>198444</v>
      </c>
      <c r="I746" s="331">
        <f t="shared" si="182"/>
        <v>0</v>
      </c>
    </row>
    <row r="747" spans="1:9" ht="25.5" hidden="1" customHeight="1">
      <c r="A747" s="304"/>
      <c r="B747" s="304"/>
      <c r="C747" s="304" t="s">
        <v>351</v>
      </c>
      <c r="D747" s="304"/>
      <c r="E747" s="304"/>
      <c r="F747" s="306" t="s">
        <v>251</v>
      </c>
      <c r="G747" s="320">
        <f t="shared" ref="G747" si="205">G748+G750+G751+G752</f>
        <v>198444</v>
      </c>
      <c r="H747" s="331">
        <f t="shared" si="180"/>
        <v>198444</v>
      </c>
      <c r="I747" s="331">
        <f t="shared" si="182"/>
        <v>0</v>
      </c>
    </row>
    <row r="748" spans="1:9" ht="25.5" hidden="1" customHeight="1">
      <c r="A748" s="304"/>
      <c r="B748" s="304"/>
      <c r="C748" s="304"/>
      <c r="D748" s="304" t="s">
        <v>360</v>
      </c>
      <c r="E748" s="304"/>
      <c r="F748" s="306" t="s">
        <v>361</v>
      </c>
      <c r="G748" s="320">
        <f t="shared" si="204"/>
        <v>0</v>
      </c>
      <c r="H748" s="331">
        <f t="shared" si="180"/>
        <v>0</v>
      </c>
      <c r="I748" s="331">
        <f t="shared" si="182"/>
        <v>0</v>
      </c>
    </row>
    <row r="749" spans="1:9" ht="12.75" hidden="1" customHeight="1">
      <c r="A749" s="304"/>
      <c r="B749" s="304"/>
      <c r="C749" s="304"/>
      <c r="D749" s="304"/>
      <c r="E749" s="304" t="s">
        <v>113</v>
      </c>
      <c r="F749" s="306" t="s">
        <v>8</v>
      </c>
      <c r="G749" s="320"/>
      <c r="H749" s="331">
        <f t="shared" ref="H749:H812" si="206">G749</f>
        <v>0</v>
      </c>
      <c r="I749" s="331">
        <f t="shared" si="182"/>
        <v>0</v>
      </c>
    </row>
    <row r="750" spans="1:9" ht="12.75" hidden="1" customHeight="1">
      <c r="A750" s="304"/>
      <c r="B750" s="304"/>
      <c r="C750" s="304"/>
      <c r="D750" s="304" t="s">
        <v>504</v>
      </c>
      <c r="E750" s="304"/>
      <c r="F750" s="306" t="s">
        <v>505</v>
      </c>
      <c r="G750" s="320">
        <f>123026-17087+69305</f>
        <v>175244</v>
      </c>
      <c r="H750" s="331">
        <f t="shared" si="206"/>
        <v>175244</v>
      </c>
      <c r="I750" s="331">
        <f t="shared" ref="I750:I813" si="207">G750-H750</f>
        <v>0</v>
      </c>
    </row>
    <row r="751" spans="1:9" ht="12.75" hidden="1" customHeight="1">
      <c r="A751" s="304"/>
      <c r="B751" s="304"/>
      <c r="C751" s="304"/>
      <c r="D751" s="304" t="s">
        <v>186</v>
      </c>
      <c r="E751" s="304"/>
      <c r="F751" s="306" t="s">
        <v>506</v>
      </c>
      <c r="G751" s="320">
        <v>11200</v>
      </c>
      <c r="H751" s="331">
        <f t="shared" si="206"/>
        <v>11200</v>
      </c>
      <c r="I751" s="331">
        <f t="shared" si="207"/>
        <v>0</v>
      </c>
    </row>
    <row r="752" spans="1:9" ht="12.75" hidden="1" customHeight="1">
      <c r="A752" s="304"/>
      <c r="B752" s="304"/>
      <c r="C752" s="304"/>
      <c r="D752" s="304" t="s">
        <v>507</v>
      </c>
      <c r="E752" s="304"/>
      <c r="F752" s="306" t="s">
        <v>508</v>
      </c>
      <c r="G752" s="320">
        <f>49500-37500</f>
        <v>12000</v>
      </c>
      <c r="H752" s="331">
        <f t="shared" si="206"/>
        <v>12000</v>
      </c>
      <c r="I752" s="331">
        <f t="shared" si="207"/>
        <v>0</v>
      </c>
    </row>
    <row r="753" spans="1:9" ht="25.5" hidden="1">
      <c r="A753" s="304" t="s">
        <v>38</v>
      </c>
      <c r="B753" s="304"/>
      <c r="C753" s="304"/>
      <c r="D753" s="304"/>
      <c r="E753" s="304"/>
      <c r="F753" s="306" t="s">
        <v>78</v>
      </c>
      <c r="G753" s="320">
        <f t="shared" ref="G753" si="208">G754</f>
        <v>8456650</v>
      </c>
      <c r="H753" s="331">
        <f t="shared" si="206"/>
        <v>8456650</v>
      </c>
      <c r="I753" s="331">
        <f t="shared" si="207"/>
        <v>0</v>
      </c>
    </row>
    <row r="754" spans="1:9" hidden="1">
      <c r="A754" s="304"/>
      <c r="B754" s="304" t="s">
        <v>32</v>
      </c>
      <c r="C754" s="304"/>
      <c r="D754" s="304"/>
      <c r="E754" s="304"/>
      <c r="F754" s="306" t="s">
        <v>79</v>
      </c>
      <c r="G754" s="320">
        <f>G762+G755</f>
        <v>8456650</v>
      </c>
      <c r="H754" s="331">
        <f t="shared" si="206"/>
        <v>8456650</v>
      </c>
      <c r="I754" s="331">
        <f t="shared" si="207"/>
        <v>0</v>
      </c>
    </row>
    <row r="755" spans="1:9" ht="25.5" hidden="1">
      <c r="A755" s="304"/>
      <c r="B755" s="304"/>
      <c r="C755" s="304" t="s">
        <v>553</v>
      </c>
      <c r="D755" s="304"/>
      <c r="E755" s="304"/>
      <c r="F755" s="324" t="s">
        <v>554</v>
      </c>
      <c r="G755" s="320">
        <f>G756+G760+G758</f>
        <v>497008</v>
      </c>
      <c r="H755" s="331">
        <f t="shared" si="206"/>
        <v>497008</v>
      </c>
      <c r="I755" s="331">
        <f t="shared" si="207"/>
        <v>0</v>
      </c>
    </row>
    <row r="756" spans="1:9" ht="25.5" hidden="1">
      <c r="A756" s="304"/>
      <c r="B756" s="304"/>
      <c r="C756" s="304"/>
      <c r="D756" s="304" t="s">
        <v>48</v>
      </c>
      <c r="E756" s="304"/>
      <c r="F756" s="324" t="s">
        <v>556</v>
      </c>
      <c r="G756" s="320">
        <f t="shared" ref="G756" si="209">G757</f>
        <v>433404</v>
      </c>
      <c r="H756" s="331">
        <f t="shared" si="206"/>
        <v>433404</v>
      </c>
      <c r="I756" s="331">
        <f t="shared" si="207"/>
        <v>0</v>
      </c>
    </row>
    <row r="757" spans="1:9" hidden="1">
      <c r="A757" s="304"/>
      <c r="B757" s="304"/>
      <c r="C757" s="304"/>
      <c r="D757" s="304"/>
      <c r="E757" s="304" t="s">
        <v>113</v>
      </c>
      <c r="F757" s="306" t="s">
        <v>8</v>
      </c>
      <c r="G757" s="320">
        <f>350363+515+52280+30246</f>
        <v>433404</v>
      </c>
      <c r="H757" s="331">
        <f t="shared" si="206"/>
        <v>433404</v>
      </c>
      <c r="I757" s="331">
        <f t="shared" si="207"/>
        <v>0</v>
      </c>
    </row>
    <row r="758" spans="1:9" hidden="1">
      <c r="A758" s="304"/>
      <c r="B758" s="304"/>
      <c r="C758" s="304"/>
      <c r="D758" s="323" t="s">
        <v>218</v>
      </c>
      <c r="E758" s="323"/>
      <c r="F758" s="306" t="s">
        <v>661</v>
      </c>
      <c r="G758" s="320">
        <f>G759</f>
        <v>50000</v>
      </c>
      <c r="H758" s="331">
        <f t="shared" si="206"/>
        <v>50000</v>
      </c>
      <c r="I758" s="331">
        <f t="shared" si="207"/>
        <v>0</v>
      </c>
    </row>
    <row r="759" spans="1:9" hidden="1">
      <c r="A759" s="304"/>
      <c r="B759" s="304"/>
      <c r="C759" s="304"/>
      <c r="D759" s="323"/>
      <c r="E759" s="323" t="s">
        <v>113</v>
      </c>
      <c r="F759" s="306" t="s">
        <v>8</v>
      </c>
      <c r="G759" s="320">
        <v>50000</v>
      </c>
      <c r="H759" s="331">
        <f t="shared" si="206"/>
        <v>50000</v>
      </c>
      <c r="I759" s="331">
        <f t="shared" si="207"/>
        <v>0</v>
      </c>
    </row>
    <row r="760" spans="1:9" ht="25.5" hidden="1">
      <c r="A760" s="304"/>
      <c r="B760" s="304"/>
      <c r="C760" s="304"/>
      <c r="D760" s="323" t="s">
        <v>66</v>
      </c>
      <c r="E760" s="323"/>
      <c r="F760" s="306" t="s">
        <v>89</v>
      </c>
      <c r="G760" s="320">
        <f>G761</f>
        <v>13604</v>
      </c>
      <c r="H760" s="331">
        <f t="shared" si="206"/>
        <v>13604</v>
      </c>
      <c r="I760" s="331">
        <f t="shared" si="207"/>
        <v>0</v>
      </c>
    </row>
    <row r="761" spans="1:9" hidden="1">
      <c r="A761" s="304"/>
      <c r="B761" s="304"/>
      <c r="C761" s="304"/>
      <c r="D761" s="323"/>
      <c r="E761" s="323" t="s">
        <v>113</v>
      </c>
      <c r="F761" s="306" t="s">
        <v>8</v>
      </c>
      <c r="G761" s="320">
        <v>13604</v>
      </c>
      <c r="H761" s="331">
        <f t="shared" si="206"/>
        <v>13604</v>
      </c>
      <c r="I761" s="331">
        <f t="shared" si="207"/>
        <v>0</v>
      </c>
    </row>
    <row r="762" spans="1:9" ht="15" hidden="1" customHeight="1">
      <c r="A762" s="304"/>
      <c r="B762" s="304"/>
      <c r="C762" s="304">
        <v>373</v>
      </c>
      <c r="D762" s="304"/>
      <c r="E762" s="304"/>
      <c r="F762" s="306" t="s">
        <v>288</v>
      </c>
      <c r="G762" s="320">
        <f t="shared" ref="G762" si="210">G763+G765</f>
        <v>7959642</v>
      </c>
      <c r="H762" s="331">
        <f t="shared" si="206"/>
        <v>7959642</v>
      </c>
      <c r="I762" s="331">
        <f t="shared" si="207"/>
        <v>0</v>
      </c>
    </row>
    <row r="763" spans="1:9" ht="25.5" hidden="1">
      <c r="A763" s="304"/>
      <c r="B763" s="304"/>
      <c r="C763" s="304"/>
      <c r="D763" s="304" t="s">
        <v>48</v>
      </c>
      <c r="E763" s="304"/>
      <c r="F763" s="306" t="s">
        <v>289</v>
      </c>
      <c r="G763" s="320">
        <f t="shared" ref="G763" si="211">SUM(G764:G764)</f>
        <v>397884</v>
      </c>
      <c r="H763" s="331">
        <f t="shared" si="206"/>
        <v>397884</v>
      </c>
      <c r="I763" s="331">
        <f t="shared" si="207"/>
        <v>0</v>
      </c>
    </row>
    <row r="764" spans="1:9" ht="12.75" hidden="1" customHeight="1">
      <c r="A764" s="304"/>
      <c r="B764" s="304"/>
      <c r="C764" s="304"/>
      <c r="D764" s="304"/>
      <c r="E764" s="304" t="s">
        <v>113</v>
      </c>
      <c r="F764" s="306" t="s">
        <v>8</v>
      </c>
      <c r="G764" s="320">
        <f>335481+15000+47403</f>
        <v>397884</v>
      </c>
      <c r="H764" s="331">
        <f t="shared" si="206"/>
        <v>397884</v>
      </c>
      <c r="I764" s="331">
        <f t="shared" si="207"/>
        <v>0</v>
      </c>
    </row>
    <row r="765" spans="1:9" hidden="1">
      <c r="A765" s="304"/>
      <c r="B765" s="304"/>
      <c r="C765" s="304"/>
      <c r="D765" s="304" t="s">
        <v>49</v>
      </c>
      <c r="E765" s="304"/>
      <c r="F765" s="306" t="s">
        <v>174</v>
      </c>
      <c r="G765" s="320">
        <f t="shared" ref="G765" si="212">G766</f>
        <v>7561758</v>
      </c>
      <c r="H765" s="331">
        <f t="shared" si="206"/>
        <v>7561758</v>
      </c>
      <c r="I765" s="331">
        <f t="shared" si="207"/>
        <v>0</v>
      </c>
    </row>
    <row r="766" spans="1:9" ht="12.75" hidden="1" customHeight="1">
      <c r="A766" s="304"/>
      <c r="B766" s="304"/>
      <c r="C766" s="304"/>
      <c r="D766" s="304"/>
      <c r="E766" s="304" t="s">
        <v>113</v>
      </c>
      <c r="F766" s="306" t="s">
        <v>8</v>
      </c>
      <c r="G766" s="320">
        <f>5787621+687484-41583+3357+23664+91589+1000000+9626</f>
        <v>7561758</v>
      </c>
      <c r="H766" s="331">
        <f t="shared" si="206"/>
        <v>7561758</v>
      </c>
      <c r="I766" s="331">
        <f t="shared" si="207"/>
        <v>0</v>
      </c>
    </row>
    <row r="767" spans="1:9" hidden="1">
      <c r="A767" s="304" t="s">
        <v>39</v>
      </c>
      <c r="B767" s="304"/>
      <c r="C767" s="304"/>
      <c r="D767" s="304"/>
      <c r="E767" s="304"/>
      <c r="F767" s="306" t="s">
        <v>23</v>
      </c>
      <c r="G767" s="320">
        <f>G768+G785+G780</f>
        <v>107677623</v>
      </c>
      <c r="H767" s="331">
        <f t="shared" si="206"/>
        <v>107677623</v>
      </c>
      <c r="I767" s="331">
        <f t="shared" si="207"/>
        <v>0</v>
      </c>
    </row>
    <row r="768" spans="1:9" hidden="1">
      <c r="A768" s="304"/>
      <c r="B768" s="304" t="s">
        <v>31</v>
      </c>
      <c r="C768" s="304"/>
      <c r="D768" s="304"/>
      <c r="E768" s="304"/>
      <c r="F768" s="306" t="s">
        <v>24</v>
      </c>
      <c r="G768" s="320">
        <f>G769+G772</f>
        <v>57074464</v>
      </c>
      <c r="H768" s="331">
        <f t="shared" si="206"/>
        <v>57074464</v>
      </c>
      <c r="I768" s="331">
        <f t="shared" si="207"/>
        <v>0</v>
      </c>
    </row>
    <row r="769" spans="1:9" ht="14.25" hidden="1" customHeight="1">
      <c r="A769" s="304"/>
      <c r="B769" s="304"/>
      <c r="C769" s="304">
        <v>123</v>
      </c>
      <c r="D769" s="304"/>
      <c r="E769" s="304"/>
      <c r="F769" s="306" t="s">
        <v>429</v>
      </c>
      <c r="G769" s="320">
        <f t="shared" ref="G769:G770" si="213">G770</f>
        <v>0</v>
      </c>
      <c r="H769" s="331">
        <f t="shared" si="206"/>
        <v>0</v>
      </c>
      <c r="I769" s="331">
        <f t="shared" si="207"/>
        <v>0</v>
      </c>
    </row>
    <row r="770" spans="1:9" hidden="1">
      <c r="A770" s="304"/>
      <c r="B770" s="304"/>
      <c r="C770" s="304"/>
      <c r="D770" s="304" t="s">
        <v>234</v>
      </c>
      <c r="E770" s="304"/>
      <c r="F770" s="306" t="s">
        <v>523</v>
      </c>
      <c r="G770" s="320">
        <f t="shared" si="213"/>
        <v>0</v>
      </c>
      <c r="H770" s="331">
        <f t="shared" si="206"/>
        <v>0</v>
      </c>
      <c r="I770" s="331">
        <f t="shared" si="207"/>
        <v>0</v>
      </c>
    </row>
    <row r="771" spans="1:9" hidden="1">
      <c r="A771" s="304"/>
      <c r="B771" s="304"/>
      <c r="C771" s="304"/>
      <c r="D771" s="304"/>
      <c r="E771" s="304" t="s">
        <v>113</v>
      </c>
      <c r="F771" s="306" t="s">
        <v>8</v>
      </c>
      <c r="G771" s="320"/>
      <c r="H771" s="331">
        <f t="shared" si="206"/>
        <v>0</v>
      </c>
      <c r="I771" s="331">
        <f t="shared" si="207"/>
        <v>0</v>
      </c>
    </row>
    <row r="772" spans="1:9" ht="25.5" hidden="1">
      <c r="A772" s="304"/>
      <c r="B772" s="304"/>
      <c r="C772" s="304">
        <v>348</v>
      </c>
      <c r="D772" s="304"/>
      <c r="E772" s="304"/>
      <c r="F772" s="306" t="s">
        <v>197</v>
      </c>
      <c r="G772" s="320">
        <f>G773+G776+G778</f>
        <v>57074464</v>
      </c>
      <c r="H772" s="331">
        <f t="shared" si="206"/>
        <v>57074464</v>
      </c>
      <c r="I772" s="331">
        <f t="shared" si="207"/>
        <v>0</v>
      </c>
    </row>
    <row r="773" spans="1:9" hidden="1">
      <c r="A773" s="304"/>
      <c r="B773" s="304"/>
      <c r="C773" s="304"/>
      <c r="D773" s="304" t="s">
        <v>215</v>
      </c>
      <c r="E773" s="304"/>
      <c r="F773" s="306" t="s">
        <v>236</v>
      </c>
      <c r="G773" s="331">
        <f>SUM(G774:G775)</f>
        <v>24628589</v>
      </c>
      <c r="H773" s="331">
        <f t="shared" si="206"/>
        <v>24628589</v>
      </c>
      <c r="I773" s="331">
        <f t="shared" si="207"/>
        <v>0</v>
      </c>
    </row>
    <row r="774" spans="1:9" hidden="1">
      <c r="A774" s="304"/>
      <c r="B774" s="304"/>
      <c r="C774" s="304"/>
      <c r="D774" s="304"/>
      <c r="E774" s="308" t="s">
        <v>112</v>
      </c>
      <c r="F774" s="309" t="s">
        <v>128</v>
      </c>
      <c r="G774" s="331"/>
      <c r="H774" s="331">
        <f t="shared" si="206"/>
        <v>0</v>
      </c>
      <c r="I774" s="331">
        <f t="shared" si="207"/>
        <v>0</v>
      </c>
    </row>
    <row r="775" spans="1:9" ht="12.75" hidden="1" customHeight="1">
      <c r="A775" s="304"/>
      <c r="B775" s="304"/>
      <c r="C775" s="304"/>
      <c r="D775" s="304"/>
      <c r="E775" s="304" t="s">
        <v>113</v>
      </c>
      <c r="F775" s="306" t="s">
        <v>8</v>
      </c>
      <c r="G775" s="320">
        <f>25767899-12560109+11527835+1157521-1264557</f>
        <v>24628589</v>
      </c>
      <c r="H775" s="331">
        <f t="shared" si="206"/>
        <v>24628589</v>
      </c>
      <c r="I775" s="331">
        <f t="shared" si="207"/>
        <v>0</v>
      </c>
    </row>
    <row r="776" spans="1:9" ht="13.5" hidden="1" customHeight="1">
      <c r="A776" s="304"/>
      <c r="B776" s="304"/>
      <c r="C776" s="304"/>
      <c r="D776" s="304" t="s">
        <v>188</v>
      </c>
      <c r="E776" s="304"/>
      <c r="F776" s="306" t="s">
        <v>237</v>
      </c>
      <c r="G776" s="320">
        <f t="shared" ref="G776" si="214">SUM(G777:G777)</f>
        <v>414409</v>
      </c>
      <c r="H776" s="331">
        <f t="shared" si="206"/>
        <v>414409</v>
      </c>
      <c r="I776" s="331">
        <f t="shared" si="207"/>
        <v>0</v>
      </c>
    </row>
    <row r="777" spans="1:9" hidden="1">
      <c r="A777" s="304"/>
      <c r="B777" s="304"/>
      <c r="C777" s="304"/>
      <c r="D777" s="304"/>
      <c r="E777" s="304" t="s">
        <v>113</v>
      </c>
      <c r="F777" s="306" t="s">
        <v>8</v>
      </c>
      <c r="G777" s="320">
        <f>2000000+2619+21361-1609571</f>
        <v>414409</v>
      </c>
      <c r="H777" s="331">
        <f t="shared" si="206"/>
        <v>414409</v>
      </c>
      <c r="I777" s="331">
        <f t="shared" si="207"/>
        <v>0</v>
      </c>
    </row>
    <row r="778" spans="1:9" hidden="1">
      <c r="A778" s="304"/>
      <c r="B778" s="304"/>
      <c r="C778" s="304"/>
      <c r="D778" s="304" t="s">
        <v>225</v>
      </c>
      <c r="E778" s="304"/>
      <c r="F778" s="306" t="s">
        <v>238</v>
      </c>
      <c r="G778" s="331">
        <f t="shared" ref="G778" si="215">SUM(G779:G779)</f>
        <v>32031466</v>
      </c>
      <c r="H778" s="331">
        <f t="shared" si="206"/>
        <v>32031466</v>
      </c>
      <c r="I778" s="331">
        <f t="shared" si="207"/>
        <v>0</v>
      </c>
    </row>
    <row r="779" spans="1:9" ht="12.75" hidden="1" customHeight="1">
      <c r="A779" s="304"/>
      <c r="B779" s="304"/>
      <c r="C779" s="304"/>
      <c r="D779" s="304"/>
      <c r="E779" s="304" t="s">
        <v>113</v>
      </c>
      <c r="F779" s="306" t="s">
        <v>8</v>
      </c>
      <c r="G779" s="331">
        <f>22000000+5850000+2683914+1497552</f>
        <v>32031466</v>
      </c>
      <c r="H779" s="331">
        <f t="shared" si="206"/>
        <v>32031466</v>
      </c>
      <c r="I779" s="331">
        <f t="shared" si="207"/>
        <v>0</v>
      </c>
    </row>
    <row r="780" spans="1:9" ht="12.75" hidden="1" customHeight="1">
      <c r="A780" s="304"/>
      <c r="B780" s="304" t="s">
        <v>34</v>
      </c>
      <c r="C780" s="304"/>
      <c r="D780" s="304"/>
      <c r="E780" s="304"/>
      <c r="F780" s="306" t="s">
        <v>609</v>
      </c>
      <c r="G780" s="331">
        <f>G781</f>
        <v>5177155</v>
      </c>
      <c r="H780" s="331">
        <f t="shared" si="206"/>
        <v>5177155</v>
      </c>
      <c r="I780" s="331">
        <f t="shared" si="207"/>
        <v>0</v>
      </c>
    </row>
    <row r="781" spans="1:9" ht="12.75" hidden="1" customHeight="1">
      <c r="A781" s="304"/>
      <c r="B781" s="304"/>
      <c r="C781" s="304" t="s">
        <v>610</v>
      </c>
      <c r="D781" s="304"/>
      <c r="E781" s="304"/>
      <c r="F781" s="306" t="s">
        <v>197</v>
      </c>
      <c r="G781" s="331">
        <f>G782</f>
        <v>5177155</v>
      </c>
      <c r="H781" s="331">
        <f t="shared" si="206"/>
        <v>5177155</v>
      </c>
      <c r="I781" s="331">
        <f t="shared" si="207"/>
        <v>0</v>
      </c>
    </row>
    <row r="782" spans="1:9" ht="12.75" hidden="1" customHeight="1">
      <c r="A782" s="304"/>
      <c r="B782" s="304"/>
      <c r="C782" s="304"/>
      <c r="D782" s="304" t="s">
        <v>611</v>
      </c>
      <c r="E782" s="304"/>
      <c r="F782" s="306" t="s">
        <v>612</v>
      </c>
      <c r="G782" s="331">
        <f>SUM(G783:G784)</f>
        <v>5177155</v>
      </c>
      <c r="H782" s="331">
        <f t="shared" si="206"/>
        <v>5177155</v>
      </c>
      <c r="I782" s="331">
        <f t="shared" si="207"/>
        <v>0</v>
      </c>
    </row>
    <row r="783" spans="1:9" ht="12.75" hidden="1" customHeight="1">
      <c r="A783" s="304"/>
      <c r="B783" s="304"/>
      <c r="C783" s="304"/>
      <c r="D783" s="304"/>
      <c r="E783" s="308" t="s">
        <v>112</v>
      </c>
      <c r="F783" s="309" t="s">
        <v>128</v>
      </c>
      <c r="G783" s="331">
        <f>5177155</f>
        <v>5177155</v>
      </c>
      <c r="H783" s="331">
        <f t="shared" si="206"/>
        <v>5177155</v>
      </c>
      <c r="I783" s="331">
        <f t="shared" si="207"/>
        <v>0</v>
      </c>
    </row>
    <row r="784" spans="1:9" ht="12.75" hidden="1" customHeight="1">
      <c r="A784" s="304"/>
      <c r="B784" s="304"/>
      <c r="C784" s="304"/>
      <c r="D784" s="304"/>
      <c r="E784" s="304" t="s">
        <v>113</v>
      </c>
      <c r="F784" s="306" t="s">
        <v>8</v>
      </c>
      <c r="G784" s="331">
        <f>12560109-11539606-50000-970503</f>
        <v>0</v>
      </c>
      <c r="H784" s="331">
        <f t="shared" si="206"/>
        <v>0</v>
      </c>
      <c r="I784" s="331">
        <f t="shared" si="207"/>
        <v>0</v>
      </c>
    </row>
    <row r="785" spans="1:9" hidden="1">
      <c r="A785" s="304"/>
      <c r="B785" s="304" t="s">
        <v>36</v>
      </c>
      <c r="C785" s="304"/>
      <c r="D785" s="304"/>
      <c r="E785" s="304"/>
      <c r="F785" s="306" t="s">
        <v>119</v>
      </c>
      <c r="G785" s="320">
        <f>G786+G795</f>
        <v>45426004</v>
      </c>
      <c r="H785" s="331">
        <f t="shared" si="206"/>
        <v>45426004</v>
      </c>
      <c r="I785" s="331">
        <f t="shared" si="207"/>
        <v>0</v>
      </c>
    </row>
    <row r="786" spans="1:9" ht="25.5" hidden="1">
      <c r="A786" s="304"/>
      <c r="B786" s="304"/>
      <c r="C786" s="304">
        <v>348</v>
      </c>
      <c r="D786" s="304"/>
      <c r="E786" s="304"/>
      <c r="F786" s="306" t="s">
        <v>197</v>
      </c>
      <c r="G786" s="320">
        <f t="shared" ref="G786" si="216">G787+G793+G789+G791</f>
        <v>45426004</v>
      </c>
      <c r="H786" s="331">
        <f t="shared" si="206"/>
        <v>45426004</v>
      </c>
      <c r="I786" s="331">
        <f t="shared" si="207"/>
        <v>0</v>
      </c>
    </row>
    <row r="787" spans="1:9" ht="25.5" hidden="1" customHeight="1">
      <c r="A787" s="304"/>
      <c r="B787" s="304"/>
      <c r="C787" s="304"/>
      <c r="D787" s="304" t="s">
        <v>48</v>
      </c>
      <c r="E787" s="304"/>
      <c r="F787" s="306" t="s">
        <v>239</v>
      </c>
      <c r="G787" s="320">
        <f t="shared" ref="G787" si="217">SUM(G788:G788)</f>
        <v>391878</v>
      </c>
      <c r="H787" s="331">
        <f t="shared" si="206"/>
        <v>391878</v>
      </c>
      <c r="I787" s="331">
        <f t="shared" si="207"/>
        <v>0</v>
      </c>
    </row>
    <row r="788" spans="1:9" ht="12.75" hidden="1" customHeight="1">
      <c r="A788" s="304"/>
      <c r="B788" s="304"/>
      <c r="C788" s="304"/>
      <c r="D788" s="304"/>
      <c r="E788" s="304" t="s">
        <v>113</v>
      </c>
      <c r="F788" s="306" t="s">
        <v>8</v>
      </c>
      <c r="G788" s="320">
        <v>391878</v>
      </c>
      <c r="H788" s="331">
        <f t="shared" si="206"/>
        <v>391878</v>
      </c>
      <c r="I788" s="331">
        <f t="shared" si="207"/>
        <v>0</v>
      </c>
    </row>
    <row r="789" spans="1:9" hidden="1">
      <c r="A789" s="304"/>
      <c r="B789" s="304"/>
      <c r="C789" s="304"/>
      <c r="D789" s="304" t="s">
        <v>49</v>
      </c>
      <c r="E789" s="304"/>
      <c r="F789" s="306" t="s">
        <v>174</v>
      </c>
      <c r="G789" s="320">
        <f t="shared" ref="G789" si="218">G790</f>
        <v>7000</v>
      </c>
      <c r="H789" s="331">
        <f t="shared" si="206"/>
        <v>7000</v>
      </c>
      <c r="I789" s="331">
        <f t="shared" si="207"/>
        <v>0</v>
      </c>
    </row>
    <row r="790" spans="1:9" ht="12.75" hidden="1" customHeight="1">
      <c r="A790" s="304"/>
      <c r="B790" s="304"/>
      <c r="C790" s="304"/>
      <c r="D790" s="304"/>
      <c r="E790" s="304" t="s">
        <v>113</v>
      </c>
      <c r="F790" s="306" t="s">
        <v>8</v>
      </c>
      <c r="G790" s="320">
        <v>7000</v>
      </c>
      <c r="H790" s="331">
        <f t="shared" si="206"/>
        <v>7000</v>
      </c>
      <c r="I790" s="331">
        <f t="shared" si="207"/>
        <v>0</v>
      </c>
    </row>
    <row r="791" spans="1:9" ht="13.5" hidden="1" customHeight="1">
      <c r="A791" s="304"/>
      <c r="B791" s="304"/>
      <c r="C791" s="304"/>
      <c r="D791" s="304" t="s">
        <v>106</v>
      </c>
      <c r="E791" s="304"/>
      <c r="F791" s="306" t="s">
        <v>436</v>
      </c>
      <c r="G791" s="320">
        <f t="shared" ref="G791" si="219">SUM(G792:G792)</f>
        <v>185094</v>
      </c>
      <c r="H791" s="331">
        <f t="shared" si="206"/>
        <v>185094</v>
      </c>
      <c r="I791" s="331">
        <f t="shared" si="207"/>
        <v>0</v>
      </c>
    </row>
    <row r="792" spans="1:9" ht="12.75" hidden="1" customHeight="1">
      <c r="A792" s="304"/>
      <c r="B792" s="304"/>
      <c r="C792" s="304"/>
      <c r="D792" s="304"/>
      <c r="E792" s="304" t="s">
        <v>113</v>
      </c>
      <c r="F792" s="306" t="s">
        <v>8</v>
      </c>
      <c r="G792" s="320">
        <f>217863-32769</f>
        <v>185094</v>
      </c>
      <c r="H792" s="331">
        <f t="shared" si="206"/>
        <v>185094</v>
      </c>
      <c r="I792" s="331">
        <f t="shared" si="207"/>
        <v>0</v>
      </c>
    </row>
    <row r="793" spans="1:9" ht="25.5" hidden="1" customHeight="1">
      <c r="A793" s="304"/>
      <c r="B793" s="304"/>
      <c r="C793" s="304"/>
      <c r="D793" s="304" t="s">
        <v>202</v>
      </c>
      <c r="E793" s="304"/>
      <c r="F793" s="306" t="s">
        <v>240</v>
      </c>
      <c r="G793" s="320">
        <f t="shared" ref="G793" si="220">SUM(G794:G794)</f>
        <v>44842032</v>
      </c>
      <c r="H793" s="331">
        <f t="shared" si="206"/>
        <v>44842032</v>
      </c>
      <c r="I793" s="331">
        <f t="shared" si="207"/>
        <v>0</v>
      </c>
    </row>
    <row r="794" spans="1:9" hidden="1">
      <c r="A794" s="304"/>
      <c r="B794" s="304"/>
      <c r="C794" s="304"/>
      <c r="D794" s="304"/>
      <c r="E794" s="304" t="s">
        <v>113</v>
      </c>
      <c r="F794" s="306" t="s">
        <v>8</v>
      </c>
      <c r="G794" s="320">
        <v>44842032</v>
      </c>
      <c r="H794" s="331">
        <f t="shared" si="206"/>
        <v>44842032</v>
      </c>
      <c r="I794" s="331">
        <f t="shared" si="207"/>
        <v>0</v>
      </c>
    </row>
    <row r="795" spans="1:9" ht="25.5" hidden="1">
      <c r="A795" s="304"/>
      <c r="B795" s="304"/>
      <c r="C795" s="304">
        <v>373</v>
      </c>
      <c r="D795" s="304"/>
      <c r="E795" s="304"/>
      <c r="F795" s="306" t="s">
        <v>288</v>
      </c>
      <c r="G795" s="320">
        <f>G796</f>
        <v>0</v>
      </c>
      <c r="H795" s="331">
        <f t="shared" si="206"/>
        <v>0</v>
      </c>
      <c r="I795" s="331">
        <f t="shared" si="207"/>
        <v>0</v>
      </c>
    </row>
    <row r="796" spans="1:9" ht="12.75" hidden="1" customHeight="1">
      <c r="A796" s="304"/>
      <c r="B796" s="304"/>
      <c r="C796" s="304"/>
      <c r="D796" s="304" t="s">
        <v>255</v>
      </c>
      <c r="E796" s="304"/>
      <c r="F796" s="306" t="s">
        <v>236</v>
      </c>
      <c r="G796" s="320">
        <f>G797</f>
        <v>0</v>
      </c>
      <c r="H796" s="331">
        <f t="shared" si="206"/>
        <v>0</v>
      </c>
      <c r="I796" s="331">
        <f t="shared" si="207"/>
        <v>0</v>
      </c>
    </row>
    <row r="797" spans="1:9" ht="12.75" hidden="1" customHeight="1">
      <c r="A797" s="304"/>
      <c r="B797" s="304"/>
      <c r="C797" s="304"/>
      <c r="D797" s="304"/>
      <c r="E797" s="304" t="s">
        <v>113</v>
      </c>
      <c r="F797" s="306" t="s">
        <v>8</v>
      </c>
      <c r="G797" s="320">
        <f>572581-572581</f>
        <v>0</v>
      </c>
      <c r="H797" s="331">
        <f t="shared" si="206"/>
        <v>0</v>
      </c>
      <c r="I797" s="331">
        <f t="shared" si="207"/>
        <v>0</v>
      </c>
    </row>
    <row r="798" spans="1:9" ht="13.5" hidden="1" customHeight="1">
      <c r="A798" s="304" t="s">
        <v>40</v>
      </c>
      <c r="B798" s="304"/>
      <c r="C798" s="304"/>
      <c r="D798" s="304"/>
      <c r="E798" s="304"/>
      <c r="F798" s="306" t="s">
        <v>120</v>
      </c>
      <c r="G798" s="320">
        <f>G804+G819+G799</f>
        <v>30563940</v>
      </c>
      <c r="H798" s="331">
        <f t="shared" si="206"/>
        <v>30563940</v>
      </c>
      <c r="I798" s="331">
        <f t="shared" si="207"/>
        <v>0</v>
      </c>
    </row>
    <row r="799" spans="1:9" ht="15" hidden="1" customHeight="1">
      <c r="A799" s="304"/>
      <c r="B799" s="304" t="s">
        <v>31</v>
      </c>
      <c r="C799" s="304"/>
      <c r="D799" s="304"/>
      <c r="E799" s="304"/>
      <c r="F799" s="306" t="s">
        <v>322</v>
      </c>
      <c r="G799" s="320">
        <f t="shared" ref="G799:G800" si="221">G800</f>
        <v>4209164</v>
      </c>
      <c r="H799" s="331">
        <f t="shared" si="206"/>
        <v>4209164</v>
      </c>
      <c r="I799" s="331">
        <f t="shared" si="207"/>
        <v>0</v>
      </c>
    </row>
    <row r="800" spans="1:9" ht="25.5" hidden="1" customHeight="1">
      <c r="A800" s="304"/>
      <c r="B800" s="304"/>
      <c r="C800" s="304" t="s">
        <v>467</v>
      </c>
      <c r="D800" s="304"/>
      <c r="E800" s="304"/>
      <c r="F800" s="306" t="s">
        <v>468</v>
      </c>
      <c r="G800" s="320">
        <f t="shared" si="221"/>
        <v>4209164</v>
      </c>
      <c r="H800" s="331">
        <f t="shared" si="206"/>
        <v>4209164</v>
      </c>
      <c r="I800" s="331">
        <f t="shared" si="207"/>
        <v>0</v>
      </c>
    </row>
    <row r="801" spans="1:9" ht="25.5" hidden="1" customHeight="1">
      <c r="A801" s="304"/>
      <c r="B801" s="304"/>
      <c r="C801" s="304"/>
      <c r="D801" s="304" t="s">
        <v>321</v>
      </c>
      <c r="E801" s="304"/>
      <c r="F801" s="306" t="s">
        <v>323</v>
      </c>
      <c r="G801" s="320">
        <f>SUM(G802:G803)</f>
        <v>4209164</v>
      </c>
      <c r="H801" s="331">
        <f t="shared" si="206"/>
        <v>4209164</v>
      </c>
      <c r="I801" s="331">
        <f t="shared" si="207"/>
        <v>0</v>
      </c>
    </row>
    <row r="802" spans="1:9" ht="12.75" hidden="1" customHeight="1">
      <c r="A802" s="304"/>
      <c r="B802" s="304"/>
      <c r="C802" s="304"/>
      <c r="D802" s="304"/>
      <c r="E802" s="308" t="s">
        <v>112</v>
      </c>
      <c r="F802" s="309" t="s">
        <v>128</v>
      </c>
      <c r="G802" s="320">
        <v>2638663</v>
      </c>
      <c r="H802" s="331">
        <f t="shared" si="206"/>
        <v>2638663</v>
      </c>
      <c r="I802" s="331">
        <f t="shared" si="207"/>
        <v>0</v>
      </c>
    </row>
    <row r="803" spans="1:9" ht="12.75" hidden="1" customHeight="1">
      <c r="A803" s="304"/>
      <c r="B803" s="304"/>
      <c r="C803" s="304"/>
      <c r="D803" s="304"/>
      <c r="E803" s="304" t="s">
        <v>113</v>
      </c>
      <c r="F803" s="306" t="s">
        <v>8</v>
      </c>
      <c r="G803" s="320">
        <f>1156368+300000+487626+200000+17790+120154-711437</f>
        <v>1570501</v>
      </c>
      <c r="H803" s="331">
        <f t="shared" si="206"/>
        <v>1570501</v>
      </c>
      <c r="I803" s="331">
        <f t="shared" si="207"/>
        <v>0</v>
      </c>
    </row>
    <row r="804" spans="1:9" ht="13.5" hidden="1" customHeight="1">
      <c r="A804" s="304"/>
      <c r="B804" s="308" t="s">
        <v>33</v>
      </c>
      <c r="C804" s="308"/>
      <c r="D804" s="308"/>
      <c r="E804" s="308"/>
      <c r="F804" s="309" t="s">
        <v>90</v>
      </c>
      <c r="G804" s="325">
        <f>G808+G805</f>
        <v>2839337</v>
      </c>
      <c r="H804" s="331">
        <f t="shared" si="206"/>
        <v>2839337</v>
      </c>
      <c r="I804" s="331">
        <f t="shared" si="207"/>
        <v>0</v>
      </c>
    </row>
    <row r="805" spans="1:9" ht="25.5" hidden="1">
      <c r="A805" s="304"/>
      <c r="B805" s="308"/>
      <c r="C805" s="304" t="s">
        <v>467</v>
      </c>
      <c r="D805" s="304"/>
      <c r="E805" s="304"/>
      <c r="F805" s="306" t="s">
        <v>468</v>
      </c>
      <c r="G805" s="325">
        <f t="shared" ref="G805" si="222">G806</f>
        <v>300000</v>
      </c>
      <c r="H805" s="331">
        <f t="shared" si="206"/>
        <v>300000</v>
      </c>
      <c r="I805" s="331">
        <f t="shared" si="207"/>
        <v>0</v>
      </c>
    </row>
    <row r="806" spans="1:9" ht="25.5" hidden="1">
      <c r="A806" s="304"/>
      <c r="B806" s="308"/>
      <c r="C806" s="308"/>
      <c r="D806" s="304" t="s">
        <v>216</v>
      </c>
      <c r="E806" s="304"/>
      <c r="F806" s="306" t="s">
        <v>542</v>
      </c>
      <c r="G806" s="325">
        <f>SUM(G807:G807)</f>
        <v>300000</v>
      </c>
      <c r="H806" s="331">
        <f t="shared" si="206"/>
        <v>300000</v>
      </c>
      <c r="I806" s="331">
        <f t="shared" si="207"/>
        <v>0</v>
      </c>
    </row>
    <row r="807" spans="1:9" hidden="1">
      <c r="A807" s="304"/>
      <c r="B807" s="308"/>
      <c r="C807" s="308"/>
      <c r="D807" s="304"/>
      <c r="E807" s="304" t="s">
        <v>113</v>
      </c>
      <c r="F807" s="306" t="s">
        <v>8</v>
      </c>
      <c r="G807" s="325">
        <v>300000</v>
      </c>
      <c r="H807" s="331">
        <f t="shared" si="206"/>
        <v>300000</v>
      </c>
      <c r="I807" s="331">
        <f t="shared" si="207"/>
        <v>0</v>
      </c>
    </row>
    <row r="808" spans="1:9" ht="25.5" hidden="1">
      <c r="A808" s="304"/>
      <c r="B808" s="308"/>
      <c r="C808" s="304">
        <v>393</v>
      </c>
      <c r="D808" s="304"/>
      <c r="E808" s="304"/>
      <c r="F808" s="306" t="s">
        <v>294</v>
      </c>
      <c r="G808" s="325">
        <f t="shared" ref="G808" si="223">G813+G809+G815+G811+G817</f>
        <v>2539337</v>
      </c>
      <c r="H808" s="331">
        <f t="shared" si="206"/>
        <v>2539337</v>
      </c>
      <c r="I808" s="331">
        <f t="shared" si="207"/>
        <v>0</v>
      </c>
    </row>
    <row r="809" spans="1:9" hidden="1">
      <c r="A809" s="304"/>
      <c r="B809" s="308"/>
      <c r="C809" s="304"/>
      <c r="D809" s="304" t="s">
        <v>214</v>
      </c>
      <c r="E809" s="304"/>
      <c r="F809" s="306" t="s">
        <v>538</v>
      </c>
      <c r="G809" s="325">
        <f t="shared" ref="G809" si="224">SUM(G810:G810)</f>
        <v>150000</v>
      </c>
      <c r="H809" s="331">
        <f t="shared" si="206"/>
        <v>150000</v>
      </c>
      <c r="I809" s="331">
        <f t="shared" si="207"/>
        <v>0</v>
      </c>
    </row>
    <row r="810" spans="1:9" hidden="1">
      <c r="A810" s="304"/>
      <c r="B810" s="308"/>
      <c r="C810" s="304"/>
      <c r="D810" s="304"/>
      <c r="E810" s="304" t="s">
        <v>113</v>
      </c>
      <c r="F810" s="306" t="s">
        <v>8</v>
      </c>
      <c r="G810" s="325">
        <v>150000</v>
      </c>
      <c r="H810" s="331">
        <f t="shared" si="206"/>
        <v>150000</v>
      </c>
      <c r="I810" s="331">
        <f t="shared" si="207"/>
        <v>0</v>
      </c>
    </row>
    <row r="811" spans="1:9" hidden="1">
      <c r="A811" s="304"/>
      <c r="B811" s="308"/>
      <c r="C811" s="304"/>
      <c r="D811" s="304" t="s">
        <v>213</v>
      </c>
      <c r="E811" s="304"/>
      <c r="F811" s="306" t="s">
        <v>394</v>
      </c>
      <c r="G811" s="325">
        <f t="shared" ref="G811" si="225">G812</f>
        <v>589337</v>
      </c>
      <c r="H811" s="331">
        <f t="shared" si="206"/>
        <v>589337</v>
      </c>
      <c r="I811" s="331">
        <f t="shared" si="207"/>
        <v>0</v>
      </c>
    </row>
    <row r="812" spans="1:9" hidden="1">
      <c r="A812" s="304"/>
      <c r="B812" s="308"/>
      <c r="C812" s="304"/>
      <c r="D812" s="304"/>
      <c r="E812" s="304" t="s">
        <v>113</v>
      </c>
      <c r="F812" s="306" t="s">
        <v>8</v>
      </c>
      <c r="G812" s="325">
        <v>589337</v>
      </c>
      <c r="H812" s="331">
        <f t="shared" si="206"/>
        <v>589337</v>
      </c>
      <c r="I812" s="331">
        <f t="shared" si="207"/>
        <v>0</v>
      </c>
    </row>
    <row r="813" spans="1:9" ht="25.5" hidden="1">
      <c r="A813" s="304"/>
      <c r="B813" s="308"/>
      <c r="C813" s="308"/>
      <c r="D813" s="304" t="s">
        <v>253</v>
      </c>
      <c r="E813" s="304"/>
      <c r="F813" s="306" t="s">
        <v>539</v>
      </c>
      <c r="G813" s="325">
        <f t="shared" ref="G813" si="226">SUM(G814:G814)</f>
        <v>1800000</v>
      </c>
      <c r="H813" s="331">
        <f t="shared" ref="H813:H828" si="227">G813</f>
        <v>1800000</v>
      </c>
      <c r="I813" s="331">
        <f t="shared" si="207"/>
        <v>0</v>
      </c>
    </row>
    <row r="814" spans="1:9" hidden="1">
      <c r="A814" s="304"/>
      <c r="B814" s="308"/>
      <c r="C814" s="308"/>
      <c r="D814" s="304"/>
      <c r="E814" s="304" t="s">
        <v>113</v>
      </c>
      <c r="F814" s="306" t="s">
        <v>8</v>
      </c>
      <c r="G814" s="325">
        <v>1800000</v>
      </c>
      <c r="H814" s="331">
        <f t="shared" si="227"/>
        <v>1800000</v>
      </c>
      <c r="I814" s="331">
        <f t="shared" ref="I814:I828" si="228">G814-H814</f>
        <v>0</v>
      </c>
    </row>
    <row r="815" spans="1:9" hidden="1">
      <c r="A815" s="304"/>
      <c r="B815" s="308"/>
      <c r="C815" s="308"/>
      <c r="D815" s="304" t="s">
        <v>254</v>
      </c>
      <c r="E815" s="304"/>
      <c r="F815" s="306" t="s">
        <v>540</v>
      </c>
      <c r="G815" s="325">
        <f t="shared" ref="G815" si="229">SUM(G816:G816)</f>
        <v>0</v>
      </c>
      <c r="H815" s="331">
        <f t="shared" si="227"/>
        <v>0</v>
      </c>
      <c r="I815" s="331">
        <f t="shared" si="228"/>
        <v>0</v>
      </c>
    </row>
    <row r="816" spans="1:9" ht="12.75" hidden="1" customHeight="1">
      <c r="A816" s="304"/>
      <c r="B816" s="308"/>
      <c r="C816" s="308"/>
      <c r="D816" s="304"/>
      <c r="E816" s="304" t="s">
        <v>113</v>
      </c>
      <c r="F816" s="306" t="s">
        <v>8</v>
      </c>
      <c r="G816" s="325">
        <f>200000-200000</f>
        <v>0</v>
      </c>
      <c r="H816" s="331">
        <f t="shared" si="227"/>
        <v>0</v>
      </c>
      <c r="I816" s="331">
        <f t="shared" si="228"/>
        <v>0</v>
      </c>
    </row>
    <row r="817" spans="1:9" ht="25.5" hidden="1">
      <c r="A817" s="304"/>
      <c r="B817" s="308"/>
      <c r="C817" s="308"/>
      <c r="D817" s="304" t="s">
        <v>422</v>
      </c>
      <c r="E817" s="304"/>
      <c r="F817" s="306" t="s">
        <v>541</v>
      </c>
      <c r="G817" s="325">
        <f t="shared" ref="G817" si="230">SUM(G818:G818)</f>
        <v>0</v>
      </c>
      <c r="H817" s="331">
        <f t="shared" si="227"/>
        <v>0</v>
      </c>
      <c r="I817" s="331">
        <f t="shared" si="228"/>
        <v>0</v>
      </c>
    </row>
    <row r="818" spans="1:9" hidden="1">
      <c r="A818" s="304"/>
      <c r="B818" s="308"/>
      <c r="C818" s="308"/>
      <c r="D818" s="304"/>
      <c r="E818" s="304" t="s">
        <v>113</v>
      </c>
      <c r="F818" s="306" t="s">
        <v>8</v>
      </c>
      <c r="G818" s="325"/>
      <c r="H818" s="331">
        <f t="shared" si="227"/>
        <v>0</v>
      </c>
      <c r="I818" s="331">
        <f t="shared" si="228"/>
        <v>0</v>
      </c>
    </row>
    <row r="819" spans="1:9" hidden="1">
      <c r="A819" s="304"/>
      <c r="B819" s="304" t="s">
        <v>36</v>
      </c>
      <c r="C819" s="304"/>
      <c r="D819" s="304"/>
      <c r="E819" s="304"/>
      <c r="F819" s="306" t="s">
        <v>120</v>
      </c>
      <c r="G819" s="320">
        <f>G829+G843+G826+G837+G840+G834+G823+G820</f>
        <v>23515439</v>
      </c>
      <c r="H819" s="331">
        <f t="shared" si="227"/>
        <v>23515439</v>
      </c>
      <c r="I819" s="331">
        <f t="shared" si="228"/>
        <v>0</v>
      </c>
    </row>
    <row r="820" spans="1:9" ht="25.5" hidden="1">
      <c r="A820" s="304"/>
      <c r="B820" s="304"/>
      <c r="C820" s="304" t="s">
        <v>466</v>
      </c>
      <c r="D820" s="304"/>
      <c r="E820" s="304"/>
      <c r="F820" s="306" t="s">
        <v>465</v>
      </c>
      <c r="G820" s="320">
        <f t="shared" ref="G820:G821" si="231">G821</f>
        <v>8505188</v>
      </c>
      <c r="H820" s="331">
        <f t="shared" si="227"/>
        <v>8505188</v>
      </c>
      <c r="I820" s="331">
        <f t="shared" si="228"/>
        <v>0</v>
      </c>
    </row>
    <row r="821" spans="1:9" ht="25.5" hidden="1">
      <c r="A821" s="304"/>
      <c r="B821" s="304"/>
      <c r="C821" s="304"/>
      <c r="D821" s="304" t="s">
        <v>334</v>
      </c>
      <c r="E821" s="304"/>
      <c r="F821" s="306" t="s">
        <v>335</v>
      </c>
      <c r="G821" s="320">
        <f t="shared" si="231"/>
        <v>8505188</v>
      </c>
      <c r="H821" s="331">
        <f t="shared" si="227"/>
        <v>8505188</v>
      </c>
      <c r="I821" s="331">
        <f t="shared" si="228"/>
        <v>0</v>
      </c>
    </row>
    <row r="822" spans="1:9" ht="12.75" hidden="1" customHeight="1">
      <c r="A822" s="304"/>
      <c r="B822" s="304"/>
      <c r="C822" s="304"/>
      <c r="D822" s="304"/>
      <c r="E822" s="304" t="s">
        <v>113</v>
      </c>
      <c r="F822" s="306" t="s">
        <v>8</v>
      </c>
      <c r="G822" s="320">
        <f>15706718-5863537-50000-1287993</f>
        <v>8505188</v>
      </c>
      <c r="H822" s="331">
        <f t="shared" si="227"/>
        <v>8505188</v>
      </c>
      <c r="I822" s="331">
        <f t="shared" si="228"/>
        <v>0</v>
      </c>
    </row>
    <row r="823" spans="1:9" ht="25.5" hidden="1">
      <c r="A823" s="304"/>
      <c r="B823" s="304"/>
      <c r="C823" s="304" t="s">
        <v>467</v>
      </c>
      <c r="D823" s="304"/>
      <c r="E823" s="304"/>
      <c r="F823" s="306" t="s">
        <v>468</v>
      </c>
      <c r="G823" s="320">
        <f t="shared" ref="G823:G824" si="232">G824</f>
        <v>2132563</v>
      </c>
      <c r="H823" s="331">
        <f t="shared" si="227"/>
        <v>2132563</v>
      </c>
      <c r="I823" s="331">
        <f t="shared" si="228"/>
        <v>0</v>
      </c>
    </row>
    <row r="824" spans="1:9" ht="25.5" hidden="1">
      <c r="A824" s="304"/>
      <c r="B824" s="304"/>
      <c r="C824" s="304"/>
      <c r="D824" s="304" t="s">
        <v>334</v>
      </c>
      <c r="E824" s="304"/>
      <c r="F824" s="306" t="s">
        <v>335</v>
      </c>
      <c r="G824" s="320">
        <f t="shared" si="232"/>
        <v>2132563</v>
      </c>
      <c r="H824" s="331">
        <f t="shared" si="227"/>
        <v>2132563</v>
      </c>
      <c r="I824" s="331">
        <f t="shared" si="228"/>
        <v>0</v>
      </c>
    </row>
    <row r="825" spans="1:9" hidden="1">
      <c r="A825" s="304"/>
      <c r="B825" s="304"/>
      <c r="C825" s="304"/>
      <c r="D825" s="304"/>
      <c r="E825" s="304" t="s">
        <v>113</v>
      </c>
      <c r="F825" s="306" t="s">
        <v>8</v>
      </c>
      <c r="G825" s="320">
        <v>2132563</v>
      </c>
      <c r="H825" s="331">
        <f t="shared" si="227"/>
        <v>2132563</v>
      </c>
      <c r="I825" s="331">
        <f t="shared" si="228"/>
        <v>0</v>
      </c>
    </row>
    <row r="826" spans="1:9" s="293" customFormat="1" ht="15" hidden="1" customHeight="1">
      <c r="A826" s="316"/>
      <c r="B826" s="316"/>
      <c r="C826" s="316" t="s">
        <v>333</v>
      </c>
      <c r="D826" s="316"/>
      <c r="E826" s="316"/>
      <c r="F826" s="318" t="s">
        <v>263</v>
      </c>
      <c r="G826" s="319">
        <f t="shared" ref="G826:G827" si="233">G827</f>
        <v>68000</v>
      </c>
      <c r="H826" s="331">
        <f t="shared" si="227"/>
        <v>68000</v>
      </c>
      <c r="I826" s="331">
        <f t="shared" si="228"/>
        <v>0</v>
      </c>
    </row>
    <row r="827" spans="1:9" ht="25.5">
      <c r="A827" s="304"/>
      <c r="B827" s="304"/>
      <c r="C827" s="304"/>
      <c r="D827" s="304" t="s">
        <v>334</v>
      </c>
      <c r="E827" s="304"/>
      <c r="F827" s="306" t="s">
        <v>335</v>
      </c>
      <c r="G827" s="320">
        <f t="shared" si="233"/>
        <v>68000</v>
      </c>
      <c r="H827" s="331">
        <f t="shared" si="227"/>
        <v>68000</v>
      </c>
      <c r="I827" s="331">
        <f t="shared" si="228"/>
        <v>0</v>
      </c>
    </row>
    <row r="828" spans="1:9" ht="12.75" customHeight="1">
      <c r="A828" s="304"/>
      <c r="B828" s="304"/>
      <c r="C828" s="304"/>
      <c r="D828" s="304"/>
      <c r="E828" s="304" t="s">
        <v>113</v>
      </c>
      <c r="F828" s="306" t="s">
        <v>8</v>
      </c>
      <c r="G828" s="320">
        <v>68000</v>
      </c>
      <c r="H828" s="331">
        <f t="shared" si="227"/>
        <v>68000</v>
      </c>
      <c r="I828" s="331">
        <f t="shared" si="228"/>
        <v>0</v>
      </c>
    </row>
    <row r="829" spans="1:9" hidden="1">
      <c r="A829" s="11"/>
      <c r="B829" s="11"/>
      <c r="C829" s="11" t="s">
        <v>182</v>
      </c>
      <c r="D829" s="11"/>
      <c r="E829" s="11"/>
      <c r="F829" s="1" t="s">
        <v>180</v>
      </c>
      <c r="G829" s="109">
        <f t="shared" ref="G829" si="234">G830</f>
        <v>11400698</v>
      </c>
    </row>
    <row r="830" spans="1:9" ht="25.5" hidden="1">
      <c r="A830" s="11"/>
      <c r="B830" s="11"/>
      <c r="C830" s="11"/>
      <c r="D830" s="11" t="s">
        <v>195</v>
      </c>
      <c r="E830" s="11"/>
      <c r="F830" s="1" t="s">
        <v>309</v>
      </c>
      <c r="G830" s="109">
        <f t="shared" ref="G830" si="235">SUM(G831:G833)</f>
        <v>11400698</v>
      </c>
    </row>
    <row r="831" spans="1:9" ht="51" hidden="1" customHeight="1">
      <c r="A831" s="11"/>
      <c r="B831" s="11"/>
      <c r="C831" s="11"/>
      <c r="D831" s="11"/>
      <c r="E831" s="11" t="s">
        <v>313</v>
      </c>
      <c r="F831" s="1" t="s">
        <v>310</v>
      </c>
      <c r="G831" s="109">
        <f>4000000-599526</f>
        <v>3400474</v>
      </c>
    </row>
    <row r="832" spans="1:9" ht="25.5" hidden="1" customHeight="1">
      <c r="A832" s="11"/>
      <c r="B832" s="11"/>
      <c r="C832" s="11"/>
      <c r="D832" s="11"/>
      <c r="E832" s="11" t="s">
        <v>314</v>
      </c>
      <c r="F832" s="1" t="s">
        <v>311</v>
      </c>
      <c r="G832" s="109">
        <f>8500000-499776</f>
        <v>8000224</v>
      </c>
    </row>
    <row r="833" spans="1:8" ht="25.5" hidden="1">
      <c r="A833" s="11"/>
      <c r="B833" s="11"/>
      <c r="C833" s="11"/>
      <c r="D833" s="11"/>
      <c r="E833" s="11" t="s">
        <v>315</v>
      </c>
      <c r="F833" s="1" t="s">
        <v>312</v>
      </c>
      <c r="G833" s="109"/>
    </row>
    <row r="834" spans="1:8" ht="25.5" hidden="1">
      <c r="A834" s="11"/>
      <c r="B834" s="11"/>
      <c r="C834" s="11" t="s">
        <v>204</v>
      </c>
      <c r="D834" s="11"/>
      <c r="E834" s="11"/>
      <c r="F834" s="1" t="s">
        <v>183</v>
      </c>
      <c r="G834" s="109">
        <f>G835</f>
        <v>16000</v>
      </c>
    </row>
    <row r="835" spans="1:8" ht="64.5" hidden="1" customHeight="1">
      <c r="A835" s="11"/>
      <c r="B835" s="11"/>
      <c r="C835" s="11"/>
      <c r="D835" s="11" t="s">
        <v>49</v>
      </c>
      <c r="E835" s="11"/>
      <c r="F835" s="1" t="s">
        <v>336</v>
      </c>
      <c r="G835" s="109">
        <f t="shared" ref="G835" si="236">G836</f>
        <v>16000</v>
      </c>
    </row>
    <row r="836" spans="1:8" ht="12.75" hidden="1" customHeight="1">
      <c r="A836" s="11"/>
      <c r="B836" s="11"/>
      <c r="C836" s="11"/>
      <c r="D836" s="11"/>
      <c r="E836" s="11" t="s">
        <v>113</v>
      </c>
      <c r="F836" s="1" t="s">
        <v>8</v>
      </c>
      <c r="G836" s="109">
        <v>16000</v>
      </c>
    </row>
    <row r="837" spans="1:8" ht="13.5" hidden="1" customHeight="1">
      <c r="A837" s="11"/>
      <c r="B837" s="11"/>
      <c r="C837" s="57">
        <v>360</v>
      </c>
      <c r="D837" s="12"/>
      <c r="E837" s="12"/>
      <c r="F837" s="12" t="s">
        <v>273</v>
      </c>
      <c r="G837" s="109">
        <f t="shared" ref="G837:G838" si="237">G838</f>
        <v>146506</v>
      </c>
    </row>
    <row r="838" spans="1:8" ht="25.5" hidden="1">
      <c r="A838" s="11"/>
      <c r="B838" s="11"/>
      <c r="C838" s="11"/>
      <c r="D838" s="11" t="s">
        <v>334</v>
      </c>
      <c r="E838" s="11"/>
      <c r="F838" s="1" t="s">
        <v>335</v>
      </c>
      <c r="G838" s="109">
        <f t="shared" si="237"/>
        <v>146506</v>
      </c>
    </row>
    <row r="839" spans="1:8" ht="12.75" hidden="1" customHeight="1">
      <c r="A839" s="11"/>
      <c r="B839" s="11"/>
      <c r="C839" s="11"/>
      <c r="D839" s="11"/>
      <c r="E839" s="11" t="s">
        <v>113</v>
      </c>
      <c r="F839" s="1" t="s">
        <v>8</v>
      </c>
      <c r="G839" s="109">
        <v>146506</v>
      </c>
    </row>
    <row r="840" spans="1:8" ht="25.5" hidden="1">
      <c r="A840" s="11"/>
      <c r="B840" s="11"/>
      <c r="C840" s="11">
        <v>381</v>
      </c>
      <c r="D840" s="11"/>
      <c r="E840" s="11"/>
      <c r="F840" s="1" t="s">
        <v>290</v>
      </c>
      <c r="G840" s="109">
        <f t="shared" ref="G840:G841" si="238">G841</f>
        <v>763060</v>
      </c>
    </row>
    <row r="841" spans="1:8" ht="25.5" hidden="1">
      <c r="A841" s="11"/>
      <c r="B841" s="11"/>
      <c r="C841" s="11"/>
      <c r="D841" s="11" t="s">
        <v>334</v>
      </c>
      <c r="E841" s="11"/>
      <c r="F841" s="1" t="s">
        <v>335</v>
      </c>
      <c r="G841" s="109">
        <f t="shared" si="238"/>
        <v>763060</v>
      </c>
    </row>
    <row r="842" spans="1:8" ht="12.75" hidden="1" customHeight="1">
      <c r="A842" s="11"/>
      <c r="B842" s="11"/>
      <c r="C842" s="11"/>
      <c r="D842" s="11"/>
      <c r="E842" s="11" t="s">
        <v>113</v>
      </c>
      <c r="F842" s="1" t="s">
        <v>8</v>
      </c>
      <c r="G842" s="109">
        <v>763060</v>
      </c>
    </row>
    <row r="843" spans="1:8" ht="25.5" hidden="1" customHeight="1">
      <c r="A843" s="11"/>
      <c r="B843" s="11"/>
      <c r="C843" s="11">
        <v>393</v>
      </c>
      <c r="D843" s="11"/>
      <c r="E843" s="11"/>
      <c r="F843" s="1" t="s">
        <v>294</v>
      </c>
      <c r="G843" s="109">
        <f t="shared" ref="G843" si="239">G844+G846</f>
        <v>483424</v>
      </c>
    </row>
    <row r="844" spans="1:8" ht="38.25" hidden="1">
      <c r="A844" s="11"/>
      <c r="B844" s="11"/>
      <c r="C844" s="11"/>
      <c r="D844" s="11" t="s">
        <v>48</v>
      </c>
      <c r="E844" s="11"/>
      <c r="F844" s="1" t="s">
        <v>295</v>
      </c>
      <c r="G844" s="109">
        <f t="shared" ref="G844" si="240">SUM(G845:G845)</f>
        <v>483424</v>
      </c>
    </row>
    <row r="845" spans="1:8" s="3" customFormat="1" hidden="1">
      <c r="A845" s="11"/>
      <c r="B845" s="11"/>
      <c r="C845" s="11"/>
      <c r="D845" s="11"/>
      <c r="E845" s="11" t="s">
        <v>113</v>
      </c>
      <c r="F845" s="1" t="s">
        <v>8</v>
      </c>
      <c r="G845" s="109">
        <f>373424+110000</f>
        <v>483424</v>
      </c>
      <c r="H845" s="59"/>
    </row>
    <row r="846" spans="1:8" s="3" customFormat="1" hidden="1">
      <c r="A846" s="11"/>
      <c r="B846" s="11"/>
      <c r="C846" s="11"/>
      <c r="D846" s="11" t="s">
        <v>49</v>
      </c>
      <c r="E846" s="11"/>
      <c r="F846" s="1" t="s">
        <v>174</v>
      </c>
      <c r="G846" s="109">
        <f t="shared" ref="G846" si="241">G847</f>
        <v>0</v>
      </c>
      <c r="H846" s="59"/>
    </row>
    <row r="847" spans="1:8" s="3" customFormat="1" ht="12.75" hidden="1" customHeight="1">
      <c r="A847" s="11"/>
      <c r="B847" s="11"/>
      <c r="C847" s="11"/>
      <c r="D847" s="11"/>
      <c r="E847" s="11" t="s">
        <v>113</v>
      </c>
      <c r="F847" s="1" t="s">
        <v>8</v>
      </c>
      <c r="G847" s="109"/>
      <c r="H847" s="59"/>
    </row>
    <row r="848" spans="1:8" s="3" customFormat="1" hidden="1">
      <c r="A848" s="11" t="s">
        <v>41</v>
      </c>
      <c r="B848" s="11"/>
      <c r="C848" s="11"/>
      <c r="D848" s="11"/>
      <c r="E848" s="11"/>
      <c r="F848" s="1" t="s">
        <v>121</v>
      </c>
      <c r="G848" s="109">
        <f t="shared" ref="G848:G849" si="242">G849</f>
        <v>8724771</v>
      </c>
      <c r="H848" s="59"/>
    </row>
    <row r="849" spans="1:8" s="3" customFormat="1" hidden="1">
      <c r="A849" s="11"/>
      <c r="B849" s="11" t="s">
        <v>31</v>
      </c>
      <c r="C849" s="11"/>
      <c r="D849" s="11"/>
      <c r="E849" s="11"/>
      <c r="F849" s="1" t="s">
        <v>121</v>
      </c>
      <c r="G849" s="109">
        <f t="shared" si="242"/>
        <v>8724771</v>
      </c>
      <c r="H849" s="59"/>
    </row>
    <row r="850" spans="1:8" s="3" customFormat="1" hidden="1">
      <c r="A850" s="11"/>
      <c r="B850" s="11"/>
      <c r="C850" s="11">
        <v>356</v>
      </c>
      <c r="D850" s="11"/>
      <c r="E850" s="11"/>
      <c r="F850" s="1" t="s">
        <v>180</v>
      </c>
      <c r="G850" s="109">
        <f t="shared" ref="G850" si="243">G851+G853</f>
        <v>8724771</v>
      </c>
      <c r="H850" s="59"/>
    </row>
    <row r="851" spans="1:8" s="3" customFormat="1" hidden="1">
      <c r="A851" s="11"/>
      <c r="B851" s="11"/>
      <c r="C851" s="11"/>
      <c r="D851" s="11" t="s">
        <v>214</v>
      </c>
      <c r="E851" s="11"/>
      <c r="F851" s="1" t="s">
        <v>270</v>
      </c>
      <c r="G851" s="109">
        <f t="shared" ref="G851" si="244">G852</f>
        <v>8722890</v>
      </c>
      <c r="H851" s="59"/>
    </row>
    <row r="852" spans="1:8" s="3" customFormat="1" hidden="1">
      <c r="A852" s="11"/>
      <c r="B852" s="11"/>
      <c r="C852" s="11"/>
      <c r="D852" s="11"/>
      <c r="E852" s="11">
        <v>100</v>
      </c>
      <c r="F852" s="1" t="s">
        <v>271</v>
      </c>
      <c r="G852" s="109">
        <f>4171645+4117848+433397</f>
        <v>8722890</v>
      </c>
      <c r="H852" s="59"/>
    </row>
    <row r="853" spans="1:8" ht="38.25" hidden="1">
      <c r="A853" s="11"/>
      <c r="B853" s="11"/>
      <c r="C853" s="11"/>
      <c r="D853" s="11" t="s">
        <v>254</v>
      </c>
      <c r="E853" s="11"/>
      <c r="F853" s="1" t="s">
        <v>272</v>
      </c>
      <c r="G853" s="109">
        <f t="shared" ref="G853" si="245">G854</f>
        <v>1881</v>
      </c>
    </row>
    <row r="854" spans="1:8" ht="12.75" hidden="1" customHeight="1">
      <c r="A854" s="11"/>
      <c r="B854" s="11"/>
      <c r="C854" s="11"/>
      <c r="D854" s="11"/>
      <c r="E854" s="11" t="s">
        <v>113</v>
      </c>
      <c r="F854" s="1" t="s">
        <v>8</v>
      </c>
      <c r="G854" s="109">
        <v>1881</v>
      </c>
    </row>
    <row r="855" spans="1:8" hidden="1">
      <c r="A855" s="11" t="s">
        <v>42</v>
      </c>
      <c r="B855" s="11"/>
      <c r="C855" s="11"/>
      <c r="D855" s="11"/>
      <c r="E855" s="11"/>
      <c r="F855" s="1" t="s">
        <v>18</v>
      </c>
      <c r="G855" s="109">
        <f t="shared" ref="G855:G856" si="246">G856</f>
        <v>1417200</v>
      </c>
    </row>
    <row r="856" spans="1:8" hidden="1">
      <c r="A856" s="11"/>
      <c r="B856" s="11" t="s">
        <v>31</v>
      </c>
      <c r="C856" s="11"/>
      <c r="D856" s="11"/>
      <c r="E856" s="11"/>
      <c r="F856" s="1" t="s">
        <v>18</v>
      </c>
      <c r="G856" s="109">
        <f t="shared" si="246"/>
        <v>1417200</v>
      </c>
    </row>
    <row r="857" spans="1:8" hidden="1">
      <c r="A857" s="11"/>
      <c r="B857" s="11"/>
      <c r="C857" s="11">
        <v>356</v>
      </c>
      <c r="D857" s="11"/>
      <c r="E857" s="11"/>
      <c r="F857" s="1" t="s">
        <v>180</v>
      </c>
      <c r="G857" s="109">
        <f>G858+G860+G862</f>
        <v>1417200</v>
      </c>
    </row>
    <row r="858" spans="1:8" ht="12.75" hidden="1" customHeight="1">
      <c r="A858" s="11"/>
      <c r="B858" s="11"/>
      <c r="C858" s="11"/>
      <c r="D858" s="11" t="s">
        <v>106</v>
      </c>
      <c r="E858" s="11"/>
      <c r="F858" s="1" t="s">
        <v>371</v>
      </c>
      <c r="G858" s="109">
        <f t="shared" ref="G858" si="247">G859</f>
        <v>347</v>
      </c>
    </row>
    <row r="859" spans="1:8" hidden="1">
      <c r="A859" s="11"/>
      <c r="B859" s="11"/>
      <c r="C859" s="11"/>
      <c r="D859" s="11"/>
      <c r="E859" s="11" t="s">
        <v>113</v>
      </c>
      <c r="F859" s="1" t="s">
        <v>8</v>
      </c>
      <c r="G859" s="109">
        <v>347</v>
      </c>
    </row>
    <row r="860" spans="1:8" ht="117.75" hidden="1" customHeight="1">
      <c r="A860" s="11"/>
      <c r="B860" s="11"/>
      <c r="C860" s="11"/>
      <c r="D860" s="185" t="s">
        <v>302</v>
      </c>
      <c r="E860" s="185"/>
      <c r="F860" s="1" t="s">
        <v>613</v>
      </c>
      <c r="G860" s="109">
        <f t="shared" ref="G860" si="248">G861</f>
        <v>1000000</v>
      </c>
    </row>
    <row r="861" spans="1:8" hidden="1">
      <c r="A861" s="11"/>
      <c r="B861" s="11"/>
      <c r="C861" s="11"/>
      <c r="D861" s="11"/>
      <c r="E861" s="11" t="s">
        <v>113</v>
      </c>
      <c r="F861" s="1" t="s">
        <v>8</v>
      </c>
      <c r="G861" s="109">
        <v>1000000</v>
      </c>
    </row>
    <row r="862" spans="1:8" ht="38.25" hidden="1">
      <c r="A862" s="11"/>
      <c r="B862" s="11"/>
      <c r="C862" s="11"/>
      <c r="D862" s="11" t="s">
        <v>258</v>
      </c>
      <c r="E862" s="11"/>
      <c r="F862" s="1" t="s">
        <v>480</v>
      </c>
      <c r="G862" s="109">
        <f t="shared" ref="G862" si="249">G863</f>
        <v>416853</v>
      </c>
    </row>
    <row r="863" spans="1:8" hidden="1">
      <c r="A863" s="11"/>
      <c r="B863" s="11"/>
      <c r="C863" s="11"/>
      <c r="D863" s="11"/>
      <c r="E863" s="11" t="s">
        <v>113</v>
      </c>
      <c r="F863" s="1" t="s">
        <v>8</v>
      </c>
      <c r="G863" s="109">
        <v>416853</v>
      </c>
    </row>
    <row r="864" spans="1:8" hidden="1">
      <c r="D864" s="31"/>
      <c r="F864" s="13" t="s">
        <v>133</v>
      </c>
      <c r="G864" s="115">
        <f>G870-G894</f>
        <v>1673472</v>
      </c>
    </row>
    <row r="865" spans="1:7" ht="12.75" hidden="1" customHeight="1">
      <c r="A865" s="67" t="s">
        <v>124</v>
      </c>
      <c r="B865" s="68"/>
      <c r="C865" s="68"/>
      <c r="D865" s="68"/>
      <c r="E865" s="68"/>
      <c r="F865" s="104"/>
      <c r="G865" s="341" t="s">
        <v>82</v>
      </c>
    </row>
    <row r="866" spans="1:7" ht="12.75" hidden="1" customHeight="1">
      <c r="A866" s="70"/>
      <c r="B866" s="18" t="s">
        <v>27</v>
      </c>
      <c r="C866" s="71"/>
      <c r="D866" s="71"/>
      <c r="E866" s="69"/>
      <c r="F866" s="105"/>
      <c r="G866" s="342"/>
    </row>
    <row r="867" spans="1:7" ht="12.75" hidden="1" customHeight="1">
      <c r="A867" s="70"/>
      <c r="B867" s="18"/>
      <c r="C867" s="71" t="s">
        <v>28</v>
      </c>
      <c r="D867" s="71"/>
      <c r="E867" s="69"/>
      <c r="F867" s="105"/>
      <c r="G867" s="342"/>
    </row>
    <row r="868" spans="1:7" ht="12.75" hidden="1" customHeight="1">
      <c r="A868" s="70"/>
      <c r="B868" s="18"/>
      <c r="C868" s="71"/>
      <c r="D868" s="99" t="s">
        <v>29</v>
      </c>
      <c r="E868" s="100"/>
      <c r="F868" s="105"/>
      <c r="G868" s="342"/>
    </row>
    <row r="869" spans="1:7" hidden="1">
      <c r="A869" s="72"/>
      <c r="B869" s="73"/>
      <c r="C869" s="74"/>
      <c r="D869" s="75"/>
      <c r="E869" s="187" t="s">
        <v>30</v>
      </c>
      <c r="F869" s="106"/>
      <c r="G869" s="346"/>
    </row>
    <row r="870" spans="1:7" hidden="1">
      <c r="A870" s="11"/>
      <c r="B870" s="11"/>
      <c r="C870" s="11"/>
      <c r="D870" s="11"/>
      <c r="E870" s="11"/>
      <c r="F870" s="1" t="s">
        <v>134</v>
      </c>
      <c r="G870" s="109">
        <f>G871+G885+G876+G880</f>
        <v>3869237</v>
      </c>
    </row>
    <row r="871" spans="1:7" hidden="1">
      <c r="A871" s="11" t="s">
        <v>5</v>
      </c>
      <c r="B871" s="11"/>
      <c r="C871" s="11"/>
      <c r="D871" s="11"/>
      <c r="E871" s="11"/>
      <c r="F871" s="1" t="s">
        <v>6</v>
      </c>
      <c r="G871" s="109">
        <f t="shared" ref="G871:G874" si="250">G872</f>
        <v>0</v>
      </c>
    </row>
    <row r="872" spans="1:7" ht="25.5" hidden="1">
      <c r="A872" s="11"/>
      <c r="B872" s="11" t="s">
        <v>36</v>
      </c>
      <c r="C872" s="11"/>
      <c r="D872" s="11"/>
      <c r="E872" s="11"/>
      <c r="F872" s="1" t="s">
        <v>101</v>
      </c>
      <c r="G872" s="109">
        <f t="shared" si="250"/>
        <v>0</v>
      </c>
    </row>
    <row r="873" spans="1:7" ht="25.5" hidden="1">
      <c r="A873" s="11"/>
      <c r="B873" s="11"/>
      <c r="C873" s="11" t="s">
        <v>512</v>
      </c>
      <c r="D873" s="11"/>
      <c r="E873" s="11"/>
      <c r="F873" s="1" t="s">
        <v>217</v>
      </c>
      <c r="G873" s="109">
        <f t="shared" si="250"/>
        <v>0</v>
      </c>
    </row>
    <row r="874" spans="1:7" ht="25.5" hidden="1">
      <c r="A874" s="11"/>
      <c r="B874" s="11"/>
      <c r="C874" s="11"/>
      <c r="D874" s="11" t="s">
        <v>513</v>
      </c>
      <c r="E874" s="11"/>
      <c r="F874" s="1" t="s">
        <v>514</v>
      </c>
      <c r="G874" s="109">
        <f t="shared" si="250"/>
        <v>0</v>
      </c>
    </row>
    <row r="875" spans="1:7" hidden="1">
      <c r="A875" s="11"/>
      <c r="B875" s="11"/>
      <c r="C875" s="11"/>
      <c r="D875" s="11"/>
      <c r="E875" s="11" t="s">
        <v>195</v>
      </c>
      <c r="F875" s="1" t="s">
        <v>366</v>
      </c>
      <c r="G875" s="109"/>
    </row>
    <row r="876" spans="1:7" ht="12.75" hidden="1" customHeight="1">
      <c r="A876" s="11" t="s">
        <v>70</v>
      </c>
      <c r="B876" s="11"/>
      <c r="C876" s="11"/>
      <c r="D876" s="11"/>
      <c r="E876" s="11"/>
      <c r="F876" s="1" t="s">
        <v>71</v>
      </c>
      <c r="G876" s="109">
        <f t="shared" ref="G876:G878" si="251">G877</f>
        <v>3869237</v>
      </c>
    </row>
    <row r="877" spans="1:7" ht="12.75" hidden="1" customHeight="1">
      <c r="A877" s="11"/>
      <c r="B877" s="11" t="s">
        <v>31</v>
      </c>
      <c r="C877" s="11"/>
      <c r="D877" s="11"/>
      <c r="E877" s="11"/>
      <c r="F877" s="1" t="s">
        <v>72</v>
      </c>
      <c r="G877" s="109">
        <f t="shared" si="251"/>
        <v>3869237</v>
      </c>
    </row>
    <row r="878" spans="1:7" hidden="1">
      <c r="A878" s="11"/>
      <c r="B878" s="11"/>
      <c r="C878" s="11" t="s">
        <v>447</v>
      </c>
      <c r="D878" s="11"/>
      <c r="E878" s="11"/>
      <c r="F878" s="1" t="s">
        <v>441</v>
      </c>
      <c r="G878" s="109">
        <f t="shared" si="251"/>
        <v>3869237</v>
      </c>
    </row>
    <row r="879" spans="1:7" ht="38.25" hidden="1">
      <c r="A879" s="11"/>
      <c r="B879" s="11"/>
      <c r="C879" s="11"/>
      <c r="D879" s="11" t="s">
        <v>190</v>
      </c>
      <c r="E879" s="120"/>
      <c r="F879" s="1" t="s">
        <v>511</v>
      </c>
      <c r="G879" s="109">
        <v>3869237</v>
      </c>
    </row>
    <row r="880" spans="1:7" ht="38.25" hidden="1">
      <c r="A880" s="11" t="s">
        <v>37</v>
      </c>
      <c r="B880" s="11"/>
      <c r="C880" s="11"/>
      <c r="D880" s="11"/>
      <c r="E880" s="11"/>
      <c r="F880" s="1" t="s">
        <v>63</v>
      </c>
      <c r="G880" s="109">
        <f t="shared" ref="G880:G883" si="252">G881</f>
        <v>0</v>
      </c>
    </row>
    <row r="881" spans="1:8" hidden="1">
      <c r="A881" s="11"/>
      <c r="B881" s="11" t="s">
        <v>31</v>
      </c>
      <c r="C881" s="11"/>
      <c r="D881" s="11"/>
      <c r="E881" s="11"/>
      <c r="F881" s="1" t="s">
        <v>64</v>
      </c>
      <c r="G881" s="109">
        <f t="shared" si="252"/>
        <v>0</v>
      </c>
    </row>
    <row r="882" spans="1:8" ht="25.5" hidden="1">
      <c r="A882" s="11"/>
      <c r="B882" s="11"/>
      <c r="C882" s="11">
        <v>349</v>
      </c>
      <c r="D882" s="11"/>
      <c r="E882" s="11"/>
      <c r="F882" s="1" t="s">
        <v>251</v>
      </c>
      <c r="G882" s="109">
        <f t="shared" si="252"/>
        <v>0</v>
      </c>
    </row>
    <row r="883" spans="1:8" ht="13.5" hidden="1" customHeight="1">
      <c r="A883" s="11"/>
      <c r="B883" s="11"/>
      <c r="C883" s="11"/>
      <c r="D883" s="11" t="s">
        <v>533</v>
      </c>
      <c r="E883" s="11"/>
      <c r="F883" s="1" t="s">
        <v>534</v>
      </c>
      <c r="G883" s="109">
        <f t="shared" si="252"/>
        <v>0</v>
      </c>
    </row>
    <row r="884" spans="1:8" hidden="1">
      <c r="A884" s="11"/>
      <c r="B884" s="11"/>
      <c r="C884" s="11"/>
      <c r="D884" s="11"/>
      <c r="E884" s="11" t="s">
        <v>195</v>
      </c>
      <c r="F884" s="1" t="s">
        <v>366</v>
      </c>
      <c r="G884" s="109"/>
    </row>
    <row r="885" spans="1:8" hidden="1">
      <c r="A885" s="42" t="s">
        <v>40</v>
      </c>
      <c r="B885" s="42"/>
      <c r="C885" s="42"/>
      <c r="D885" s="42"/>
      <c r="E885" s="11"/>
      <c r="F885" s="1" t="s">
        <v>120</v>
      </c>
      <c r="G885" s="109">
        <f>G886</f>
        <v>0</v>
      </c>
    </row>
    <row r="886" spans="1:8" ht="12.75" hidden="1" customHeight="1">
      <c r="A886" s="42"/>
      <c r="B886" s="42" t="s">
        <v>33</v>
      </c>
      <c r="C886" s="42"/>
      <c r="D886" s="42"/>
      <c r="E886" s="11"/>
      <c r="F886" s="1" t="s">
        <v>90</v>
      </c>
      <c r="G886" s="109">
        <f>G887</f>
        <v>0</v>
      </c>
    </row>
    <row r="887" spans="1:8" ht="25.5" hidden="1" customHeight="1">
      <c r="A887" s="42"/>
      <c r="B887" s="42"/>
      <c r="C887" s="64" t="s">
        <v>364</v>
      </c>
      <c r="D887" s="64" t="s">
        <v>365</v>
      </c>
      <c r="E887" s="64" t="s">
        <v>365</v>
      </c>
      <c r="F887" s="65" t="s">
        <v>294</v>
      </c>
      <c r="G887" s="109">
        <f>G888</f>
        <v>0</v>
      </c>
    </row>
    <row r="888" spans="1:8" hidden="1">
      <c r="A888" s="42"/>
      <c r="B888" s="42"/>
      <c r="C888" s="64"/>
      <c r="D888" s="170" t="s">
        <v>215</v>
      </c>
      <c r="E888" s="64"/>
      <c r="F888" s="65" t="s">
        <v>459</v>
      </c>
      <c r="G888" s="109">
        <f>G889</f>
        <v>0</v>
      </c>
    </row>
    <row r="889" spans="1:8" hidden="1">
      <c r="A889" s="42"/>
      <c r="B889" s="42"/>
      <c r="C889" s="64"/>
      <c r="D889" s="64"/>
      <c r="E889" s="11" t="s">
        <v>113</v>
      </c>
      <c r="F889" s="1" t="s">
        <v>8</v>
      </c>
      <c r="G889" s="109"/>
    </row>
    <row r="890" spans="1:8" ht="11.25" hidden="1" customHeight="1">
      <c r="A890" s="131" t="s">
        <v>1</v>
      </c>
      <c r="B890" s="132"/>
      <c r="C890" s="133"/>
      <c r="D890" s="132"/>
      <c r="E890" s="134"/>
      <c r="F890" s="95" t="s">
        <v>26</v>
      </c>
      <c r="G890" s="341" t="s">
        <v>82</v>
      </c>
    </row>
    <row r="891" spans="1:8" ht="11.25" hidden="1" customHeight="1">
      <c r="A891" s="135"/>
      <c r="B891" s="136" t="s">
        <v>83</v>
      </c>
      <c r="C891" s="137"/>
      <c r="D891" s="136"/>
      <c r="E891" s="138"/>
      <c r="F891" s="96"/>
      <c r="G891" s="342"/>
    </row>
    <row r="892" spans="1:8" ht="11.25" hidden="1" customHeight="1">
      <c r="A892" s="135"/>
      <c r="B892" s="136"/>
      <c r="C892" s="137" t="s">
        <v>84</v>
      </c>
      <c r="D892" s="136"/>
      <c r="E892" s="138"/>
      <c r="F892" s="97"/>
      <c r="G892" s="342"/>
    </row>
    <row r="893" spans="1:8" hidden="1">
      <c r="A893" s="139"/>
      <c r="B893" s="140"/>
      <c r="C893" s="141"/>
      <c r="D893" s="140" t="s">
        <v>102</v>
      </c>
      <c r="E893" s="142"/>
      <c r="F893" s="98"/>
      <c r="G893" s="110"/>
    </row>
    <row r="894" spans="1:8" s="3" customFormat="1" ht="14.25" hidden="1" customHeight="1">
      <c r="A894" s="47"/>
      <c r="B894" s="46"/>
      <c r="C894" s="47"/>
      <c r="D894" s="46"/>
      <c r="E894" s="27"/>
      <c r="F894" s="12" t="s">
        <v>16</v>
      </c>
      <c r="G894" s="111">
        <f t="shared" ref="G894:G895" si="253">G895</f>
        <v>2195765</v>
      </c>
      <c r="H894" s="59"/>
    </row>
    <row r="895" spans="1:8" s="3" customFormat="1" ht="15.75" hidden="1" customHeight="1">
      <c r="A895" s="31"/>
      <c r="B895" s="177" t="s">
        <v>395</v>
      </c>
      <c r="C895" s="31"/>
      <c r="D895" s="31"/>
      <c r="E895" s="31"/>
      <c r="F895" s="12" t="s">
        <v>16</v>
      </c>
      <c r="G895" s="20">
        <f t="shared" si="253"/>
        <v>2195765</v>
      </c>
      <c r="H895" s="59"/>
    </row>
    <row r="896" spans="1:8" s="3" customFormat="1" ht="15" hidden="1" customHeight="1">
      <c r="A896" s="31"/>
      <c r="B896" s="31"/>
      <c r="C896" s="31" t="s">
        <v>44</v>
      </c>
      <c r="D896" s="31"/>
      <c r="E896" s="31"/>
      <c r="F896" s="12" t="s">
        <v>16</v>
      </c>
      <c r="G896" s="20">
        <f>G897</f>
        <v>2195765</v>
      </c>
      <c r="H896" s="59"/>
    </row>
    <row r="897" spans="1:8" s="3" customFormat="1" ht="25.5" hidden="1">
      <c r="A897" s="31"/>
      <c r="B897" s="31"/>
      <c r="C897" s="31"/>
      <c r="D897" s="31" t="s">
        <v>31</v>
      </c>
      <c r="E897" s="31"/>
      <c r="F897" s="12" t="s">
        <v>17</v>
      </c>
      <c r="G897" s="20">
        <f t="shared" ref="G897" si="254">SUM(G898:G900)</f>
        <v>2195765</v>
      </c>
      <c r="H897" s="59"/>
    </row>
    <row r="898" spans="1:8" s="3" customFormat="1" ht="25.5" hidden="1">
      <c r="A898" s="31"/>
      <c r="B898" s="31"/>
      <c r="C898" s="31"/>
      <c r="D898" s="31"/>
      <c r="E898" s="22" t="s">
        <v>5</v>
      </c>
      <c r="F898" s="12" t="s">
        <v>404</v>
      </c>
      <c r="G898" s="20">
        <v>1366305</v>
      </c>
      <c r="H898" s="59"/>
    </row>
    <row r="899" spans="1:8" s="3" customFormat="1" ht="25.5" hidden="1">
      <c r="A899" s="31"/>
      <c r="B899" s="31"/>
      <c r="C899" s="31"/>
      <c r="D899" s="31"/>
      <c r="E899" s="22" t="s">
        <v>40</v>
      </c>
      <c r="F899" s="12" t="s">
        <v>544</v>
      </c>
      <c r="G899" s="20">
        <v>247718</v>
      </c>
      <c r="H899" s="59"/>
    </row>
    <row r="900" spans="1:8" s="3" customFormat="1" ht="25.5" hidden="1" customHeight="1">
      <c r="A900" s="31"/>
      <c r="B900" s="31"/>
      <c r="C900" s="31"/>
      <c r="D900" s="31"/>
      <c r="E900" s="22" t="s">
        <v>485</v>
      </c>
      <c r="F900" s="12" t="s">
        <v>484</v>
      </c>
      <c r="G900" s="20">
        <f>221742+360000</f>
        <v>581742</v>
      </c>
      <c r="H900" s="59"/>
    </row>
    <row r="901" spans="1:8" s="3" customFormat="1" ht="15.75" hidden="1" customHeight="1">
      <c r="A901" s="11"/>
      <c r="B901" s="11"/>
      <c r="C901" s="11"/>
      <c r="D901" s="11"/>
      <c r="E901" s="11"/>
      <c r="F901" s="13" t="s">
        <v>135</v>
      </c>
      <c r="G901" s="21">
        <f>G907-G923</f>
        <v>1387552</v>
      </c>
      <c r="H901" s="59"/>
    </row>
    <row r="902" spans="1:8" ht="12.75" hidden="1" customHeight="1">
      <c r="A902" s="67" t="s">
        <v>124</v>
      </c>
      <c r="B902" s="68"/>
      <c r="C902" s="68"/>
      <c r="D902" s="68"/>
      <c r="E902" s="68"/>
      <c r="F902" s="104"/>
      <c r="G902" s="339" t="s">
        <v>82</v>
      </c>
    </row>
    <row r="903" spans="1:8" ht="12.75" hidden="1" customHeight="1">
      <c r="A903" s="70"/>
      <c r="B903" s="18" t="s">
        <v>27</v>
      </c>
      <c r="C903" s="71"/>
      <c r="D903" s="71"/>
      <c r="E903" s="69"/>
      <c r="F903" s="105"/>
      <c r="G903" s="340"/>
    </row>
    <row r="904" spans="1:8" ht="12.75" hidden="1" customHeight="1">
      <c r="A904" s="70"/>
      <c r="B904" s="18"/>
      <c r="C904" s="71" t="s">
        <v>28</v>
      </c>
      <c r="D904" s="71"/>
      <c r="E904" s="69"/>
      <c r="F904" s="105"/>
      <c r="G904" s="340"/>
    </row>
    <row r="905" spans="1:8" ht="12.75" hidden="1" customHeight="1">
      <c r="A905" s="70"/>
      <c r="B905" s="18"/>
      <c r="C905" s="71"/>
      <c r="D905" s="99" t="s">
        <v>29</v>
      </c>
      <c r="E905" s="100"/>
      <c r="F905" s="105"/>
      <c r="G905" s="340"/>
    </row>
    <row r="906" spans="1:8" hidden="1">
      <c r="A906" s="72"/>
      <c r="B906" s="73"/>
      <c r="C906" s="74"/>
      <c r="D906" s="75"/>
      <c r="E906" s="187" t="s">
        <v>30</v>
      </c>
      <c r="F906" s="106"/>
      <c r="G906" s="108"/>
    </row>
    <row r="907" spans="1:8" s="3" customFormat="1" ht="15.75" hidden="1" customHeight="1">
      <c r="A907" s="11"/>
      <c r="B907" s="11"/>
      <c r="C907" s="11"/>
      <c r="D907" s="11"/>
      <c r="E907" s="11"/>
      <c r="F907" s="1" t="s">
        <v>138</v>
      </c>
      <c r="G907" s="6">
        <f t="shared" ref="G907:G908" si="255">G908</f>
        <v>1387552</v>
      </c>
      <c r="H907" s="59"/>
    </row>
    <row r="908" spans="1:8" s="3" customFormat="1" ht="13.5" hidden="1" customHeight="1">
      <c r="A908" s="42" t="s">
        <v>40</v>
      </c>
      <c r="B908" s="42"/>
      <c r="C908" s="42"/>
      <c r="D908" s="42"/>
      <c r="E908" s="11"/>
      <c r="F908" s="1" t="s">
        <v>120</v>
      </c>
      <c r="G908" s="21">
        <f t="shared" si="255"/>
        <v>1387552</v>
      </c>
      <c r="H908" s="59"/>
    </row>
    <row r="909" spans="1:8" s="3" customFormat="1" ht="13.5" hidden="1" customHeight="1">
      <c r="A909" s="42"/>
      <c r="B909" s="42" t="s">
        <v>36</v>
      </c>
      <c r="C909" s="42"/>
      <c r="D909" s="42"/>
      <c r="E909" s="11"/>
      <c r="F909" s="1" t="s">
        <v>120</v>
      </c>
      <c r="G909" s="21">
        <f>G910+G916+G913</f>
        <v>1387552</v>
      </c>
      <c r="H909" s="59"/>
    </row>
    <row r="910" spans="1:8" s="3" customFormat="1" hidden="1">
      <c r="A910" s="42"/>
      <c r="B910" s="42"/>
      <c r="C910" s="11" t="s">
        <v>446</v>
      </c>
      <c r="D910" s="11"/>
      <c r="E910" s="11"/>
      <c r="F910" s="1" t="s">
        <v>441</v>
      </c>
      <c r="G910" s="21">
        <f t="shared" ref="G910:G911" si="256">G911</f>
        <v>0</v>
      </c>
      <c r="H910" s="59"/>
    </row>
    <row r="911" spans="1:8" s="3" customFormat="1" hidden="1">
      <c r="A911" s="42"/>
      <c r="B911" s="42"/>
      <c r="C911" s="42"/>
      <c r="D911" s="42" t="s">
        <v>367</v>
      </c>
      <c r="E911" s="11"/>
      <c r="F911" s="1" t="s">
        <v>368</v>
      </c>
      <c r="G911" s="21">
        <f t="shared" si="256"/>
        <v>0</v>
      </c>
      <c r="H911" s="59"/>
    </row>
    <row r="912" spans="1:8" s="3" customFormat="1" hidden="1">
      <c r="A912" s="42"/>
      <c r="B912" s="42"/>
      <c r="C912" s="42"/>
      <c r="D912" s="42"/>
      <c r="E912" s="11" t="s">
        <v>113</v>
      </c>
      <c r="F912" s="1" t="s">
        <v>8</v>
      </c>
      <c r="G912" s="21"/>
      <c r="H912" s="59"/>
    </row>
    <row r="913" spans="1:8" s="3" customFormat="1" ht="15" hidden="1" customHeight="1">
      <c r="A913" s="42"/>
      <c r="B913" s="42"/>
      <c r="C913" s="11">
        <v>373</v>
      </c>
      <c r="D913" s="11"/>
      <c r="E913" s="11"/>
      <c r="F913" s="1" t="s">
        <v>288</v>
      </c>
      <c r="G913" s="21">
        <f t="shared" ref="G913:G914" si="257">G914</f>
        <v>1387552</v>
      </c>
      <c r="H913" s="59"/>
    </row>
    <row r="914" spans="1:8" s="3" customFormat="1" hidden="1">
      <c r="A914" s="42"/>
      <c r="B914" s="42"/>
      <c r="C914" s="42"/>
      <c r="D914" s="42" t="s">
        <v>367</v>
      </c>
      <c r="E914" s="11"/>
      <c r="F914" s="1" t="s">
        <v>368</v>
      </c>
      <c r="G914" s="21">
        <f t="shared" si="257"/>
        <v>1387552</v>
      </c>
      <c r="H914" s="59"/>
    </row>
    <row r="915" spans="1:8" s="3" customFormat="1" hidden="1">
      <c r="A915" s="42"/>
      <c r="B915" s="42"/>
      <c r="C915" s="42"/>
      <c r="D915" s="42"/>
      <c r="E915" s="11" t="s">
        <v>113</v>
      </c>
      <c r="F915" s="1" t="s">
        <v>8</v>
      </c>
      <c r="G915" s="21">
        <v>1387552</v>
      </c>
      <c r="H915" s="59"/>
    </row>
    <row r="916" spans="1:8" s="3" customFormat="1" ht="25.5" hidden="1">
      <c r="A916" s="42"/>
      <c r="B916" s="42"/>
      <c r="C916" s="11" t="s">
        <v>572</v>
      </c>
      <c r="D916" s="11"/>
      <c r="E916" s="11"/>
      <c r="F916" s="1" t="s">
        <v>290</v>
      </c>
      <c r="G916" s="21">
        <f t="shared" ref="G916:G917" si="258">G917</f>
        <v>0</v>
      </c>
      <c r="H916" s="59"/>
    </row>
    <row r="917" spans="1:8" ht="12.75" hidden="1" customHeight="1">
      <c r="A917" s="42"/>
      <c r="B917" s="42"/>
      <c r="C917" s="42"/>
      <c r="D917" s="42" t="s">
        <v>367</v>
      </c>
      <c r="E917" s="11"/>
      <c r="F917" s="1" t="s">
        <v>368</v>
      </c>
      <c r="G917" s="21">
        <f t="shared" si="258"/>
        <v>0</v>
      </c>
    </row>
    <row r="918" spans="1:8" hidden="1">
      <c r="A918" s="42"/>
      <c r="B918" s="42"/>
      <c r="C918" s="42"/>
      <c r="D918" s="42"/>
      <c r="E918" s="11" t="s">
        <v>113</v>
      </c>
      <c r="F918" s="1" t="s">
        <v>8</v>
      </c>
      <c r="G918" s="21"/>
    </row>
    <row r="919" spans="1:8" ht="12.75" hidden="1" customHeight="1">
      <c r="A919" s="76" t="s">
        <v>1</v>
      </c>
      <c r="B919" s="43"/>
      <c r="C919" s="44"/>
      <c r="D919" s="43"/>
      <c r="E919" s="93"/>
      <c r="F919" s="95" t="s">
        <v>26</v>
      </c>
      <c r="G919" s="341" t="s">
        <v>82</v>
      </c>
    </row>
    <row r="920" spans="1:8" ht="12.75" hidden="1" customHeight="1">
      <c r="A920" s="45"/>
      <c r="B920" s="46" t="s">
        <v>83</v>
      </c>
      <c r="C920" s="47"/>
      <c r="D920" s="46"/>
      <c r="E920" s="27"/>
      <c r="F920" s="96"/>
      <c r="G920" s="342"/>
    </row>
    <row r="921" spans="1:8" ht="12.75" hidden="1" customHeight="1">
      <c r="A921" s="45"/>
      <c r="B921" s="46"/>
      <c r="C921" s="47" t="s">
        <v>84</v>
      </c>
      <c r="D921" s="46"/>
      <c r="E921" s="27"/>
      <c r="F921" s="97"/>
      <c r="G921" s="342"/>
    </row>
    <row r="922" spans="1:8" ht="12.75" hidden="1" customHeight="1">
      <c r="A922" s="48"/>
      <c r="B922" s="49"/>
      <c r="C922" s="50"/>
      <c r="D922" s="49" t="s">
        <v>102</v>
      </c>
      <c r="E922" s="94"/>
      <c r="F922" s="98"/>
      <c r="G922" s="110"/>
    </row>
    <row r="923" spans="1:8" ht="12.75" hidden="1" customHeight="1">
      <c r="A923" s="180" t="s">
        <v>99</v>
      </c>
      <c r="B923" s="42" t="s">
        <v>382</v>
      </c>
      <c r="C923" s="42" t="s">
        <v>382</v>
      </c>
      <c r="D923" s="42" t="s">
        <v>382</v>
      </c>
      <c r="E923" s="11"/>
      <c r="F923" s="1" t="s">
        <v>396</v>
      </c>
      <c r="G923" s="21">
        <f t="shared" ref="G923:G924" si="259">G924</f>
        <v>0</v>
      </c>
    </row>
    <row r="924" spans="1:8" ht="12.75" hidden="1" customHeight="1">
      <c r="A924" s="42"/>
      <c r="B924" s="42" t="s">
        <v>44</v>
      </c>
      <c r="C924" s="42" t="s">
        <v>382</v>
      </c>
      <c r="D924" s="42" t="s">
        <v>382</v>
      </c>
      <c r="E924" s="11"/>
      <c r="F924" s="1" t="s">
        <v>396</v>
      </c>
      <c r="G924" s="21">
        <f t="shared" si="259"/>
        <v>0</v>
      </c>
    </row>
    <row r="925" spans="1:8" ht="12.75" hidden="1" customHeight="1">
      <c r="A925" s="42"/>
      <c r="B925" s="42"/>
      <c r="C925" s="42" t="s">
        <v>31</v>
      </c>
      <c r="D925" s="42" t="s">
        <v>382</v>
      </c>
      <c r="E925" s="11"/>
      <c r="F925" s="1" t="s">
        <v>397</v>
      </c>
      <c r="G925" s="21">
        <f>SUM(G926:G927)</f>
        <v>0</v>
      </c>
    </row>
    <row r="926" spans="1:8" ht="25.5" hidden="1" customHeight="1">
      <c r="A926" s="42"/>
      <c r="B926" s="42"/>
      <c r="C926" s="42"/>
      <c r="D926" s="42" t="s">
        <v>51</v>
      </c>
      <c r="E926" s="11"/>
      <c r="F926" s="1" t="s">
        <v>398</v>
      </c>
      <c r="G926" s="21"/>
    </row>
    <row r="927" spans="1:8" ht="63.75" hidden="1">
      <c r="A927" s="42"/>
      <c r="B927" s="42"/>
      <c r="C927" s="42"/>
      <c r="D927" s="42" t="s">
        <v>9</v>
      </c>
      <c r="E927" s="11"/>
      <c r="F927" s="1" t="s">
        <v>399</v>
      </c>
      <c r="G927" s="21"/>
    </row>
    <row r="928" spans="1:8" hidden="1">
      <c r="A928" s="31"/>
      <c r="B928" s="31"/>
      <c r="C928" s="31"/>
      <c r="D928" s="31"/>
      <c r="F928" s="12" t="s">
        <v>136</v>
      </c>
      <c r="G928" s="115">
        <f>G20-G147-G864-G901</f>
        <v>-17906424</v>
      </c>
    </row>
    <row r="929" spans="1:7" ht="12" hidden="1" customHeight="1">
      <c r="A929" s="31"/>
      <c r="B929" s="31"/>
      <c r="C929" s="31"/>
      <c r="D929" s="31"/>
      <c r="F929" s="12" t="s">
        <v>137</v>
      </c>
      <c r="G929" s="115">
        <f>G934-G947+G959</f>
        <v>515864</v>
      </c>
    </row>
    <row r="930" spans="1:7" ht="12.75" hidden="1" customHeight="1">
      <c r="A930" s="76" t="s">
        <v>1</v>
      </c>
      <c r="B930" s="43"/>
      <c r="C930" s="44"/>
      <c r="D930" s="43"/>
      <c r="E930" s="93"/>
      <c r="F930" s="95" t="s">
        <v>26</v>
      </c>
      <c r="G930" s="341" t="s">
        <v>82</v>
      </c>
    </row>
    <row r="931" spans="1:7" ht="12.75" hidden="1" customHeight="1">
      <c r="A931" s="45"/>
      <c r="B931" s="46" t="s">
        <v>83</v>
      </c>
      <c r="C931" s="47"/>
      <c r="D931" s="46"/>
      <c r="E931" s="27"/>
      <c r="F931" s="96"/>
      <c r="G931" s="342"/>
    </row>
    <row r="932" spans="1:7" ht="12.75" hidden="1" customHeight="1">
      <c r="A932" s="45"/>
      <c r="B932" s="46"/>
      <c r="C932" s="47" t="s">
        <v>84</v>
      </c>
      <c r="D932" s="46"/>
      <c r="E932" s="27"/>
      <c r="F932" s="97"/>
      <c r="G932" s="342"/>
    </row>
    <row r="933" spans="1:7" hidden="1">
      <c r="A933" s="48"/>
      <c r="B933" s="49"/>
      <c r="C933" s="50"/>
      <c r="D933" s="49" t="s">
        <v>102</v>
      </c>
      <c r="E933" s="94"/>
      <c r="F933" s="98"/>
      <c r="G933" s="110"/>
    </row>
    <row r="934" spans="1:7" ht="12.75" hidden="1" customHeight="1">
      <c r="A934" s="31"/>
      <c r="B934" s="31"/>
      <c r="C934" s="31"/>
      <c r="D934" s="31"/>
      <c r="F934" s="12" t="s">
        <v>19</v>
      </c>
      <c r="G934" s="32">
        <f t="shared" ref="G934:G935" si="260">G935</f>
        <v>48585581</v>
      </c>
    </row>
    <row r="935" spans="1:7" ht="12.75" hidden="1" customHeight="1">
      <c r="A935" s="180" t="s">
        <v>577</v>
      </c>
      <c r="B935" s="31"/>
      <c r="C935" s="31"/>
      <c r="D935" s="31"/>
      <c r="F935" s="12" t="s">
        <v>19</v>
      </c>
      <c r="G935" s="32">
        <f t="shared" si="260"/>
        <v>48585581</v>
      </c>
    </row>
    <row r="936" spans="1:7" ht="12.75" hidden="1" customHeight="1">
      <c r="A936" s="31"/>
      <c r="B936" s="31" t="s">
        <v>44</v>
      </c>
      <c r="C936" s="31"/>
      <c r="D936" s="31"/>
      <c r="F936" s="12" t="s">
        <v>20</v>
      </c>
      <c r="G936" s="32">
        <f>G940+G937</f>
        <v>48585581</v>
      </c>
    </row>
    <row r="937" spans="1:7" ht="12.75" hidden="1" customHeight="1">
      <c r="A937" s="31"/>
      <c r="B937" s="31"/>
      <c r="C937" s="31" t="s">
        <v>31</v>
      </c>
      <c r="D937" s="31"/>
      <c r="F937" s="12" t="s">
        <v>127</v>
      </c>
      <c r="G937" s="32">
        <f>SUM(G938:G939)</f>
        <v>48585581</v>
      </c>
    </row>
    <row r="938" spans="1:7" ht="114.75" hidden="1">
      <c r="A938" s="31"/>
      <c r="B938" s="31"/>
      <c r="C938" s="31"/>
      <c r="D938" s="66" t="s">
        <v>37</v>
      </c>
      <c r="E938" s="66"/>
      <c r="F938" s="12" t="s">
        <v>546</v>
      </c>
      <c r="G938" s="115">
        <f>7534141+16047013+24686427+318000</f>
        <v>48585581</v>
      </c>
    </row>
    <row r="939" spans="1:7" ht="63.75" hidden="1">
      <c r="A939" s="31"/>
      <c r="B939" s="31"/>
      <c r="C939" s="31"/>
      <c r="D939" s="66" t="s">
        <v>38</v>
      </c>
      <c r="E939" s="66"/>
      <c r="F939" s="12" t="s">
        <v>456</v>
      </c>
      <c r="G939" s="115"/>
    </row>
    <row r="940" spans="1:7" ht="12.75" hidden="1" customHeight="1">
      <c r="A940" s="31"/>
      <c r="B940" s="31"/>
      <c r="C940" s="31" t="s">
        <v>32</v>
      </c>
      <c r="D940" s="31"/>
      <c r="F940" s="12" t="s">
        <v>21</v>
      </c>
      <c r="G940" s="32">
        <f t="shared" ref="G940" si="261">G941</f>
        <v>0</v>
      </c>
    </row>
    <row r="941" spans="1:7" ht="25.5" hidden="1" customHeight="1">
      <c r="A941" s="31"/>
      <c r="B941" s="31"/>
      <c r="C941" s="31"/>
      <c r="D941" s="31" t="s">
        <v>51</v>
      </c>
      <c r="F941" s="12" t="s">
        <v>22</v>
      </c>
      <c r="G941" s="115"/>
    </row>
    <row r="942" spans="1:7" ht="12.75" hidden="1" customHeight="1">
      <c r="A942" s="67" t="s">
        <v>124</v>
      </c>
      <c r="B942" s="68"/>
      <c r="C942" s="68"/>
      <c r="D942" s="68"/>
      <c r="E942" s="68"/>
      <c r="F942" s="101"/>
      <c r="G942" s="341" t="s">
        <v>82</v>
      </c>
    </row>
    <row r="943" spans="1:7" ht="12.75" hidden="1" customHeight="1">
      <c r="A943" s="70"/>
      <c r="B943" s="18" t="s">
        <v>27</v>
      </c>
      <c r="C943" s="71"/>
      <c r="D943" s="71"/>
      <c r="E943" s="69"/>
      <c r="F943" s="102"/>
      <c r="G943" s="342"/>
    </row>
    <row r="944" spans="1:7" ht="12.75" hidden="1" customHeight="1">
      <c r="A944" s="70"/>
      <c r="B944" s="18"/>
      <c r="C944" s="71" t="s">
        <v>28</v>
      </c>
      <c r="D944" s="71"/>
      <c r="E944" s="69"/>
      <c r="F944" s="102"/>
      <c r="G944" s="342"/>
    </row>
    <row r="945" spans="1:7" ht="12.75" hidden="1" customHeight="1">
      <c r="A945" s="70"/>
      <c r="B945" s="18"/>
      <c r="C945" s="71"/>
      <c r="D945" s="99" t="s">
        <v>29</v>
      </c>
      <c r="E945" s="100"/>
      <c r="F945" s="102"/>
      <c r="G945" s="342"/>
    </row>
    <row r="946" spans="1:7" hidden="1">
      <c r="A946" s="72"/>
      <c r="B946" s="73"/>
      <c r="C946" s="74"/>
      <c r="D946" s="75"/>
      <c r="E946" s="121" t="s">
        <v>30</v>
      </c>
      <c r="F946" s="103"/>
      <c r="G946" s="110"/>
    </row>
    <row r="947" spans="1:7" ht="12.75" hidden="1" customHeight="1">
      <c r="A947" s="31"/>
      <c r="B947" s="31"/>
      <c r="C947" s="31"/>
      <c r="D947" s="31"/>
      <c r="F947" s="1" t="s">
        <v>25</v>
      </c>
      <c r="G947" s="115">
        <f t="shared" ref="G947:G949" si="262">G948</f>
        <v>49650046</v>
      </c>
    </row>
    <row r="948" spans="1:7" ht="12.75" hidden="1" customHeight="1">
      <c r="A948" s="11" t="s">
        <v>43</v>
      </c>
      <c r="B948" s="11"/>
      <c r="C948" s="11"/>
      <c r="D948" s="11"/>
      <c r="E948" s="11"/>
      <c r="F948" s="1" t="s">
        <v>25</v>
      </c>
      <c r="G948" s="21">
        <f t="shared" si="262"/>
        <v>49650046</v>
      </c>
    </row>
    <row r="949" spans="1:7" ht="12.75" hidden="1" customHeight="1">
      <c r="A949" s="11"/>
      <c r="B949" s="11" t="s">
        <v>31</v>
      </c>
      <c r="C949" s="11"/>
      <c r="D949" s="11"/>
      <c r="E949" s="11"/>
      <c r="F949" s="1" t="s">
        <v>25</v>
      </c>
      <c r="G949" s="21">
        <f t="shared" si="262"/>
        <v>49650046</v>
      </c>
    </row>
    <row r="950" spans="1:7" ht="12.75" hidden="1" customHeight="1">
      <c r="A950" s="11"/>
      <c r="B950" s="11"/>
      <c r="C950" s="11" t="s">
        <v>182</v>
      </c>
      <c r="D950" s="4"/>
      <c r="E950" s="4"/>
      <c r="F950" s="1" t="s">
        <v>180</v>
      </c>
      <c r="G950" s="21">
        <f>G951+G953</f>
        <v>49650046</v>
      </c>
    </row>
    <row r="951" spans="1:7" ht="12.75" hidden="1" customHeight="1">
      <c r="A951" s="11"/>
      <c r="B951" s="11"/>
      <c r="C951" s="11"/>
      <c r="D951" s="56" t="s">
        <v>213</v>
      </c>
      <c r="E951" s="11"/>
      <c r="F951" s="1" t="s">
        <v>306</v>
      </c>
      <c r="G951" s="21">
        <f t="shared" ref="G951" si="263">G952</f>
        <v>47920536</v>
      </c>
    </row>
    <row r="952" spans="1:7" ht="12.75" hidden="1" customHeight="1">
      <c r="A952" s="11"/>
      <c r="B952" s="11"/>
      <c r="C952" s="11"/>
      <c r="D952" s="56"/>
      <c r="E952" s="11" t="s">
        <v>255</v>
      </c>
      <c r="F952" s="1" t="s">
        <v>307</v>
      </c>
      <c r="G952" s="21">
        <v>47920536</v>
      </c>
    </row>
    <row r="953" spans="1:7" ht="24.75" hidden="1" customHeight="1">
      <c r="A953" s="11"/>
      <c r="B953" s="11"/>
      <c r="C953" s="11"/>
      <c r="D953" s="56" t="s">
        <v>202</v>
      </c>
      <c r="E953" s="11"/>
      <c r="F953" s="1" t="s">
        <v>308</v>
      </c>
      <c r="G953" s="21">
        <f t="shared" ref="G953" si="264">G954</f>
        <v>1729510</v>
      </c>
    </row>
    <row r="954" spans="1:7" hidden="1">
      <c r="A954" s="11"/>
      <c r="B954" s="11"/>
      <c r="C954" s="11"/>
      <c r="D954" s="56"/>
      <c r="E954" s="11" t="s">
        <v>113</v>
      </c>
      <c r="F954" s="1" t="s">
        <v>8</v>
      </c>
      <c r="G954" s="21">
        <v>1729510</v>
      </c>
    </row>
    <row r="955" spans="1:7" ht="12.75" hidden="1" customHeight="1">
      <c r="A955" s="76" t="s">
        <v>1</v>
      </c>
      <c r="B955" s="77"/>
      <c r="C955" s="78"/>
      <c r="D955" s="77"/>
      <c r="E955" s="79"/>
      <c r="F955" s="88" t="s">
        <v>26</v>
      </c>
      <c r="G955" s="339" t="s">
        <v>0</v>
      </c>
    </row>
    <row r="956" spans="1:7" ht="12.75" hidden="1" customHeight="1">
      <c r="A956" s="80"/>
      <c r="B956" s="81" t="s">
        <v>83</v>
      </c>
      <c r="C956" s="82"/>
      <c r="D956" s="81"/>
      <c r="E956" s="83"/>
      <c r="F956" s="89"/>
      <c r="G956" s="340"/>
    </row>
    <row r="957" spans="1:7" ht="12.75" hidden="1" customHeight="1">
      <c r="A957" s="80"/>
      <c r="B957" s="81"/>
      <c r="C957" s="82" t="s">
        <v>84</v>
      </c>
      <c r="D957" s="81"/>
      <c r="E957" s="83"/>
      <c r="F957" s="90"/>
      <c r="G957" s="340"/>
    </row>
    <row r="958" spans="1:7" hidden="1">
      <c r="A958" s="84"/>
      <c r="B958" s="85"/>
      <c r="C958" s="75"/>
      <c r="D958" s="121" t="s">
        <v>102</v>
      </c>
      <c r="E958" s="86"/>
      <c r="F958" s="91"/>
      <c r="G958" s="108"/>
    </row>
    <row r="959" spans="1:7" ht="12.75" hidden="1" customHeight="1">
      <c r="F959" s="19" t="s">
        <v>67</v>
      </c>
      <c r="G959" s="112">
        <f t="shared" ref="G959:G962" si="265">G960</f>
        <v>1580329</v>
      </c>
    </row>
    <row r="960" spans="1:7" ht="12.75" hidden="1" customHeight="1">
      <c r="A960" s="181">
        <v>9</v>
      </c>
      <c r="B960" s="46"/>
      <c r="C960" s="47"/>
      <c r="D960" s="46"/>
      <c r="E960" s="27"/>
      <c r="F960" s="19" t="s">
        <v>67</v>
      </c>
      <c r="G960" s="113">
        <f t="shared" si="265"/>
        <v>1580329</v>
      </c>
    </row>
    <row r="961" spans="1:7" hidden="1">
      <c r="A961" s="51"/>
      <c r="B961" s="31" t="s">
        <v>44</v>
      </c>
      <c r="C961" s="52"/>
      <c r="D961" s="52"/>
      <c r="E961" s="28"/>
      <c r="F961" s="19" t="s">
        <v>2</v>
      </c>
      <c r="G961" s="113">
        <f t="shared" si="265"/>
        <v>1580329</v>
      </c>
    </row>
    <row r="962" spans="1:7" hidden="1">
      <c r="A962" s="51"/>
      <c r="B962" s="53"/>
      <c r="C962" s="11">
        <v>1</v>
      </c>
      <c r="D962" s="52"/>
      <c r="E962" s="28"/>
      <c r="F962" s="19" t="s">
        <v>3</v>
      </c>
      <c r="G962" s="113">
        <f t="shared" si="265"/>
        <v>1580329</v>
      </c>
    </row>
    <row r="963" spans="1:7" hidden="1">
      <c r="A963" s="51"/>
      <c r="B963" s="53"/>
      <c r="C963" s="52"/>
      <c r="D963" s="11" t="s">
        <v>44</v>
      </c>
      <c r="E963" s="28"/>
      <c r="F963" s="19" t="s">
        <v>3</v>
      </c>
      <c r="G963" s="112">
        <f>417200+1163129</f>
        <v>1580329</v>
      </c>
    </row>
    <row r="964" spans="1:7" ht="7.5" hidden="1" customHeight="1">
      <c r="F964" s="92"/>
    </row>
    <row r="965" spans="1:7" hidden="1"/>
    <row r="966" spans="1:7" ht="12.75" hidden="1" customHeight="1">
      <c r="G966" s="32">
        <f>G20+G894+G934+G959+G923</f>
        <v>893063000</v>
      </c>
    </row>
    <row r="967" spans="1:7" ht="12.75" hidden="1" customHeight="1">
      <c r="A967" s="54"/>
      <c r="G967" s="32">
        <f>G147+G907+G948+G870</f>
        <v>910453560</v>
      </c>
    </row>
    <row r="968" spans="1:7" hidden="1">
      <c r="A968" s="54"/>
    </row>
    <row r="969" spans="1:7" hidden="1">
      <c r="A969" s="54"/>
      <c r="G969" s="32">
        <f>G966-G967</f>
        <v>-17390560</v>
      </c>
    </row>
    <row r="970" spans="1:7" hidden="1">
      <c r="A970" s="54"/>
    </row>
    <row r="971" spans="1:7" hidden="1">
      <c r="A971" s="54"/>
    </row>
    <row r="972" spans="1:7" hidden="1">
      <c r="A972" s="54"/>
    </row>
    <row r="973" spans="1:7" hidden="1">
      <c r="A973" s="54"/>
      <c r="F973" s="4" t="s">
        <v>91</v>
      </c>
      <c r="G973" s="32">
        <f>G217+G233+G256+G290+G292+G357+G409+G477+G489+G493+G498+G512+G516+G533+G535+G587+G591+G650+G655+G773+G801+G806+G911+G914+G917+G797+G782+G508+G271</f>
        <v>82273567</v>
      </c>
    </row>
    <row r="974" spans="1:7" hidden="1">
      <c r="A974" s="54"/>
      <c r="F974" s="4" t="s">
        <v>590</v>
      </c>
      <c r="G974" s="32">
        <f>G477+G512+G516+G650+G655+G801+G806+G913</f>
        <v>12273145</v>
      </c>
    </row>
    <row r="975" spans="1:7" hidden="1">
      <c r="A975" s="54"/>
      <c r="F975" s="4" t="s">
        <v>591</v>
      </c>
      <c r="G975" s="32">
        <f>G217+G233+G256+G290+G292+G357+G409+G489+G493+G498+G533+G535+G587+G591+G796</f>
        <v>36991862</v>
      </c>
    </row>
    <row r="976" spans="1:7" hidden="1">
      <c r="A976" s="54"/>
      <c r="F976" s="4" t="s">
        <v>592</v>
      </c>
      <c r="G976" s="32">
        <f>G773</f>
        <v>24628589</v>
      </c>
    </row>
    <row r="977" spans="1:7" hidden="1">
      <c r="A977" s="54"/>
      <c r="F977" s="4" t="s">
        <v>615</v>
      </c>
      <c r="G977" s="32">
        <f>G508</f>
        <v>3198147</v>
      </c>
    </row>
    <row r="978" spans="1:7" hidden="1">
      <c r="A978" s="54"/>
    </row>
    <row r="979" spans="1:7" hidden="1">
      <c r="A979" s="54"/>
      <c r="F979" s="4" t="s">
        <v>427</v>
      </c>
      <c r="G979" s="32">
        <f>G967-G973</f>
        <v>828179993</v>
      </c>
    </row>
    <row r="980" spans="1:7" hidden="1">
      <c r="A980" s="54"/>
    </row>
    <row r="981" spans="1:7" hidden="1">
      <c r="A981" s="54"/>
      <c r="F981" s="4" t="s">
        <v>428</v>
      </c>
      <c r="G981" s="32">
        <f>G973-G138</f>
        <v>69832749</v>
      </c>
    </row>
    <row r="982" spans="1:7" hidden="1">
      <c r="A982" s="54"/>
      <c r="F982" s="4" t="s">
        <v>418</v>
      </c>
      <c r="G982" s="32">
        <f>+G827+G838+G841+G824+G821</f>
        <v>11615317</v>
      </c>
    </row>
    <row r="983" spans="1:7" hidden="1">
      <c r="A983" s="54"/>
      <c r="F983" s="4" t="s">
        <v>410</v>
      </c>
      <c r="G983" s="32">
        <f>G265+G343+G382+G559</f>
        <v>457104474</v>
      </c>
    </row>
    <row r="984" spans="1:7" hidden="1">
      <c r="A984" s="54"/>
      <c r="G984" s="114">
        <f>G983/G967*100</f>
        <v>50.206237207749503</v>
      </c>
    </row>
    <row r="985" spans="1:7" hidden="1">
      <c r="A985" s="54"/>
      <c r="G985" s="32">
        <f>SUM(G986:G1018)</f>
        <v>910453560</v>
      </c>
    </row>
    <row r="986" spans="1:7" hidden="1">
      <c r="A986" s="54">
        <v>1</v>
      </c>
      <c r="B986" s="58"/>
      <c r="C986" s="59">
        <v>111</v>
      </c>
      <c r="D986" s="58"/>
      <c r="E986" s="60"/>
      <c r="F986" s="13" t="s">
        <v>165</v>
      </c>
      <c r="G986" s="61">
        <f>SUMIF($C$147:$C$963,111,G$147:G$963)</f>
        <v>204606</v>
      </c>
    </row>
    <row r="987" spans="1:7" hidden="1">
      <c r="A987" s="54">
        <v>2</v>
      </c>
      <c r="B987" s="58"/>
      <c r="C987" s="59">
        <v>121</v>
      </c>
      <c r="D987" s="58"/>
      <c r="E987" s="60"/>
      <c r="F987" s="13" t="s">
        <v>166</v>
      </c>
      <c r="G987" s="61">
        <f>SUMIF($C$147:$C$963,121,G$147:G$963)</f>
        <v>2831372</v>
      </c>
    </row>
    <row r="988" spans="1:7" hidden="1">
      <c r="A988" s="54">
        <v>3</v>
      </c>
      <c r="B988" s="58"/>
      <c r="C988" s="59">
        <v>123</v>
      </c>
      <c r="D988" s="58"/>
      <c r="E988" s="60"/>
      <c r="F988" s="13" t="s">
        <v>429</v>
      </c>
      <c r="G988" s="61">
        <f>SUMIF($C$147:$C$963,123,G$147:G$963)</f>
        <v>43272912</v>
      </c>
    </row>
    <row r="989" spans="1:7" ht="25.5" hidden="1">
      <c r="A989" s="54"/>
      <c r="B989" s="58"/>
      <c r="C989" s="59">
        <v>302</v>
      </c>
      <c r="D989" s="58"/>
      <c r="E989" s="60"/>
      <c r="F989" s="1" t="s">
        <v>586</v>
      </c>
      <c r="G989" s="61">
        <f>SUMIF($C$147:$C$963,302,G$147:G$963)</f>
        <v>516126</v>
      </c>
    </row>
    <row r="990" spans="1:7" ht="25.5" hidden="1">
      <c r="A990" s="54">
        <v>4</v>
      </c>
      <c r="B990" s="58"/>
      <c r="C990" s="59">
        <v>305</v>
      </c>
      <c r="D990" s="58"/>
      <c r="E990" s="60"/>
      <c r="F990" s="13" t="s">
        <v>440</v>
      </c>
      <c r="G990" s="61">
        <f>SUMIF($C$147:$C$963,305,G$147:G$963)</f>
        <v>0</v>
      </c>
    </row>
    <row r="991" spans="1:7" hidden="1">
      <c r="A991" s="54">
        <v>6</v>
      </c>
      <c r="B991" s="58"/>
      <c r="C991" s="59">
        <v>307</v>
      </c>
      <c r="D991" s="58"/>
      <c r="E991" s="60"/>
      <c r="F991" s="13" t="s">
        <v>441</v>
      </c>
      <c r="G991" s="61">
        <f>SUMIF($C$147:$C$963,307,G$147:G$963)</f>
        <v>6115958</v>
      </c>
    </row>
    <row r="992" spans="1:7" ht="25.5" hidden="1">
      <c r="A992" s="54">
        <v>7</v>
      </c>
      <c r="B992" s="58"/>
      <c r="C992" s="59">
        <v>312</v>
      </c>
      <c r="D992" s="58"/>
      <c r="E992" s="60"/>
      <c r="F992" s="13" t="s">
        <v>377</v>
      </c>
      <c r="G992" s="61">
        <f>SUMIF($C$147:$C$963,312,G$147:G$963)</f>
        <v>13134464</v>
      </c>
    </row>
    <row r="993" spans="1:8" ht="25.5" hidden="1">
      <c r="A993" s="54">
        <v>8</v>
      </c>
      <c r="B993" s="58"/>
      <c r="C993" s="59">
        <v>313</v>
      </c>
      <c r="D993" s="58"/>
      <c r="E993" s="60"/>
      <c r="F993" s="13" t="s">
        <v>379</v>
      </c>
      <c r="G993" s="61">
        <f>SUMIF($C$147:$C$963,313,G$147:G$963)</f>
        <v>1752220</v>
      </c>
    </row>
    <row r="994" spans="1:8" ht="25.5" hidden="1">
      <c r="A994" s="54">
        <v>10</v>
      </c>
      <c r="B994" s="58"/>
      <c r="C994" s="11">
        <v>333</v>
      </c>
      <c r="D994" s="11"/>
      <c r="E994" s="11"/>
      <c r="F994" s="1" t="s">
        <v>217</v>
      </c>
      <c r="G994" s="61">
        <f>SUMIF($C$147:$C$963,333,G$147:G$963)</f>
        <v>39951522</v>
      </c>
    </row>
    <row r="995" spans="1:8" ht="25.5" hidden="1">
      <c r="A995" s="54">
        <v>11</v>
      </c>
      <c r="B995" s="58"/>
      <c r="C995" s="11" t="s">
        <v>439</v>
      </c>
      <c r="D995" s="11"/>
      <c r="E995" s="11"/>
      <c r="F995" s="1" t="s">
        <v>438</v>
      </c>
      <c r="G995" s="61">
        <f>SUMIF($C$147:$C$963,337,G$147:G$963)</f>
        <v>229610</v>
      </c>
    </row>
    <row r="996" spans="1:8" ht="25.5" hidden="1">
      <c r="A996" s="54">
        <v>13</v>
      </c>
      <c r="B996" s="58"/>
      <c r="C996" s="57">
        <v>348</v>
      </c>
      <c r="D996" s="12"/>
      <c r="E996" s="12"/>
      <c r="F996" s="12" t="s">
        <v>197</v>
      </c>
      <c r="G996" s="61">
        <f>SUMIF($C$147:$C$963,348,G$147:G$963)</f>
        <v>111754414</v>
      </c>
    </row>
    <row r="997" spans="1:8" ht="25.5" hidden="1">
      <c r="A997" s="54">
        <v>14</v>
      </c>
      <c r="B997" s="54"/>
      <c r="C997" s="11">
        <v>349</v>
      </c>
      <c r="D997" s="11"/>
      <c r="E997" s="11"/>
      <c r="F997" s="1" t="s">
        <v>251</v>
      </c>
      <c r="G997" s="61">
        <f>SUMIF($C$147:$C$963,349,G$147:G$963)</f>
        <v>7683066</v>
      </c>
    </row>
    <row r="998" spans="1:8" ht="25.5" hidden="1">
      <c r="A998" s="54"/>
      <c r="B998" s="54"/>
      <c r="C998" s="120" t="s">
        <v>551</v>
      </c>
      <c r="D998" s="11"/>
      <c r="E998" s="11"/>
      <c r="F998" s="119" t="s">
        <v>552</v>
      </c>
      <c r="G998" s="61">
        <f>SUMIF($C$147:$C$963,351,G$147:G$963)</f>
        <v>4444881</v>
      </c>
    </row>
    <row r="999" spans="1:8" ht="38.25" hidden="1">
      <c r="A999" s="54"/>
      <c r="B999" s="54"/>
      <c r="C999" s="120" t="s">
        <v>598</v>
      </c>
      <c r="D999" s="11"/>
      <c r="E999" s="11"/>
      <c r="F999" s="1" t="s">
        <v>599</v>
      </c>
      <c r="G999" s="61">
        <f>SUMIF($C$147:$C$963,522,G$147:G$963)</f>
        <v>968992</v>
      </c>
    </row>
    <row r="1000" spans="1:8" ht="25.5" hidden="1">
      <c r="A1000" s="54">
        <v>16</v>
      </c>
      <c r="B1000" s="58"/>
      <c r="C1000" s="11">
        <v>352</v>
      </c>
      <c r="D1000" s="11"/>
      <c r="E1000" s="11"/>
      <c r="F1000" s="1" t="s">
        <v>193</v>
      </c>
      <c r="G1000" s="61">
        <f>SUMIF($C$147:$C$963,352,G$147:G$963)</f>
        <v>25853612</v>
      </c>
    </row>
    <row r="1001" spans="1:8" s="293" customFormat="1" ht="25.5" hidden="1">
      <c r="A1001" s="294">
        <v>17</v>
      </c>
      <c r="B1001" s="295"/>
      <c r="C1001" s="290">
        <v>353</v>
      </c>
      <c r="D1001" s="291"/>
      <c r="E1001" s="291"/>
      <c r="F1001" s="292" t="s">
        <v>263</v>
      </c>
      <c r="G1001" s="296">
        <f>SUMIF($C$147:$C$963,353,G$147:G$963)</f>
        <v>37908665</v>
      </c>
      <c r="H1001" s="333"/>
    </row>
    <row r="1002" spans="1:8" ht="25.5" hidden="1">
      <c r="A1002" s="54">
        <v>18</v>
      </c>
      <c r="B1002" s="54"/>
      <c r="C1002" s="120" t="s">
        <v>466</v>
      </c>
      <c r="D1002" s="11"/>
      <c r="E1002" s="11"/>
      <c r="F1002" s="1" t="s">
        <v>465</v>
      </c>
      <c r="G1002" s="61">
        <f>SUMIF($C$147:$C$963,303,G$147:G$963)</f>
        <v>22404706</v>
      </c>
    </row>
    <row r="1003" spans="1:8" hidden="1">
      <c r="A1003" s="54">
        <v>19</v>
      </c>
      <c r="B1003" s="58"/>
      <c r="C1003" s="11" t="s">
        <v>182</v>
      </c>
      <c r="D1003" s="4"/>
      <c r="E1003" s="4"/>
      <c r="F1003" s="1" t="s">
        <v>180</v>
      </c>
      <c r="G1003" s="61">
        <f>SUMIF($C$147:$C$963,356,G$147:G$963)</f>
        <v>71577852</v>
      </c>
    </row>
    <row r="1004" spans="1:8" ht="25.5" hidden="1">
      <c r="A1004" s="54">
        <v>20</v>
      </c>
      <c r="B1004" s="58"/>
      <c r="C1004" s="11" t="s">
        <v>204</v>
      </c>
      <c r="D1004" s="11"/>
      <c r="E1004" s="11"/>
      <c r="F1004" s="1" t="s">
        <v>183</v>
      </c>
      <c r="G1004" s="61">
        <f>SUMIF($C$147:$C$963,357,G$147:G$963)</f>
        <v>523021</v>
      </c>
    </row>
    <row r="1005" spans="1:8" hidden="1">
      <c r="A1005" s="54">
        <v>21</v>
      </c>
      <c r="B1005" s="58"/>
      <c r="C1005" s="11">
        <v>360</v>
      </c>
      <c r="D1005" s="30"/>
      <c r="E1005" s="30"/>
      <c r="F1005" s="29" t="s">
        <v>273</v>
      </c>
      <c r="G1005" s="61">
        <f>SUMIF($C$147:$C$963,360,G$147:G$963)</f>
        <v>321875544</v>
      </c>
    </row>
    <row r="1006" spans="1:8" ht="25.5" hidden="1">
      <c r="A1006" s="54"/>
      <c r="B1006" s="58"/>
      <c r="C1006" s="11" t="s">
        <v>582</v>
      </c>
      <c r="D1006" s="30"/>
      <c r="E1006" s="30"/>
      <c r="F1006" s="1" t="s">
        <v>583</v>
      </c>
      <c r="G1006" s="61">
        <f>SUMIF($C$147:$C$963,362,G$147:G$963)</f>
        <v>2041985</v>
      </c>
    </row>
    <row r="1007" spans="1:8" ht="25.5" hidden="1">
      <c r="A1007" s="54"/>
      <c r="B1007" s="58"/>
      <c r="C1007" s="120" t="s">
        <v>553</v>
      </c>
      <c r="D1007" s="30"/>
      <c r="E1007" s="30"/>
      <c r="F1007" s="119" t="s">
        <v>554</v>
      </c>
      <c r="G1007" s="61">
        <f>SUMIF($C$147:$C$963,365,G$147:G$963)</f>
        <v>497008</v>
      </c>
    </row>
    <row r="1008" spans="1:8" ht="25.5" hidden="1">
      <c r="A1008" s="54">
        <v>23</v>
      </c>
      <c r="B1008" s="58"/>
      <c r="C1008" s="11" t="s">
        <v>400</v>
      </c>
      <c r="D1008" s="30"/>
      <c r="E1008" s="30"/>
      <c r="F1008" s="1" t="s">
        <v>401</v>
      </c>
      <c r="G1008" s="61">
        <f>SUMIF($C$147:$C$963,366,G$147:G$963)</f>
        <v>268610</v>
      </c>
    </row>
    <row r="1009" spans="1:7" ht="25.5" hidden="1">
      <c r="A1009" s="54">
        <v>24</v>
      </c>
      <c r="B1009" s="58"/>
      <c r="C1009" s="11" t="s">
        <v>444</v>
      </c>
      <c r="D1009" s="30"/>
      <c r="E1009" s="30"/>
      <c r="F1009" s="1" t="s">
        <v>445</v>
      </c>
      <c r="G1009" s="61">
        <f>SUMIF($C$147:$C$963,369,G$147:G$963)</f>
        <v>548450</v>
      </c>
    </row>
    <row r="1010" spans="1:7" ht="25.5" hidden="1">
      <c r="A1010" s="54">
        <v>25</v>
      </c>
      <c r="B1010" s="58"/>
      <c r="C1010" s="120" t="s">
        <v>467</v>
      </c>
      <c r="D1010" s="11"/>
      <c r="E1010" s="11"/>
      <c r="F1010" s="1" t="s">
        <v>468</v>
      </c>
      <c r="G1010" s="61">
        <f>SUMIF($C$147:$C$963,309,G$147:G$963)</f>
        <v>23078869</v>
      </c>
    </row>
    <row r="1011" spans="1:7" ht="25.5" hidden="1">
      <c r="A1011" s="54">
        <v>26</v>
      </c>
      <c r="B1011" s="54"/>
      <c r="C1011" s="11">
        <v>373</v>
      </c>
      <c r="D1011" s="11"/>
      <c r="E1011" s="11"/>
      <c r="F1011" s="1" t="s">
        <v>288</v>
      </c>
      <c r="G1011" s="61">
        <f>SUMIF($C$147:$C$963,373,G$147:G$963)</f>
        <v>138261429</v>
      </c>
    </row>
    <row r="1012" spans="1:7" ht="25.5" hidden="1">
      <c r="A1012" s="54"/>
      <c r="B1012" s="54"/>
      <c r="C1012" s="11" t="s">
        <v>658</v>
      </c>
      <c r="D1012" s="11"/>
      <c r="E1012" s="11"/>
      <c r="F1012" s="1" t="s">
        <v>659</v>
      </c>
      <c r="G1012" s="61">
        <f>SUMIF($C$147:$C$963,376,G$147:G$963)</f>
        <v>682767</v>
      </c>
    </row>
    <row r="1013" spans="1:7" hidden="1">
      <c r="A1013" s="54">
        <v>27</v>
      </c>
      <c r="B1013" s="58"/>
      <c r="C1013" s="30" t="s">
        <v>178</v>
      </c>
      <c r="D1013" s="11"/>
      <c r="E1013" s="11"/>
      <c r="F1013" s="1" t="s">
        <v>176</v>
      </c>
      <c r="G1013" s="61">
        <f>SUMIF($C$147:$C$963,379,G$147:G$963)</f>
        <v>374823</v>
      </c>
    </row>
    <row r="1014" spans="1:7" ht="25.5" hidden="1">
      <c r="A1014" s="54">
        <v>28</v>
      </c>
      <c r="B1014" s="58"/>
      <c r="C1014" s="120" t="s">
        <v>487</v>
      </c>
      <c r="D1014" s="11"/>
      <c r="E1014" s="11"/>
      <c r="F1014" s="1" t="s">
        <v>488</v>
      </c>
      <c r="G1014" s="61">
        <f>SUMIF($C$147:$C$963,514,G$147:G$963)</f>
        <v>464585</v>
      </c>
    </row>
    <row r="1015" spans="1:7" ht="25.5" hidden="1">
      <c r="A1015" s="54">
        <v>29</v>
      </c>
      <c r="B1015" s="31"/>
      <c r="C1015" s="11">
        <v>381</v>
      </c>
      <c r="D1015" s="11"/>
      <c r="E1015" s="11"/>
      <c r="F1015" s="1" t="s">
        <v>290</v>
      </c>
      <c r="G1015" s="61">
        <f>SUMIF($C$147:$C$963,381,G$147:G$963)</f>
        <v>23157700</v>
      </c>
    </row>
    <row r="1016" spans="1:7" ht="51" hidden="1">
      <c r="A1016" s="54">
        <v>30</v>
      </c>
      <c r="B1016" s="58"/>
      <c r="C1016" s="11">
        <v>387</v>
      </c>
      <c r="D1016" s="11"/>
      <c r="E1016" s="11"/>
      <c r="F1016" s="1" t="s">
        <v>191</v>
      </c>
      <c r="G1016" s="61">
        <f>SUMIF($C$147:$C$963,387,G$147:G$963)</f>
        <v>2164263</v>
      </c>
    </row>
    <row r="1017" spans="1:7" ht="25.5" hidden="1" customHeight="1">
      <c r="A1017" s="54">
        <v>31</v>
      </c>
      <c r="B1017" s="54"/>
      <c r="C1017" s="11">
        <v>393</v>
      </c>
      <c r="D1017" s="11"/>
      <c r="E1017" s="11"/>
      <c r="F1017" s="1" t="s">
        <v>294</v>
      </c>
      <c r="G1017" s="61">
        <f>SUMIF($C$147:$C$963,393,G$147:G$963)</f>
        <v>3022761</v>
      </c>
    </row>
    <row r="1018" spans="1:7" ht="25.5" hidden="1">
      <c r="C1018" s="11" t="s">
        <v>526</v>
      </c>
      <c r="D1018" s="11"/>
      <c r="E1018" s="11"/>
      <c r="F1018" s="1" t="s">
        <v>596</v>
      </c>
      <c r="G1018" s="61">
        <f>SUMIF($C$147:$C$963,515,G$147:G$963)</f>
        <v>2886767</v>
      </c>
    </row>
    <row r="1019" spans="1:7">
      <c r="C1019" s="11"/>
      <c r="D1019" s="11"/>
      <c r="E1019" s="11"/>
      <c r="F1019" s="1"/>
      <c r="G1019" s="61"/>
    </row>
  </sheetData>
  <sheetProtection algorithmName="SHA-512" hashValue="u7ZF0JQ0M5LBiMCUDZtAN9Hl7SElF8Ki6O6eFxl34tOzXhjJMCw9Ve0ztLYKteefnDJ59O6cSvUAXKWCfMeC5g==" saltValue="G8bIvBbzNd5h1zUmcW1lXw==" spinCount="100000" sheet="1" formatCells="0" formatColumns="0" formatRows="0" insertColumns="0" insertRows="0" insertHyperlinks="0" deleteColumns="0" deleteRows="0" sort="0" autoFilter="0" pivotTables="0"/>
  <autoFilter ref="C146:C1018" xr:uid="{00000000-0001-0000-0000-000000000000}"/>
  <mergeCells count="14">
    <mergeCell ref="H141:H145"/>
    <mergeCell ref="I141:I145"/>
    <mergeCell ref="A12:G12"/>
    <mergeCell ref="C16:D16"/>
    <mergeCell ref="A141:F141"/>
    <mergeCell ref="G955:G957"/>
    <mergeCell ref="G942:G945"/>
    <mergeCell ref="G919:G921"/>
    <mergeCell ref="G930:G932"/>
    <mergeCell ref="G15:G18"/>
    <mergeCell ref="G890:G892"/>
    <mergeCell ref="G902:G905"/>
    <mergeCell ref="G865:G869"/>
    <mergeCell ref="G141:G145"/>
  </mergeCells>
  <pageMargins left="0.78740157480314965" right="0.78740157480314965" top="0.78740157480314965" bottom="0.78740157480314965" header="0.39370078740157483" footer="0.39370078740157483"/>
  <pageSetup paperSize="9" scale="81" orientation="portrait" useFirstPageNumber="1" r:id="rId1"/>
  <headerFooter alignWithMargins="0">
    <oddHeader>&amp;C&amp;"Times New Roman,обычный"&amp;P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9:AA438"/>
  <sheetViews>
    <sheetView view="pageBreakPreview" zoomScale="90" zoomScaleNormal="100" zoomScaleSheetLayoutView="90" workbookViewId="0">
      <selection activeCell="F11" sqref="A10:U11"/>
    </sheetView>
  </sheetViews>
  <sheetFormatPr defaultRowHeight="12.75"/>
  <cols>
    <col min="1" max="1" width="5.140625" style="234" customWidth="1"/>
    <col min="2" max="2" width="4.5703125" style="234" customWidth="1"/>
    <col min="3" max="3" width="3.5703125" style="234" bestFit="1" customWidth="1"/>
    <col min="4" max="4" width="4.85546875" style="234" customWidth="1"/>
    <col min="5" max="5" width="5" style="235" customWidth="1"/>
    <col min="6" max="6" width="75.42578125" style="188" customWidth="1"/>
    <col min="7" max="7" width="10.85546875" style="218" hidden="1" customWidth="1"/>
    <col min="8" max="9" width="9.7109375" style="218" hidden="1" customWidth="1"/>
    <col min="10" max="18" width="10.42578125" style="218" hidden="1" customWidth="1"/>
    <col min="19" max="19" width="10.5703125" style="218" customWidth="1"/>
    <col min="20" max="21" width="11.140625" style="218" customWidth="1"/>
    <col min="22" max="22" width="16" style="188" customWidth="1"/>
    <col min="23" max="28" width="14.28515625" style="188" customWidth="1"/>
    <col min="29" max="113" width="9.140625" style="188"/>
    <col min="114" max="114" width="4" style="188" customWidth="1"/>
    <col min="115" max="115" width="3.7109375" style="188" customWidth="1"/>
    <col min="116" max="116" width="3.85546875" style="188" customWidth="1"/>
    <col min="117" max="117" width="4" style="188" customWidth="1"/>
    <col min="118" max="118" width="3.85546875" style="188" customWidth="1"/>
    <col min="119" max="119" width="64.42578125" style="188" customWidth="1"/>
    <col min="120" max="140" width="9.140625" style="188" customWidth="1"/>
    <col min="141" max="141" width="11.28515625" style="188" customWidth="1"/>
    <col min="142" max="142" width="12.42578125" style="188" customWidth="1"/>
    <col min="143" max="143" width="12" style="188" customWidth="1"/>
    <col min="144" max="369" width="9.140625" style="188"/>
    <col min="370" max="370" width="4" style="188" customWidth="1"/>
    <col min="371" max="371" width="3.7109375" style="188" customWidth="1"/>
    <col min="372" max="372" width="3.85546875" style="188" customWidth="1"/>
    <col min="373" max="373" width="4" style="188" customWidth="1"/>
    <col min="374" max="374" width="3.85546875" style="188" customWidth="1"/>
    <col min="375" max="375" width="64.42578125" style="188" customWidth="1"/>
    <col min="376" max="396" width="9.140625" style="188" customWidth="1"/>
    <col min="397" max="397" width="11.28515625" style="188" customWidth="1"/>
    <col min="398" max="398" width="12.42578125" style="188" customWidth="1"/>
    <col min="399" max="399" width="12" style="188" customWidth="1"/>
    <col min="400" max="625" width="9.140625" style="188"/>
    <col min="626" max="626" width="4" style="188" customWidth="1"/>
    <col min="627" max="627" width="3.7109375" style="188" customWidth="1"/>
    <col min="628" max="628" width="3.85546875" style="188" customWidth="1"/>
    <col min="629" max="629" width="4" style="188" customWidth="1"/>
    <col min="630" max="630" width="3.85546875" style="188" customWidth="1"/>
    <col min="631" max="631" width="64.42578125" style="188" customWidth="1"/>
    <col min="632" max="652" width="9.140625" style="188" customWidth="1"/>
    <col min="653" max="653" width="11.28515625" style="188" customWidth="1"/>
    <col min="654" max="654" width="12.42578125" style="188" customWidth="1"/>
    <col min="655" max="655" width="12" style="188" customWidth="1"/>
    <col min="656" max="881" width="9.140625" style="188"/>
    <col min="882" max="882" width="4" style="188" customWidth="1"/>
    <col min="883" max="883" width="3.7109375" style="188" customWidth="1"/>
    <col min="884" max="884" width="3.85546875" style="188" customWidth="1"/>
    <col min="885" max="885" width="4" style="188" customWidth="1"/>
    <col min="886" max="886" width="3.85546875" style="188" customWidth="1"/>
    <col min="887" max="887" width="64.42578125" style="188" customWidth="1"/>
    <col min="888" max="908" width="9.140625" style="188" customWidth="1"/>
    <col min="909" max="909" width="11.28515625" style="188" customWidth="1"/>
    <col min="910" max="910" width="12.42578125" style="188" customWidth="1"/>
    <col min="911" max="911" width="12" style="188" customWidth="1"/>
    <col min="912" max="1137" width="9.140625" style="188"/>
    <col min="1138" max="1138" width="4" style="188" customWidth="1"/>
    <col min="1139" max="1139" width="3.7109375" style="188" customWidth="1"/>
    <col min="1140" max="1140" width="3.85546875" style="188" customWidth="1"/>
    <col min="1141" max="1141" width="4" style="188" customWidth="1"/>
    <col min="1142" max="1142" width="3.85546875" style="188" customWidth="1"/>
    <col min="1143" max="1143" width="64.42578125" style="188" customWidth="1"/>
    <col min="1144" max="1164" width="9.140625" style="188" customWidth="1"/>
    <col min="1165" max="1165" width="11.28515625" style="188" customWidth="1"/>
    <col min="1166" max="1166" width="12.42578125" style="188" customWidth="1"/>
    <col min="1167" max="1167" width="12" style="188" customWidth="1"/>
    <col min="1168" max="1393" width="9.140625" style="188"/>
    <col min="1394" max="1394" width="4" style="188" customWidth="1"/>
    <col min="1395" max="1395" width="3.7109375" style="188" customWidth="1"/>
    <col min="1396" max="1396" width="3.85546875" style="188" customWidth="1"/>
    <col min="1397" max="1397" width="4" style="188" customWidth="1"/>
    <col min="1398" max="1398" width="3.85546875" style="188" customWidth="1"/>
    <col min="1399" max="1399" width="64.42578125" style="188" customWidth="1"/>
    <col min="1400" max="1420" width="9.140625" style="188" customWidth="1"/>
    <col min="1421" max="1421" width="11.28515625" style="188" customWidth="1"/>
    <col min="1422" max="1422" width="12.42578125" style="188" customWidth="1"/>
    <col min="1423" max="1423" width="12" style="188" customWidth="1"/>
    <col min="1424" max="1649" width="9.140625" style="188"/>
    <col min="1650" max="1650" width="4" style="188" customWidth="1"/>
    <col min="1651" max="1651" width="3.7109375" style="188" customWidth="1"/>
    <col min="1652" max="1652" width="3.85546875" style="188" customWidth="1"/>
    <col min="1653" max="1653" width="4" style="188" customWidth="1"/>
    <col min="1654" max="1654" width="3.85546875" style="188" customWidth="1"/>
    <col min="1655" max="1655" width="64.42578125" style="188" customWidth="1"/>
    <col min="1656" max="1676" width="9.140625" style="188" customWidth="1"/>
    <col min="1677" max="1677" width="11.28515625" style="188" customWidth="1"/>
    <col min="1678" max="1678" width="12.42578125" style="188" customWidth="1"/>
    <col min="1679" max="1679" width="12" style="188" customWidth="1"/>
    <col min="1680" max="1905" width="9.140625" style="188"/>
    <col min="1906" max="1906" width="4" style="188" customWidth="1"/>
    <col min="1907" max="1907" width="3.7109375" style="188" customWidth="1"/>
    <col min="1908" max="1908" width="3.85546875" style="188" customWidth="1"/>
    <col min="1909" max="1909" width="4" style="188" customWidth="1"/>
    <col min="1910" max="1910" width="3.85546875" style="188" customWidth="1"/>
    <col min="1911" max="1911" width="64.42578125" style="188" customWidth="1"/>
    <col min="1912" max="1932" width="9.140625" style="188" customWidth="1"/>
    <col min="1933" max="1933" width="11.28515625" style="188" customWidth="1"/>
    <col min="1934" max="1934" width="12.42578125" style="188" customWidth="1"/>
    <col min="1935" max="1935" width="12" style="188" customWidth="1"/>
    <col min="1936" max="2161" width="9.140625" style="188"/>
    <col min="2162" max="2162" width="4" style="188" customWidth="1"/>
    <col min="2163" max="2163" width="3.7109375" style="188" customWidth="1"/>
    <col min="2164" max="2164" width="3.85546875" style="188" customWidth="1"/>
    <col min="2165" max="2165" width="4" style="188" customWidth="1"/>
    <col min="2166" max="2166" width="3.85546875" style="188" customWidth="1"/>
    <col min="2167" max="2167" width="64.42578125" style="188" customWidth="1"/>
    <col min="2168" max="2188" width="9.140625" style="188" customWidth="1"/>
    <col min="2189" max="2189" width="11.28515625" style="188" customWidth="1"/>
    <col min="2190" max="2190" width="12.42578125" style="188" customWidth="1"/>
    <col min="2191" max="2191" width="12" style="188" customWidth="1"/>
    <col min="2192" max="2417" width="9.140625" style="188"/>
    <col min="2418" max="2418" width="4" style="188" customWidth="1"/>
    <col min="2419" max="2419" width="3.7109375" style="188" customWidth="1"/>
    <col min="2420" max="2420" width="3.85546875" style="188" customWidth="1"/>
    <col min="2421" max="2421" width="4" style="188" customWidth="1"/>
    <col min="2422" max="2422" width="3.85546875" style="188" customWidth="1"/>
    <col min="2423" max="2423" width="64.42578125" style="188" customWidth="1"/>
    <col min="2424" max="2444" width="9.140625" style="188" customWidth="1"/>
    <col min="2445" max="2445" width="11.28515625" style="188" customWidth="1"/>
    <col min="2446" max="2446" width="12.42578125" style="188" customWidth="1"/>
    <col min="2447" max="2447" width="12" style="188" customWidth="1"/>
    <col min="2448" max="2673" width="9.140625" style="188"/>
    <col min="2674" max="2674" width="4" style="188" customWidth="1"/>
    <col min="2675" max="2675" width="3.7109375" style="188" customWidth="1"/>
    <col min="2676" max="2676" width="3.85546875" style="188" customWidth="1"/>
    <col min="2677" max="2677" width="4" style="188" customWidth="1"/>
    <col min="2678" max="2678" width="3.85546875" style="188" customWidth="1"/>
    <col min="2679" max="2679" width="64.42578125" style="188" customWidth="1"/>
    <col min="2680" max="2700" width="9.140625" style="188" customWidth="1"/>
    <col min="2701" max="2701" width="11.28515625" style="188" customWidth="1"/>
    <col min="2702" max="2702" width="12.42578125" style="188" customWidth="1"/>
    <col min="2703" max="2703" width="12" style="188" customWidth="1"/>
    <col min="2704" max="2929" width="9.140625" style="188"/>
    <col min="2930" max="2930" width="4" style="188" customWidth="1"/>
    <col min="2931" max="2931" width="3.7109375" style="188" customWidth="1"/>
    <col min="2932" max="2932" width="3.85546875" style="188" customWidth="1"/>
    <col min="2933" max="2933" width="4" style="188" customWidth="1"/>
    <col min="2934" max="2934" width="3.85546875" style="188" customWidth="1"/>
    <col min="2935" max="2935" width="64.42578125" style="188" customWidth="1"/>
    <col min="2936" max="2956" width="9.140625" style="188" customWidth="1"/>
    <col min="2957" max="2957" width="11.28515625" style="188" customWidth="1"/>
    <col min="2958" max="2958" width="12.42578125" style="188" customWidth="1"/>
    <col min="2959" max="2959" width="12" style="188" customWidth="1"/>
    <col min="2960" max="3185" width="9.140625" style="188"/>
    <col min="3186" max="3186" width="4" style="188" customWidth="1"/>
    <col min="3187" max="3187" width="3.7109375" style="188" customWidth="1"/>
    <col min="3188" max="3188" width="3.85546875" style="188" customWidth="1"/>
    <col min="3189" max="3189" width="4" style="188" customWidth="1"/>
    <col min="3190" max="3190" width="3.85546875" style="188" customWidth="1"/>
    <col min="3191" max="3191" width="64.42578125" style="188" customWidth="1"/>
    <col min="3192" max="3212" width="9.140625" style="188" customWidth="1"/>
    <col min="3213" max="3213" width="11.28515625" style="188" customWidth="1"/>
    <col min="3214" max="3214" width="12.42578125" style="188" customWidth="1"/>
    <col min="3215" max="3215" width="12" style="188" customWidth="1"/>
    <col min="3216" max="3441" width="9.140625" style="188"/>
    <col min="3442" max="3442" width="4" style="188" customWidth="1"/>
    <col min="3443" max="3443" width="3.7109375" style="188" customWidth="1"/>
    <col min="3444" max="3444" width="3.85546875" style="188" customWidth="1"/>
    <col min="3445" max="3445" width="4" style="188" customWidth="1"/>
    <col min="3446" max="3446" width="3.85546875" style="188" customWidth="1"/>
    <col min="3447" max="3447" width="64.42578125" style="188" customWidth="1"/>
    <col min="3448" max="3468" width="9.140625" style="188" customWidth="1"/>
    <col min="3469" max="3469" width="11.28515625" style="188" customWidth="1"/>
    <col min="3470" max="3470" width="12.42578125" style="188" customWidth="1"/>
    <col min="3471" max="3471" width="12" style="188" customWidth="1"/>
    <col min="3472" max="3697" width="9.140625" style="188"/>
    <col min="3698" max="3698" width="4" style="188" customWidth="1"/>
    <col min="3699" max="3699" width="3.7109375" style="188" customWidth="1"/>
    <col min="3700" max="3700" width="3.85546875" style="188" customWidth="1"/>
    <col min="3701" max="3701" width="4" style="188" customWidth="1"/>
    <col min="3702" max="3702" width="3.85546875" style="188" customWidth="1"/>
    <col min="3703" max="3703" width="64.42578125" style="188" customWidth="1"/>
    <col min="3704" max="3724" width="9.140625" style="188" customWidth="1"/>
    <col min="3725" max="3725" width="11.28515625" style="188" customWidth="1"/>
    <col min="3726" max="3726" width="12.42578125" style="188" customWidth="1"/>
    <col min="3727" max="3727" width="12" style="188" customWidth="1"/>
    <col min="3728" max="3953" width="9.140625" style="188"/>
    <col min="3954" max="3954" width="4" style="188" customWidth="1"/>
    <col min="3955" max="3955" width="3.7109375" style="188" customWidth="1"/>
    <col min="3956" max="3956" width="3.85546875" style="188" customWidth="1"/>
    <col min="3957" max="3957" width="4" style="188" customWidth="1"/>
    <col min="3958" max="3958" width="3.85546875" style="188" customWidth="1"/>
    <col min="3959" max="3959" width="64.42578125" style="188" customWidth="1"/>
    <col min="3960" max="3980" width="9.140625" style="188" customWidth="1"/>
    <col min="3981" max="3981" width="11.28515625" style="188" customWidth="1"/>
    <col min="3982" max="3982" width="12.42578125" style="188" customWidth="1"/>
    <col min="3983" max="3983" width="12" style="188" customWidth="1"/>
    <col min="3984" max="4209" width="9.140625" style="188"/>
    <col min="4210" max="4210" width="4" style="188" customWidth="1"/>
    <col min="4211" max="4211" width="3.7109375" style="188" customWidth="1"/>
    <col min="4212" max="4212" width="3.85546875" style="188" customWidth="1"/>
    <col min="4213" max="4213" width="4" style="188" customWidth="1"/>
    <col min="4214" max="4214" width="3.85546875" style="188" customWidth="1"/>
    <col min="4215" max="4215" width="64.42578125" style="188" customWidth="1"/>
    <col min="4216" max="4236" width="9.140625" style="188" customWidth="1"/>
    <col min="4237" max="4237" width="11.28515625" style="188" customWidth="1"/>
    <col min="4238" max="4238" width="12.42578125" style="188" customWidth="1"/>
    <col min="4239" max="4239" width="12" style="188" customWidth="1"/>
    <col min="4240" max="4465" width="9.140625" style="188"/>
    <col min="4466" max="4466" width="4" style="188" customWidth="1"/>
    <col min="4467" max="4467" width="3.7109375" style="188" customWidth="1"/>
    <col min="4468" max="4468" width="3.85546875" style="188" customWidth="1"/>
    <col min="4469" max="4469" width="4" style="188" customWidth="1"/>
    <col min="4470" max="4470" width="3.85546875" style="188" customWidth="1"/>
    <col min="4471" max="4471" width="64.42578125" style="188" customWidth="1"/>
    <col min="4472" max="4492" width="9.140625" style="188" customWidth="1"/>
    <col min="4493" max="4493" width="11.28515625" style="188" customWidth="1"/>
    <col min="4494" max="4494" width="12.42578125" style="188" customWidth="1"/>
    <col min="4495" max="4495" width="12" style="188" customWidth="1"/>
    <col min="4496" max="4721" width="9.140625" style="188"/>
    <col min="4722" max="4722" width="4" style="188" customWidth="1"/>
    <col min="4723" max="4723" width="3.7109375" style="188" customWidth="1"/>
    <col min="4724" max="4724" width="3.85546875" style="188" customWidth="1"/>
    <col min="4725" max="4725" width="4" style="188" customWidth="1"/>
    <col min="4726" max="4726" width="3.85546875" style="188" customWidth="1"/>
    <col min="4727" max="4727" width="64.42578125" style="188" customWidth="1"/>
    <col min="4728" max="4748" width="9.140625" style="188" customWidth="1"/>
    <col min="4749" max="4749" width="11.28515625" style="188" customWidth="1"/>
    <col min="4750" max="4750" width="12.42578125" style="188" customWidth="1"/>
    <col min="4751" max="4751" width="12" style="188" customWidth="1"/>
    <col min="4752" max="4977" width="9.140625" style="188"/>
    <col min="4978" max="4978" width="4" style="188" customWidth="1"/>
    <col min="4979" max="4979" width="3.7109375" style="188" customWidth="1"/>
    <col min="4980" max="4980" width="3.85546875" style="188" customWidth="1"/>
    <col min="4981" max="4981" width="4" style="188" customWidth="1"/>
    <col min="4982" max="4982" width="3.85546875" style="188" customWidth="1"/>
    <col min="4983" max="4983" width="64.42578125" style="188" customWidth="1"/>
    <col min="4984" max="5004" width="9.140625" style="188" customWidth="1"/>
    <col min="5005" max="5005" width="11.28515625" style="188" customWidth="1"/>
    <col min="5006" max="5006" width="12.42578125" style="188" customWidth="1"/>
    <col min="5007" max="5007" width="12" style="188" customWidth="1"/>
    <col min="5008" max="5233" width="9.140625" style="188"/>
    <col min="5234" max="5234" width="4" style="188" customWidth="1"/>
    <col min="5235" max="5235" width="3.7109375" style="188" customWidth="1"/>
    <col min="5236" max="5236" width="3.85546875" style="188" customWidth="1"/>
    <col min="5237" max="5237" width="4" style="188" customWidth="1"/>
    <col min="5238" max="5238" width="3.85546875" style="188" customWidth="1"/>
    <col min="5239" max="5239" width="64.42578125" style="188" customWidth="1"/>
    <col min="5240" max="5260" width="9.140625" style="188" customWidth="1"/>
    <col min="5261" max="5261" width="11.28515625" style="188" customWidth="1"/>
    <col min="5262" max="5262" width="12.42578125" style="188" customWidth="1"/>
    <col min="5263" max="5263" width="12" style="188" customWidth="1"/>
    <col min="5264" max="5489" width="9.140625" style="188"/>
    <col min="5490" max="5490" width="4" style="188" customWidth="1"/>
    <col min="5491" max="5491" width="3.7109375" style="188" customWidth="1"/>
    <col min="5492" max="5492" width="3.85546875" style="188" customWidth="1"/>
    <col min="5493" max="5493" width="4" style="188" customWidth="1"/>
    <col min="5494" max="5494" width="3.85546875" style="188" customWidth="1"/>
    <col min="5495" max="5495" width="64.42578125" style="188" customWidth="1"/>
    <col min="5496" max="5516" width="9.140625" style="188" customWidth="1"/>
    <col min="5517" max="5517" width="11.28515625" style="188" customWidth="1"/>
    <col min="5518" max="5518" width="12.42578125" style="188" customWidth="1"/>
    <col min="5519" max="5519" width="12" style="188" customWidth="1"/>
    <col min="5520" max="5745" width="9.140625" style="188"/>
    <col min="5746" max="5746" width="4" style="188" customWidth="1"/>
    <col min="5747" max="5747" width="3.7109375" style="188" customWidth="1"/>
    <col min="5748" max="5748" width="3.85546875" style="188" customWidth="1"/>
    <col min="5749" max="5749" width="4" style="188" customWidth="1"/>
    <col min="5750" max="5750" width="3.85546875" style="188" customWidth="1"/>
    <col min="5751" max="5751" width="64.42578125" style="188" customWidth="1"/>
    <col min="5752" max="5772" width="9.140625" style="188" customWidth="1"/>
    <col min="5773" max="5773" width="11.28515625" style="188" customWidth="1"/>
    <col min="5774" max="5774" width="12.42578125" style="188" customWidth="1"/>
    <col min="5775" max="5775" width="12" style="188" customWidth="1"/>
    <col min="5776" max="6001" width="9.140625" style="188"/>
    <col min="6002" max="6002" width="4" style="188" customWidth="1"/>
    <col min="6003" max="6003" width="3.7109375" style="188" customWidth="1"/>
    <col min="6004" max="6004" width="3.85546875" style="188" customWidth="1"/>
    <col min="6005" max="6005" width="4" style="188" customWidth="1"/>
    <col min="6006" max="6006" width="3.85546875" style="188" customWidth="1"/>
    <col min="6007" max="6007" width="64.42578125" style="188" customWidth="1"/>
    <col min="6008" max="6028" width="9.140625" style="188" customWidth="1"/>
    <col min="6029" max="6029" width="11.28515625" style="188" customWidth="1"/>
    <col min="6030" max="6030" width="12.42578125" style="188" customWidth="1"/>
    <col min="6031" max="6031" width="12" style="188" customWidth="1"/>
    <col min="6032" max="6257" width="9.140625" style="188"/>
    <col min="6258" max="6258" width="4" style="188" customWidth="1"/>
    <col min="6259" max="6259" width="3.7109375" style="188" customWidth="1"/>
    <col min="6260" max="6260" width="3.85546875" style="188" customWidth="1"/>
    <col min="6261" max="6261" width="4" style="188" customWidth="1"/>
    <col min="6262" max="6262" width="3.85546875" style="188" customWidth="1"/>
    <col min="6263" max="6263" width="64.42578125" style="188" customWidth="1"/>
    <col min="6264" max="6284" width="9.140625" style="188" customWidth="1"/>
    <col min="6285" max="6285" width="11.28515625" style="188" customWidth="1"/>
    <col min="6286" max="6286" width="12.42578125" style="188" customWidth="1"/>
    <col min="6287" max="6287" width="12" style="188" customWidth="1"/>
    <col min="6288" max="6513" width="9.140625" style="188"/>
    <col min="6514" max="6514" width="4" style="188" customWidth="1"/>
    <col min="6515" max="6515" width="3.7109375" style="188" customWidth="1"/>
    <col min="6516" max="6516" width="3.85546875" style="188" customWidth="1"/>
    <col min="6517" max="6517" width="4" style="188" customWidth="1"/>
    <col min="6518" max="6518" width="3.85546875" style="188" customWidth="1"/>
    <col min="6519" max="6519" width="64.42578125" style="188" customWidth="1"/>
    <col min="6520" max="6540" width="9.140625" style="188" customWidth="1"/>
    <col min="6541" max="6541" width="11.28515625" style="188" customWidth="1"/>
    <col min="6542" max="6542" width="12.42578125" style="188" customWidth="1"/>
    <col min="6543" max="6543" width="12" style="188" customWidth="1"/>
    <col min="6544" max="6769" width="9.140625" style="188"/>
    <col min="6770" max="6770" width="4" style="188" customWidth="1"/>
    <col min="6771" max="6771" width="3.7109375" style="188" customWidth="1"/>
    <col min="6772" max="6772" width="3.85546875" style="188" customWidth="1"/>
    <col min="6773" max="6773" width="4" style="188" customWidth="1"/>
    <col min="6774" max="6774" width="3.85546875" style="188" customWidth="1"/>
    <col min="6775" max="6775" width="64.42578125" style="188" customWidth="1"/>
    <col min="6776" max="6796" width="9.140625" style="188" customWidth="1"/>
    <col min="6797" max="6797" width="11.28515625" style="188" customWidth="1"/>
    <col min="6798" max="6798" width="12.42578125" style="188" customWidth="1"/>
    <col min="6799" max="6799" width="12" style="188" customWidth="1"/>
    <col min="6800" max="7025" width="9.140625" style="188"/>
    <col min="7026" max="7026" width="4" style="188" customWidth="1"/>
    <col min="7027" max="7027" width="3.7109375" style="188" customWidth="1"/>
    <col min="7028" max="7028" width="3.85546875" style="188" customWidth="1"/>
    <col min="7029" max="7029" width="4" style="188" customWidth="1"/>
    <col min="7030" max="7030" width="3.85546875" style="188" customWidth="1"/>
    <col min="7031" max="7031" width="64.42578125" style="188" customWidth="1"/>
    <col min="7032" max="7052" width="9.140625" style="188" customWidth="1"/>
    <col min="7053" max="7053" width="11.28515625" style="188" customWidth="1"/>
    <col min="7054" max="7054" width="12.42578125" style="188" customWidth="1"/>
    <col min="7055" max="7055" width="12" style="188" customWidth="1"/>
    <col min="7056" max="7281" width="9.140625" style="188"/>
    <col min="7282" max="7282" width="4" style="188" customWidth="1"/>
    <col min="7283" max="7283" width="3.7109375" style="188" customWidth="1"/>
    <col min="7284" max="7284" width="3.85546875" style="188" customWidth="1"/>
    <col min="7285" max="7285" width="4" style="188" customWidth="1"/>
    <col min="7286" max="7286" width="3.85546875" style="188" customWidth="1"/>
    <col min="7287" max="7287" width="64.42578125" style="188" customWidth="1"/>
    <col min="7288" max="7308" width="9.140625" style="188" customWidth="1"/>
    <col min="7309" max="7309" width="11.28515625" style="188" customWidth="1"/>
    <col min="7310" max="7310" width="12.42578125" style="188" customWidth="1"/>
    <col min="7311" max="7311" width="12" style="188" customWidth="1"/>
    <col min="7312" max="7537" width="9.140625" style="188"/>
    <col min="7538" max="7538" width="4" style="188" customWidth="1"/>
    <col min="7539" max="7539" width="3.7109375" style="188" customWidth="1"/>
    <col min="7540" max="7540" width="3.85546875" style="188" customWidth="1"/>
    <col min="7541" max="7541" width="4" style="188" customWidth="1"/>
    <col min="7542" max="7542" width="3.85546875" style="188" customWidth="1"/>
    <col min="7543" max="7543" width="64.42578125" style="188" customWidth="1"/>
    <col min="7544" max="7564" width="9.140625" style="188" customWidth="1"/>
    <col min="7565" max="7565" width="11.28515625" style="188" customWidth="1"/>
    <col min="7566" max="7566" width="12.42578125" style="188" customWidth="1"/>
    <col min="7567" max="7567" width="12" style="188" customWidth="1"/>
    <col min="7568" max="7793" width="9.140625" style="188"/>
    <col min="7794" max="7794" width="4" style="188" customWidth="1"/>
    <col min="7795" max="7795" width="3.7109375" style="188" customWidth="1"/>
    <col min="7796" max="7796" width="3.85546875" style="188" customWidth="1"/>
    <col min="7797" max="7797" width="4" style="188" customWidth="1"/>
    <col min="7798" max="7798" width="3.85546875" style="188" customWidth="1"/>
    <col min="7799" max="7799" width="64.42578125" style="188" customWidth="1"/>
    <col min="7800" max="7820" width="9.140625" style="188" customWidth="1"/>
    <col min="7821" max="7821" width="11.28515625" style="188" customWidth="1"/>
    <col min="7822" max="7822" width="12.42578125" style="188" customWidth="1"/>
    <col min="7823" max="7823" width="12" style="188" customWidth="1"/>
    <col min="7824" max="8049" width="9.140625" style="188"/>
    <col min="8050" max="8050" width="4" style="188" customWidth="1"/>
    <col min="8051" max="8051" width="3.7109375" style="188" customWidth="1"/>
    <col min="8052" max="8052" width="3.85546875" style="188" customWidth="1"/>
    <col min="8053" max="8053" width="4" style="188" customWidth="1"/>
    <col min="8054" max="8054" width="3.85546875" style="188" customWidth="1"/>
    <col min="8055" max="8055" width="64.42578125" style="188" customWidth="1"/>
    <col min="8056" max="8076" width="9.140625" style="188" customWidth="1"/>
    <col min="8077" max="8077" width="11.28515625" style="188" customWidth="1"/>
    <col min="8078" max="8078" width="12.42578125" style="188" customWidth="1"/>
    <col min="8079" max="8079" width="12" style="188" customWidth="1"/>
    <col min="8080" max="8305" width="9.140625" style="188"/>
    <col min="8306" max="8306" width="4" style="188" customWidth="1"/>
    <col min="8307" max="8307" width="3.7109375" style="188" customWidth="1"/>
    <col min="8308" max="8308" width="3.85546875" style="188" customWidth="1"/>
    <col min="8309" max="8309" width="4" style="188" customWidth="1"/>
    <col min="8310" max="8310" width="3.85546875" style="188" customWidth="1"/>
    <col min="8311" max="8311" width="64.42578125" style="188" customWidth="1"/>
    <col min="8312" max="8332" width="9.140625" style="188" customWidth="1"/>
    <col min="8333" max="8333" width="11.28515625" style="188" customWidth="1"/>
    <col min="8334" max="8334" width="12.42578125" style="188" customWidth="1"/>
    <col min="8335" max="8335" width="12" style="188" customWidth="1"/>
    <col min="8336" max="8561" width="9.140625" style="188"/>
    <col min="8562" max="8562" width="4" style="188" customWidth="1"/>
    <col min="8563" max="8563" width="3.7109375" style="188" customWidth="1"/>
    <col min="8564" max="8564" width="3.85546875" style="188" customWidth="1"/>
    <col min="8565" max="8565" width="4" style="188" customWidth="1"/>
    <col min="8566" max="8566" width="3.85546875" style="188" customWidth="1"/>
    <col min="8567" max="8567" width="64.42578125" style="188" customWidth="1"/>
    <col min="8568" max="8588" width="9.140625" style="188" customWidth="1"/>
    <col min="8589" max="8589" width="11.28515625" style="188" customWidth="1"/>
    <col min="8590" max="8590" width="12.42578125" style="188" customWidth="1"/>
    <col min="8591" max="8591" width="12" style="188" customWidth="1"/>
    <col min="8592" max="8817" width="9.140625" style="188"/>
    <col min="8818" max="8818" width="4" style="188" customWidth="1"/>
    <col min="8819" max="8819" width="3.7109375" style="188" customWidth="1"/>
    <col min="8820" max="8820" width="3.85546875" style="188" customWidth="1"/>
    <col min="8821" max="8821" width="4" style="188" customWidth="1"/>
    <col min="8822" max="8822" width="3.85546875" style="188" customWidth="1"/>
    <col min="8823" max="8823" width="64.42578125" style="188" customWidth="1"/>
    <col min="8824" max="8844" width="9.140625" style="188" customWidth="1"/>
    <col min="8845" max="8845" width="11.28515625" style="188" customWidth="1"/>
    <col min="8846" max="8846" width="12.42578125" style="188" customWidth="1"/>
    <col min="8847" max="8847" width="12" style="188" customWidth="1"/>
    <col min="8848" max="9073" width="9.140625" style="188"/>
    <col min="9074" max="9074" width="4" style="188" customWidth="1"/>
    <col min="9075" max="9075" width="3.7109375" style="188" customWidth="1"/>
    <col min="9076" max="9076" width="3.85546875" style="188" customWidth="1"/>
    <col min="9077" max="9077" width="4" style="188" customWidth="1"/>
    <col min="9078" max="9078" width="3.85546875" style="188" customWidth="1"/>
    <col min="9079" max="9079" width="64.42578125" style="188" customWidth="1"/>
    <col min="9080" max="9100" width="9.140625" style="188" customWidth="1"/>
    <col min="9101" max="9101" width="11.28515625" style="188" customWidth="1"/>
    <col min="9102" max="9102" width="12.42578125" style="188" customWidth="1"/>
    <col min="9103" max="9103" width="12" style="188" customWidth="1"/>
    <col min="9104" max="9329" width="9.140625" style="188"/>
    <col min="9330" max="9330" width="4" style="188" customWidth="1"/>
    <col min="9331" max="9331" width="3.7109375" style="188" customWidth="1"/>
    <col min="9332" max="9332" width="3.85546875" style="188" customWidth="1"/>
    <col min="9333" max="9333" width="4" style="188" customWidth="1"/>
    <col min="9334" max="9334" width="3.85546875" style="188" customWidth="1"/>
    <col min="9335" max="9335" width="64.42578125" style="188" customWidth="1"/>
    <col min="9336" max="9356" width="9.140625" style="188" customWidth="1"/>
    <col min="9357" max="9357" width="11.28515625" style="188" customWidth="1"/>
    <col min="9358" max="9358" width="12.42578125" style="188" customWidth="1"/>
    <col min="9359" max="9359" width="12" style="188" customWidth="1"/>
    <col min="9360" max="9585" width="9.140625" style="188"/>
    <col min="9586" max="9586" width="4" style="188" customWidth="1"/>
    <col min="9587" max="9587" width="3.7109375" style="188" customWidth="1"/>
    <col min="9588" max="9588" width="3.85546875" style="188" customWidth="1"/>
    <col min="9589" max="9589" width="4" style="188" customWidth="1"/>
    <col min="9590" max="9590" width="3.85546875" style="188" customWidth="1"/>
    <col min="9591" max="9591" width="64.42578125" style="188" customWidth="1"/>
    <col min="9592" max="9612" width="9.140625" style="188" customWidth="1"/>
    <col min="9613" max="9613" width="11.28515625" style="188" customWidth="1"/>
    <col min="9614" max="9614" width="12.42578125" style="188" customWidth="1"/>
    <col min="9615" max="9615" width="12" style="188" customWidth="1"/>
    <col min="9616" max="9841" width="9.140625" style="188"/>
    <col min="9842" max="9842" width="4" style="188" customWidth="1"/>
    <col min="9843" max="9843" width="3.7109375" style="188" customWidth="1"/>
    <col min="9844" max="9844" width="3.85546875" style="188" customWidth="1"/>
    <col min="9845" max="9845" width="4" style="188" customWidth="1"/>
    <col min="9846" max="9846" width="3.85546875" style="188" customWidth="1"/>
    <col min="9847" max="9847" width="64.42578125" style="188" customWidth="1"/>
    <col min="9848" max="9868" width="9.140625" style="188" customWidth="1"/>
    <col min="9869" max="9869" width="11.28515625" style="188" customWidth="1"/>
    <col min="9870" max="9870" width="12.42578125" style="188" customWidth="1"/>
    <col min="9871" max="9871" width="12" style="188" customWidth="1"/>
    <col min="9872" max="10097" width="9.140625" style="188"/>
    <col min="10098" max="10098" width="4" style="188" customWidth="1"/>
    <col min="10099" max="10099" width="3.7109375" style="188" customWidth="1"/>
    <col min="10100" max="10100" width="3.85546875" style="188" customWidth="1"/>
    <col min="10101" max="10101" width="4" style="188" customWidth="1"/>
    <col min="10102" max="10102" width="3.85546875" style="188" customWidth="1"/>
    <col min="10103" max="10103" width="64.42578125" style="188" customWidth="1"/>
    <col min="10104" max="10124" width="9.140625" style="188" customWidth="1"/>
    <col min="10125" max="10125" width="11.28515625" style="188" customWidth="1"/>
    <col min="10126" max="10126" width="12.42578125" style="188" customWidth="1"/>
    <col min="10127" max="10127" width="12" style="188" customWidth="1"/>
    <col min="10128" max="10353" width="9.140625" style="188"/>
    <col min="10354" max="10354" width="4" style="188" customWidth="1"/>
    <col min="10355" max="10355" width="3.7109375" style="188" customWidth="1"/>
    <col min="10356" max="10356" width="3.85546875" style="188" customWidth="1"/>
    <col min="10357" max="10357" width="4" style="188" customWidth="1"/>
    <col min="10358" max="10358" width="3.85546875" style="188" customWidth="1"/>
    <col min="10359" max="10359" width="64.42578125" style="188" customWidth="1"/>
    <col min="10360" max="10380" width="9.140625" style="188" customWidth="1"/>
    <col min="10381" max="10381" width="11.28515625" style="188" customWidth="1"/>
    <col min="10382" max="10382" width="12.42578125" style="188" customWidth="1"/>
    <col min="10383" max="10383" width="12" style="188" customWidth="1"/>
    <col min="10384" max="10609" width="9.140625" style="188"/>
    <col min="10610" max="10610" width="4" style="188" customWidth="1"/>
    <col min="10611" max="10611" width="3.7109375" style="188" customWidth="1"/>
    <col min="10612" max="10612" width="3.85546875" style="188" customWidth="1"/>
    <col min="10613" max="10613" width="4" style="188" customWidth="1"/>
    <col min="10614" max="10614" width="3.85546875" style="188" customWidth="1"/>
    <col min="10615" max="10615" width="64.42578125" style="188" customWidth="1"/>
    <col min="10616" max="10636" width="9.140625" style="188" customWidth="1"/>
    <col min="10637" max="10637" width="11.28515625" style="188" customWidth="1"/>
    <col min="10638" max="10638" width="12.42578125" style="188" customWidth="1"/>
    <col min="10639" max="10639" width="12" style="188" customWidth="1"/>
    <col min="10640" max="10865" width="9.140625" style="188"/>
    <col min="10866" max="10866" width="4" style="188" customWidth="1"/>
    <col min="10867" max="10867" width="3.7109375" style="188" customWidth="1"/>
    <col min="10868" max="10868" width="3.85546875" style="188" customWidth="1"/>
    <col min="10869" max="10869" width="4" style="188" customWidth="1"/>
    <col min="10870" max="10870" width="3.85546875" style="188" customWidth="1"/>
    <col min="10871" max="10871" width="64.42578125" style="188" customWidth="1"/>
    <col min="10872" max="10892" width="9.140625" style="188" customWidth="1"/>
    <col min="10893" max="10893" width="11.28515625" style="188" customWidth="1"/>
    <col min="10894" max="10894" width="12.42578125" style="188" customWidth="1"/>
    <col min="10895" max="10895" width="12" style="188" customWidth="1"/>
    <col min="10896" max="11121" width="9.140625" style="188"/>
    <col min="11122" max="11122" width="4" style="188" customWidth="1"/>
    <col min="11123" max="11123" width="3.7109375" style="188" customWidth="1"/>
    <col min="11124" max="11124" width="3.85546875" style="188" customWidth="1"/>
    <col min="11125" max="11125" width="4" style="188" customWidth="1"/>
    <col min="11126" max="11126" width="3.85546875" style="188" customWidth="1"/>
    <col min="11127" max="11127" width="64.42578125" style="188" customWidth="1"/>
    <col min="11128" max="11148" width="9.140625" style="188" customWidth="1"/>
    <col min="11149" max="11149" width="11.28515625" style="188" customWidth="1"/>
    <col min="11150" max="11150" width="12.42578125" style="188" customWidth="1"/>
    <col min="11151" max="11151" width="12" style="188" customWidth="1"/>
    <col min="11152" max="11377" width="9.140625" style="188"/>
    <col min="11378" max="11378" width="4" style="188" customWidth="1"/>
    <col min="11379" max="11379" width="3.7109375" style="188" customWidth="1"/>
    <col min="11380" max="11380" width="3.85546875" style="188" customWidth="1"/>
    <col min="11381" max="11381" width="4" style="188" customWidth="1"/>
    <col min="11382" max="11382" width="3.85546875" style="188" customWidth="1"/>
    <col min="11383" max="11383" width="64.42578125" style="188" customWidth="1"/>
    <col min="11384" max="11404" width="9.140625" style="188" customWidth="1"/>
    <col min="11405" max="11405" width="11.28515625" style="188" customWidth="1"/>
    <col min="11406" max="11406" width="12.42578125" style="188" customWidth="1"/>
    <col min="11407" max="11407" width="12" style="188" customWidth="1"/>
    <col min="11408" max="11633" width="9.140625" style="188"/>
    <col min="11634" max="11634" width="4" style="188" customWidth="1"/>
    <col min="11635" max="11635" width="3.7109375" style="188" customWidth="1"/>
    <col min="11636" max="11636" width="3.85546875" style="188" customWidth="1"/>
    <col min="11637" max="11637" width="4" style="188" customWidth="1"/>
    <col min="11638" max="11638" width="3.85546875" style="188" customWidth="1"/>
    <col min="11639" max="11639" width="64.42578125" style="188" customWidth="1"/>
    <col min="11640" max="11660" width="9.140625" style="188" customWidth="1"/>
    <col min="11661" max="11661" width="11.28515625" style="188" customWidth="1"/>
    <col min="11662" max="11662" width="12.42578125" style="188" customWidth="1"/>
    <col min="11663" max="11663" width="12" style="188" customWidth="1"/>
    <col min="11664" max="11889" width="9.140625" style="188"/>
    <col min="11890" max="11890" width="4" style="188" customWidth="1"/>
    <col min="11891" max="11891" width="3.7109375" style="188" customWidth="1"/>
    <col min="11892" max="11892" width="3.85546875" style="188" customWidth="1"/>
    <col min="11893" max="11893" width="4" style="188" customWidth="1"/>
    <col min="11894" max="11894" width="3.85546875" style="188" customWidth="1"/>
    <col min="11895" max="11895" width="64.42578125" style="188" customWidth="1"/>
    <col min="11896" max="11916" width="9.140625" style="188" customWidth="1"/>
    <col min="11917" max="11917" width="11.28515625" style="188" customWidth="1"/>
    <col min="11918" max="11918" width="12.42578125" style="188" customWidth="1"/>
    <col min="11919" max="11919" width="12" style="188" customWidth="1"/>
    <col min="11920" max="12145" width="9.140625" style="188"/>
    <col min="12146" max="12146" width="4" style="188" customWidth="1"/>
    <col min="12147" max="12147" width="3.7109375" style="188" customWidth="1"/>
    <col min="12148" max="12148" width="3.85546875" style="188" customWidth="1"/>
    <col min="12149" max="12149" width="4" style="188" customWidth="1"/>
    <col min="12150" max="12150" width="3.85546875" style="188" customWidth="1"/>
    <col min="12151" max="12151" width="64.42578125" style="188" customWidth="1"/>
    <col min="12152" max="12172" width="9.140625" style="188" customWidth="1"/>
    <col min="12173" max="12173" width="11.28515625" style="188" customWidth="1"/>
    <col min="12174" max="12174" width="12.42578125" style="188" customWidth="1"/>
    <col min="12175" max="12175" width="12" style="188" customWidth="1"/>
    <col min="12176" max="12401" width="9.140625" style="188"/>
    <col min="12402" max="12402" width="4" style="188" customWidth="1"/>
    <col min="12403" max="12403" width="3.7109375" style="188" customWidth="1"/>
    <col min="12404" max="12404" width="3.85546875" style="188" customWidth="1"/>
    <col min="12405" max="12405" width="4" style="188" customWidth="1"/>
    <col min="12406" max="12406" width="3.85546875" style="188" customWidth="1"/>
    <col min="12407" max="12407" width="64.42578125" style="188" customWidth="1"/>
    <col min="12408" max="12428" width="9.140625" style="188" customWidth="1"/>
    <col min="12429" max="12429" width="11.28515625" style="188" customWidth="1"/>
    <col min="12430" max="12430" width="12.42578125" style="188" customWidth="1"/>
    <col min="12431" max="12431" width="12" style="188" customWidth="1"/>
    <col min="12432" max="12657" width="9.140625" style="188"/>
    <col min="12658" max="12658" width="4" style="188" customWidth="1"/>
    <col min="12659" max="12659" width="3.7109375" style="188" customWidth="1"/>
    <col min="12660" max="12660" width="3.85546875" style="188" customWidth="1"/>
    <col min="12661" max="12661" width="4" style="188" customWidth="1"/>
    <col min="12662" max="12662" width="3.85546875" style="188" customWidth="1"/>
    <col min="12663" max="12663" width="64.42578125" style="188" customWidth="1"/>
    <col min="12664" max="12684" width="9.140625" style="188" customWidth="1"/>
    <col min="12685" max="12685" width="11.28515625" style="188" customWidth="1"/>
    <col min="12686" max="12686" width="12.42578125" style="188" customWidth="1"/>
    <col min="12687" max="12687" width="12" style="188" customWidth="1"/>
    <col min="12688" max="12913" width="9.140625" style="188"/>
    <col min="12914" max="12914" width="4" style="188" customWidth="1"/>
    <col min="12915" max="12915" width="3.7109375" style="188" customWidth="1"/>
    <col min="12916" max="12916" width="3.85546875" style="188" customWidth="1"/>
    <col min="12917" max="12917" width="4" style="188" customWidth="1"/>
    <col min="12918" max="12918" width="3.85546875" style="188" customWidth="1"/>
    <col min="12919" max="12919" width="64.42578125" style="188" customWidth="1"/>
    <col min="12920" max="12940" width="9.140625" style="188" customWidth="1"/>
    <col min="12941" max="12941" width="11.28515625" style="188" customWidth="1"/>
    <col min="12942" max="12942" width="12.42578125" style="188" customWidth="1"/>
    <col min="12943" max="12943" width="12" style="188" customWidth="1"/>
    <col min="12944" max="13169" width="9.140625" style="188"/>
    <col min="13170" max="13170" width="4" style="188" customWidth="1"/>
    <col min="13171" max="13171" width="3.7109375" style="188" customWidth="1"/>
    <col min="13172" max="13172" width="3.85546875" style="188" customWidth="1"/>
    <col min="13173" max="13173" width="4" style="188" customWidth="1"/>
    <col min="13174" max="13174" width="3.85546875" style="188" customWidth="1"/>
    <col min="13175" max="13175" width="64.42578125" style="188" customWidth="1"/>
    <col min="13176" max="13196" width="9.140625" style="188" customWidth="1"/>
    <col min="13197" max="13197" width="11.28515625" style="188" customWidth="1"/>
    <col min="13198" max="13198" width="12.42578125" style="188" customWidth="1"/>
    <col min="13199" max="13199" width="12" style="188" customWidth="1"/>
    <col min="13200" max="13425" width="9.140625" style="188"/>
    <col min="13426" max="13426" width="4" style="188" customWidth="1"/>
    <col min="13427" max="13427" width="3.7109375" style="188" customWidth="1"/>
    <col min="13428" max="13428" width="3.85546875" style="188" customWidth="1"/>
    <col min="13429" max="13429" width="4" style="188" customWidth="1"/>
    <col min="13430" max="13430" width="3.85546875" style="188" customWidth="1"/>
    <col min="13431" max="13431" width="64.42578125" style="188" customWidth="1"/>
    <col min="13432" max="13452" width="9.140625" style="188" customWidth="1"/>
    <col min="13453" max="13453" width="11.28515625" style="188" customWidth="1"/>
    <col min="13454" max="13454" width="12.42578125" style="188" customWidth="1"/>
    <col min="13455" max="13455" width="12" style="188" customWidth="1"/>
    <col min="13456" max="13681" width="9.140625" style="188"/>
    <col min="13682" max="13682" width="4" style="188" customWidth="1"/>
    <col min="13683" max="13683" width="3.7109375" style="188" customWidth="1"/>
    <col min="13684" max="13684" width="3.85546875" style="188" customWidth="1"/>
    <col min="13685" max="13685" width="4" style="188" customWidth="1"/>
    <col min="13686" max="13686" width="3.85546875" style="188" customWidth="1"/>
    <col min="13687" max="13687" width="64.42578125" style="188" customWidth="1"/>
    <col min="13688" max="13708" width="9.140625" style="188" customWidth="1"/>
    <col min="13709" max="13709" width="11.28515625" style="188" customWidth="1"/>
    <col min="13710" max="13710" width="12.42578125" style="188" customWidth="1"/>
    <col min="13711" max="13711" width="12" style="188" customWidth="1"/>
    <col min="13712" max="13937" width="9.140625" style="188"/>
    <col min="13938" max="13938" width="4" style="188" customWidth="1"/>
    <col min="13939" max="13939" width="3.7109375" style="188" customWidth="1"/>
    <col min="13940" max="13940" width="3.85546875" style="188" customWidth="1"/>
    <col min="13941" max="13941" width="4" style="188" customWidth="1"/>
    <col min="13942" max="13942" width="3.85546875" style="188" customWidth="1"/>
    <col min="13943" max="13943" width="64.42578125" style="188" customWidth="1"/>
    <col min="13944" max="13964" width="9.140625" style="188" customWidth="1"/>
    <col min="13965" max="13965" width="11.28515625" style="188" customWidth="1"/>
    <col min="13966" max="13966" width="12.42578125" style="188" customWidth="1"/>
    <col min="13967" max="13967" width="12" style="188" customWidth="1"/>
    <col min="13968" max="14193" width="9.140625" style="188"/>
    <col min="14194" max="14194" width="4" style="188" customWidth="1"/>
    <col min="14195" max="14195" width="3.7109375" style="188" customWidth="1"/>
    <col min="14196" max="14196" width="3.85546875" style="188" customWidth="1"/>
    <col min="14197" max="14197" width="4" style="188" customWidth="1"/>
    <col min="14198" max="14198" width="3.85546875" style="188" customWidth="1"/>
    <col min="14199" max="14199" width="64.42578125" style="188" customWidth="1"/>
    <col min="14200" max="14220" width="9.140625" style="188" customWidth="1"/>
    <col min="14221" max="14221" width="11.28515625" style="188" customWidth="1"/>
    <col min="14222" max="14222" width="12.42578125" style="188" customWidth="1"/>
    <col min="14223" max="14223" width="12" style="188" customWidth="1"/>
    <col min="14224" max="14449" width="9.140625" style="188"/>
    <col min="14450" max="14450" width="4" style="188" customWidth="1"/>
    <col min="14451" max="14451" width="3.7109375" style="188" customWidth="1"/>
    <col min="14452" max="14452" width="3.85546875" style="188" customWidth="1"/>
    <col min="14453" max="14453" width="4" style="188" customWidth="1"/>
    <col min="14454" max="14454" width="3.85546875" style="188" customWidth="1"/>
    <col min="14455" max="14455" width="64.42578125" style="188" customWidth="1"/>
    <col min="14456" max="14476" width="9.140625" style="188" customWidth="1"/>
    <col min="14477" max="14477" width="11.28515625" style="188" customWidth="1"/>
    <col min="14478" max="14478" width="12.42578125" style="188" customWidth="1"/>
    <col min="14479" max="14479" width="12" style="188" customWidth="1"/>
    <col min="14480" max="14705" width="9.140625" style="188"/>
    <col min="14706" max="14706" width="4" style="188" customWidth="1"/>
    <col min="14707" max="14707" width="3.7109375" style="188" customWidth="1"/>
    <col min="14708" max="14708" width="3.85546875" style="188" customWidth="1"/>
    <col min="14709" max="14709" width="4" style="188" customWidth="1"/>
    <col min="14710" max="14710" width="3.85546875" style="188" customWidth="1"/>
    <col min="14711" max="14711" width="64.42578125" style="188" customWidth="1"/>
    <col min="14712" max="14732" width="9.140625" style="188" customWidth="1"/>
    <col min="14733" max="14733" width="11.28515625" style="188" customWidth="1"/>
    <col min="14734" max="14734" width="12.42578125" style="188" customWidth="1"/>
    <col min="14735" max="14735" width="12" style="188" customWidth="1"/>
    <col min="14736" max="14961" width="9.140625" style="188"/>
    <col min="14962" max="14962" width="4" style="188" customWidth="1"/>
    <col min="14963" max="14963" width="3.7109375" style="188" customWidth="1"/>
    <col min="14964" max="14964" width="3.85546875" style="188" customWidth="1"/>
    <col min="14965" max="14965" width="4" style="188" customWidth="1"/>
    <col min="14966" max="14966" width="3.85546875" style="188" customWidth="1"/>
    <col min="14967" max="14967" width="64.42578125" style="188" customWidth="1"/>
    <col min="14968" max="14988" width="9.140625" style="188" customWidth="1"/>
    <col min="14989" max="14989" width="11.28515625" style="188" customWidth="1"/>
    <col min="14990" max="14990" width="12.42578125" style="188" customWidth="1"/>
    <col min="14991" max="14991" width="12" style="188" customWidth="1"/>
    <col min="14992" max="15217" width="9.140625" style="188"/>
    <col min="15218" max="15218" width="4" style="188" customWidth="1"/>
    <col min="15219" max="15219" width="3.7109375" style="188" customWidth="1"/>
    <col min="15220" max="15220" width="3.85546875" style="188" customWidth="1"/>
    <col min="15221" max="15221" width="4" style="188" customWidth="1"/>
    <col min="15222" max="15222" width="3.85546875" style="188" customWidth="1"/>
    <col min="15223" max="15223" width="64.42578125" style="188" customWidth="1"/>
    <col min="15224" max="15244" width="9.140625" style="188" customWidth="1"/>
    <col min="15245" max="15245" width="11.28515625" style="188" customWidth="1"/>
    <col min="15246" max="15246" width="12.42578125" style="188" customWidth="1"/>
    <col min="15247" max="15247" width="12" style="188" customWidth="1"/>
    <col min="15248" max="15473" width="9.140625" style="188"/>
    <col min="15474" max="15474" width="4" style="188" customWidth="1"/>
    <col min="15475" max="15475" width="3.7109375" style="188" customWidth="1"/>
    <col min="15476" max="15476" width="3.85546875" style="188" customWidth="1"/>
    <col min="15477" max="15477" width="4" style="188" customWidth="1"/>
    <col min="15478" max="15478" width="3.85546875" style="188" customWidth="1"/>
    <col min="15479" max="15479" width="64.42578125" style="188" customWidth="1"/>
    <col min="15480" max="15500" width="9.140625" style="188" customWidth="1"/>
    <col min="15501" max="15501" width="11.28515625" style="188" customWidth="1"/>
    <col min="15502" max="15502" width="12.42578125" style="188" customWidth="1"/>
    <col min="15503" max="15503" width="12" style="188" customWidth="1"/>
    <col min="15504" max="15729" width="9.140625" style="188"/>
    <col min="15730" max="15730" width="4" style="188" customWidth="1"/>
    <col min="15731" max="15731" width="3.7109375" style="188" customWidth="1"/>
    <col min="15732" max="15732" width="3.85546875" style="188" customWidth="1"/>
    <col min="15733" max="15733" width="4" style="188" customWidth="1"/>
    <col min="15734" max="15734" width="3.85546875" style="188" customWidth="1"/>
    <col min="15735" max="15735" width="64.42578125" style="188" customWidth="1"/>
    <col min="15736" max="15756" width="9.140625" style="188" customWidth="1"/>
    <col min="15757" max="15757" width="11.28515625" style="188" customWidth="1"/>
    <col min="15758" max="15758" width="12.42578125" style="188" customWidth="1"/>
    <col min="15759" max="15759" width="12" style="188" customWidth="1"/>
    <col min="15760" max="15985" width="9.140625" style="188"/>
    <col min="15986" max="15986" width="4" style="188" customWidth="1"/>
    <col min="15987" max="15987" width="3.7109375" style="188" customWidth="1"/>
    <col min="15988" max="15988" width="3.85546875" style="188" customWidth="1"/>
    <col min="15989" max="15989" width="4" style="188" customWidth="1"/>
    <col min="15990" max="15990" width="3.85546875" style="188" customWidth="1"/>
    <col min="15991" max="15991" width="64.42578125" style="188" customWidth="1"/>
    <col min="15992" max="16012" width="9.140625" style="188" customWidth="1"/>
    <col min="16013" max="16013" width="11.28515625" style="188" customWidth="1"/>
    <col min="16014" max="16014" width="12.42578125" style="188" customWidth="1"/>
    <col min="16015" max="16015" width="12" style="188" customWidth="1"/>
    <col min="16016" max="16384" width="9.140625" style="188"/>
  </cols>
  <sheetData>
    <row r="9" spans="1:23" hidden="1"/>
    <row r="10" spans="1:23">
      <c r="A10" s="358" t="s">
        <v>665</v>
      </c>
      <c r="B10" s="358"/>
      <c r="C10" s="358"/>
      <c r="D10" s="358"/>
      <c r="E10" s="358"/>
      <c r="F10" s="358"/>
      <c r="G10" s="358"/>
      <c r="H10" s="358"/>
      <c r="I10" s="358"/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</row>
    <row r="11" spans="1:23" ht="16.5" customHeight="1">
      <c r="A11" s="189"/>
      <c r="B11" s="189"/>
      <c r="C11" s="189"/>
      <c r="D11" s="189"/>
      <c r="E11" s="190"/>
      <c r="F11" s="191"/>
      <c r="G11" s="192"/>
      <c r="H11" s="192"/>
      <c r="I11" s="192"/>
      <c r="J11" s="192"/>
      <c r="K11" s="192">
        <f>22669024-L11</f>
        <v>0</v>
      </c>
      <c r="L11" s="192">
        <f>K18-L18</f>
        <v>22669024</v>
      </c>
      <c r="M11" s="192"/>
      <c r="N11" s="192">
        <f>22669024-O11</f>
        <v>22592932</v>
      </c>
      <c r="O11" s="192">
        <f>N18-O18</f>
        <v>76092</v>
      </c>
      <c r="P11" s="192"/>
      <c r="Q11" s="192"/>
      <c r="R11" s="192">
        <f>Q18-R18</f>
        <v>2918356</v>
      </c>
      <c r="S11" s="192"/>
      <c r="T11" s="192"/>
      <c r="U11" s="192"/>
      <c r="V11" s="188">
        <v>82273567</v>
      </c>
      <c r="W11" s="193"/>
    </row>
    <row r="12" spans="1:23" ht="12.75" customHeight="1">
      <c r="A12" s="359" t="s">
        <v>557</v>
      </c>
      <c r="B12" s="360"/>
      <c r="C12" s="360"/>
      <c r="D12" s="360"/>
      <c r="E12" s="360"/>
      <c r="F12" s="194"/>
      <c r="G12" s="361" t="s">
        <v>82</v>
      </c>
      <c r="H12" s="361"/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2"/>
    </row>
    <row r="13" spans="1:23" ht="12.75" customHeight="1">
      <c r="A13" s="195"/>
      <c r="B13" s="196" t="s">
        <v>666</v>
      </c>
      <c r="C13" s="196"/>
      <c r="D13" s="196"/>
      <c r="E13" s="197"/>
      <c r="F13" s="198" t="s">
        <v>26</v>
      </c>
      <c r="G13" s="363"/>
      <c r="H13" s="363"/>
      <c r="I13" s="363"/>
      <c r="J13" s="363"/>
      <c r="K13" s="363"/>
      <c r="L13" s="363"/>
      <c r="M13" s="363"/>
      <c r="N13" s="363"/>
      <c r="O13" s="363"/>
      <c r="P13" s="363"/>
      <c r="Q13" s="363"/>
      <c r="R13" s="363"/>
      <c r="S13" s="363"/>
      <c r="T13" s="363"/>
      <c r="U13" s="364"/>
    </row>
    <row r="14" spans="1:23" ht="12.75" customHeight="1">
      <c r="A14" s="195"/>
      <c r="B14" s="199"/>
      <c r="C14" s="367" t="s">
        <v>667</v>
      </c>
      <c r="D14" s="367"/>
      <c r="E14" s="367"/>
      <c r="F14" s="368"/>
      <c r="G14" s="365"/>
      <c r="H14" s="365"/>
      <c r="I14" s="365"/>
      <c r="J14" s="365"/>
      <c r="K14" s="365"/>
      <c r="L14" s="365"/>
      <c r="M14" s="365"/>
      <c r="N14" s="365"/>
      <c r="O14" s="365"/>
      <c r="P14" s="365"/>
      <c r="Q14" s="365"/>
      <c r="R14" s="365"/>
      <c r="S14" s="365"/>
      <c r="T14" s="365"/>
      <c r="U14" s="366"/>
    </row>
    <row r="15" spans="1:23" ht="12.75" customHeight="1">
      <c r="A15" s="195"/>
      <c r="B15" s="199"/>
      <c r="C15" s="199"/>
      <c r="D15" s="196" t="s">
        <v>29</v>
      </c>
      <c r="E15" s="200"/>
      <c r="F15" s="201"/>
      <c r="G15" s="351" t="s">
        <v>668</v>
      </c>
      <c r="H15" s="202"/>
      <c r="I15" s="202"/>
      <c r="J15" s="351" t="s">
        <v>668</v>
      </c>
      <c r="K15" s="202"/>
      <c r="L15" s="202"/>
      <c r="M15" s="351" t="s">
        <v>668</v>
      </c>
      <c r="N15" s="202"/>
      <c r="O15" s="202"/>
      <c r="P15" s="351" t="s">
        <v>668</v>
      </c>
      <c r="Q15" s="202"/>
      <c r="R15" s="202"/>
      <c r="S15" s="351" t="s">
        <v>668</v>
      </c>
      <c r="T15" s="351" t="s">
        <v>559</v>
      </c>
      <c r="U15" s="351" t="s">
        <v>593</v>
      </c>
      <c r="V15" s="193"/>
    </row>
    <row r="16" spans="1:23">
      <c r="A16" s="195"/>
      <c r="B16" s="199"/>
      <c r="C16" s="199"/>
      <c r="D16" s="203"/>
      <c r="E16" s="353" t="s">
        <v>30</v>
      </c>
      <c r="F16" s="354"/>
      <c r="G16" s="352"/>
      <c r="H16" s="204" t="s">
        <v>669</v>
      </c>
      <c r="I16" s="204" t="s">
        <v>670</v>
      </c>
      <c r="J16" s="352"/>
      <c r="K16" s="204" t="s">
        <v>669</v>
      </c>
      <c r="L16" s="204" t="s">
        <v>670</v>
      </c>
      <c r="M16" s="352"/>
      <c r="N16" s="204" t="s">
        <v>669</v>
      </c>
      <c r="O16" s="204" t="s">
        <v>670</v>
      </c>
      <c r="P16" s="352"/>
      <c r="Q16" s="204" t="s">
        <v>669</v>
      </c>
      <c r="R16" s="204" t="s">
        <v>670</v>
      </c>
      <c r="S16" s="352"/>
      <c r="T16" s="352"/>
      <c r="U16" s="352"/>
      <c r="V16" s="193"/>
    </row>
    <row r="17" spans="1:26">
      <c r="A17" s="355">
        <v>1</v>
      </c>
      <c r="B17" s="356"/>
      <c r="C17" s="356"/>
      <c r="D17" s="356"/>
      <c r="E17" s="357"/>
      <c r="F17" s="205">
        <v>2</v>
      </c>
      <c r="G17" s="206">
        <v>3</v>
      </c>
      <c r="H17" s="206"/>
      <c r="I17" s="206"/>
      <c r="J17" s="206"/>
      <c r="K17" s="206"/>
      <c r="L17" s="206"/>
      <c r="M17" s="206"/>
      <c r="N17" s="206"/>
      <c r="O17" s="206"/>
      <c r="P17" s="206"/>
      <c r="Q17" s="206"/>
      <c r="R17" s="206"/>
      <c r="S17" s="206"/>
      <c r="T17" s="207">
        <v>4</v>
      </c>
      <c r="U17" s="207">
        <v>5</v>
      </c>
    </row>
    <row r="18" spans="1:26" s="191" customFormat="1">
      <c r="A18" s="208"/>
      <c r="B18" s="208"/>
      <c r="C18" s="208"/>
      <c r="D18" s="208"/>
      <c r="E18" s="209"/>
      <c r="F18" s="210" t="s">
        <v>671</v>
      </c>
      <c r="G18" s="211">
        <f t="shared" ref="G18:U18" si="0">G19+G32+G49+G59+G95+G119+G132+G281+G321+G353+G406</f>
        <v>56625397.039810404</v>
      </c>
      <c r="H18" s="211">
        <f t="shared" si="0"/>
        <v>17741962</v>
      </c>
      <c r="I18" s="211">
        <f t="shared" si="0"/>
        <v>17737264</v>
      </c>
      <c r="J18" s="211">
        <f t="shared" si="0"/>
        <v>56630095</v>
      </c>
      <c r="K18" s="211">
        <f t="shared" si="0"/>
        <v>36205559</v>
      </c>
      <c r="L18" s="211">
        <f t="shared" si="0"/>
        <v>13536535</v>
      </c>
      <c r="M18" s="211">
        <f t="shared" si="0"/>
        <v>79299119</v>
      </c>
      <c r="N18" s="211">
        <f t="shared" si="0"/>
        <v>76092</v>
      </c>
      <c r="O18" s="211">
        <f t="shared" si="0"/>
        <v>0</v>
      </c>
      <c r="P18" s="211">
        <f t="shared" si="0"/>
        <v>79375211</v>
      </c>
      <c r="Q18" s="211">
        <f t="shared" si="0"/>
        <v>7846779</v>
      </c>
      <c r="R18" s="211">
        <f t="shared" si="0"/>
        <v>4928423</v>
      </c>
      <c r="S18" s="211">
        <f t="shared" si="0"/>
        <v>82273567</v>
      </c>
      <c r="T18" s="211">
        <f t="shared" si="0"/>
        <v>265478301.04154</v>
      </c>
      <c r="U18" s="211">
        <f t="shared" si="0"/>
        <v>378730725</v>
      </c>
      <c r="V18" s="212">
        <f>S18-V11</f>
        <v>0</v>
      </c>
      <c r="Y18" s="212"/>
      <c r="Z18" s="212"/>
    </row>
    <row r="19" spans="1:26" s="4" customFormat="1">
      <c r="A19" s="11" t="s">
        <v>44</v>
      </c>
      <c r="B19" s="11"/>
      <c r="C19" s="11"/>
      <c r="D19" s="11"/>
      <c r="E19" s="11"/>
      <c r="F19" s="213" t="s">
        <v>46</v>
      </c>
      <c r="G19" s="109">
        <f>G20</f>
        <v>6476</v>
      </c>
      <c r="H19" s="109">
        <f t="shared" ref="H19:U19" si="1">H20</f>
        <v>0</v>
      </c>
      <c r="I19" s="109">
        <f t="shared" si="1"/>
        <v>0</v>
      </c>
      <c r="J19" s="109">
        <f t="shared" si="1"/>
        <v>6476</v>
      </c>
      <c r="K19" s="109">
        <f t="shared" si="1"/>
        <v>200100</v>
      </c>
      <c r="L19" s="109">
        <f t="shared" si="1"/>
        <v>0</v>
      </c>
      <c r="M19" s="109">
        <f t="shared" si="1"/>
        <v>206576</v>
      </c>
      <c r="N19" s="109">
        <f t="shared" si="1"/>
        <v>0</v>
      </c>
      <c r="O19" s="109">
        <f t="shared" si="1"/>
        <v>0</v>
      </c>
      <c r="P19" s="109">
        <f t="shared" si="1"/>
        <v>206576</v>
      </c>
      <c r="Q19" s="109">
        <f t="shared" si="1"/>
        <v>0</v>
      </c>
      <c r="R19" s="109">
        <f t="shared" si="1"/>
        <v>0</v>
      </c>
      <c r="S19" s="109">
        <f t="shared" si="1"/>
        <v>206576</v>
      </c>
      <c r="T19" s="109">
        <f t="shared" si="1"/>
        <v>2050441</v>
      </c>
      <c r="U19" s="109">
        <f t="shared" si="1"/>
        <v>1700000</v>
      </c>
      <c r="V19" s="115"/>
    </row>
    <row r="20" spans="1:26" s="4" customFormat="1">
      <c r="A20" s="11"/>
      <c r="B20" s="11" t="s">
        <v>36</v>
      </c>
      <c r="C20" s="11"/>
      <c r="D20" s="11"/>
      <c r="E20" s="11"/>
      <c r="F20" s="1" t="s">
        <v>326</v>
      </c>
      <c r="G20" s="109">
        <f t="shared" ref="G20:U22" si="2">G21</f>
        <v>6476</v>
      </c>
      <c r="H20" s="109">
        <f t="shared" si="2"/>
        <v>0</v>
      </c>
      <c r="I20" s="109">
        <f t="shared" si="2"/>
        <v>0</v>
      </c>
      <c r="J20" s="109">
        <f t="shared" si="2"/>
        <v>6476</v>
      </c>
      <c r="K20" s="109">
        <f t="shared" si="2"/>
        <v>200100</v>
      </c>
      <c r="L20" s="109">
        <f t="shared" si="2"/>
        <v>0</v>
      </c>
      <c r="M20" s="109">
        <f t="shared" si="2"/>
        <v>206576</v>
      </c>
      <c r="N20" s="109">
        <f t="shared" si="2"/>
        <v>0</v>
      </c>
      <c r="O20" s="109">
        <f t="shared" si="2"/>
        <v>0</v>
      </c>
      <c r="P20" s="109">
        <f t="shared" si="2"/>
        <v>206576</v>
      </c>
      <c r="Q20" s="109">
        <f t="shared" si="2"/>
        <v>0</v>
      </c>
      <c r="R20" s="109">
        <f t="shared" si="2"/>
        <v>0</v>
      </c>
      <c r="S20" s="109">
        <f t="shared" si="2"/>
        <v>206576</v>
      </c>
      <c r="T20" s="109">
        <f t="shared" si="2"/>
        <v>2050441</v>
      </c>
      <c r="U20" s="109">
        <f t="shared" si="2"/>
        <v>1700000</v>
      </c>
    </row>
    <row r="21" spans="1:26" s="4" customFormat="1" ht="13.5" customHeight="1">
      <c r="A21" s="11"/>
      <c r="B21" s="11"/>
      <c r="C21" s="12">
        <v>373</v>
      </c>
      <c r="D21" s="11"/>
      <c r="E21" s="214"/>
      <c r="F21" s="1" t="s">
        <v>288</v>
      </c>
      <c r="G21" s="109">
        <f t="shared" si="2"/>
        <v>6476</v>
      </c>
      <c r="H21" s="109">
        <f t="shared" si="2"/>
        <v>0</v>
      </c>
      <c r="I21" s="109">
        <f t="shared" si="2"/>
        <v>0</v>
      </c>
      <c r="J21" s="109">
        <f t="shared" si="2"/>
        <v>6476</v>
      </c>
      <c r="K21" s="109">
        <f t="shared" si="2"/>
        <v>200100</v>
      </c>
      <c r="L21" s="109">
        <f t="shared" si="2"/>
        <v>0</v>
      </c>
      <c r="M21" s="109">
        <f t="shared" si="2"/>
        <v>206576</v>
      </c>
      <c r="N21" s="109">
        <f t="shared" si="2"/>
        <v>0</v>
      </c>
      <c r="O21" s="109">
        <f t="shared" si="2"/>
        <v>0</v>
      </c>
      <c r="P21" s="109">
        <f t="shared" si="2"/>
        <v>206576</v>
      </c>
      <c r="Q21" s="109">
        <f t="shared" si="2"/>
        <v>0</v>
      </c>
      <c r="R21" s="109">
        <f t="shared" si="2"/>
        <v>0</v>
      </c>
      <c r="S21" s="109">
        <f t="shared" si="2"/>
        <v>206576</v>
      </c>
      <c r="T21" s="109">
        <f t="shared" si="2"/>
        <v>2050441</v>
      </c>
      <c r="U21" s="109">
        <f t="shared" si="2"/>
        <v>1700000</v>
      </c>
    </row>
    <row r="22" spans="1:26" s="4" customFormat="1">
      <c r="A22" s="11"/>
      <c r="B22" s="11"/>
      <c r="C22" s="11"/>
      <c r="D22" s="11" t="s">
        <v>186</v>
      </c>
      <c r="E22" s="11"/>
      <c r="F22" s="1" t="s">
        <v>327</v>
      </c>
      <c r="G22" s="109">
        <f t="shared" si="2"/>
        <v>6476</v>
      </c>
      <c r="H22" s="109">
        <f t="shared" si="2"/>
        <v>0</v>
      </c>
      <c r="I22" s="109">
        <f t="shared" si="2"/>
        <v>0</v>
      </c>
      <c r="J22" s="109">
        <f t="shared" si="2"/>
        <v>6476</v>
      </c>
      <c r="K22" s="109">
        <f t="shared" si="2"/>
        <v>200100</v>
      </c>
      <c r="L22" s="109">
        <f t="shared" si="2"/>
        <v>0</v>
      </c>
      <c r="M22" s="109">
        <f t="shared" si="2"/>
        <v>206576</v>
      </c>
      <c r="N22" s="109">
        <f t="shared" si="2"/>
        <v>0</v>
      </c>
      <c r="O22" s="109">
        <f t="shared" si="2"/>
        <v>0</v>
      </c>
      <c r="P22" s="109">
        <f t="shared" si="2"/>
        <v>206576</v>
      </c>
      <c r="Q22" s="109">
        <f t="shared" si="2"/>
        <v>0</v>
      </c>
      <c r="R22" s="109">
        <f t="shared" si="2"/>
        <v>0</v>
      </c>
      <c r="S22" s="109">
        <f t="shared" si="2"/>
        <v>206576</v>
      </c>
      <c r="T22" s="109">
        <f t="shared" si="2"/>
        <v>2050441</v>
      </c>
      <c r="U22" s="109">
        <f t="shared" si="2"/>
        <v>1700000</v>
      </c>
    </row>
    <row r="23" spans="1:26" s="4" customFormat="1">
      <c r="A23" s="11"/>
      <c r="B23" s="11"/>
      <c r="C23" s="11"/>
      <c r="D23" s="11"/>
      <c r="E23" s="30" t="s">
        <v>113</v>
      </c>
      <c r="F23" s="1" t="s">
        <v>8</v>
      </c>
      <c r="G23" s="109">
        <f>SUM(G24:G28)</f>
        <v>6476</v>
      </c>
      <c r="H23" s="109">
        <f t="shared" ref="H23:S23" si="3">SUM(H24:H28)</f>
        <v>0</v>
      </c>
      <c r="I23" s="109">
        <f t="shared" si="3"/>
        <v>0</v>
      </c>
      <c r="J23" s="109">
        <f t="shared" si="3"/>
        <v>6476</v>
      </c>
      <c r="K23" s="109">
        <f t="shared" si="3"/>
        <v>200100</v>
      </c>
      <c r="L23" s="109">
        <f t="shared" si="3"/>
        <v>0</v>
      </c>
      <c r="M23" s="109">
        <f t="shared" si="3"/>
        <v>206576</v>
      </c>
      <c r="N23" s="109">
        <f t="shared" si="3"/>
        <v>0</v>
      </c>
      <c r="O23" s="109">
        <f t="shared" si="3"/>
        <v>0</v>
      </c>
      <c r="P23" s="109">
        <f t="shared" si="3"/>
        <v>206576</v>
      </c>
      <c r="Q23" s="109">
        <f t="shared" si="3"/>
        <v>0</v>
      </c>
      <c r="R23" s="109">
        <f t="shared" si="3"/>
        <v>0</v>
      </c>
      <c r="S23" s="109">
        <f t="shared" si="3"/>
        <v>206576</v>
      </c>
      <c r="T23" s="109">
        <f>SUM(T24:T28)</f>
        <v>2050441</v>
      </c>
      <c r="U23" s="109">
        <f>SUM(U24:U28)</f>
        <v>1700000</v>
      </c>
    </row>
    <row r="24" spans="1:26" s="4" customFormat="1" ht="25.5">
      <c r="A24" s="11"/>
      <c r="B24" s="11"/>
      <c r="C24" s="11"/>
      <c r="D24" s="11"/>
      <c r="E24" s="30"/>
      <c r="F24" s="1" t="s">
        <v>672</v>
      </c>
      <c r="G24" s="109"/>
      <c r="H24" s="109"/>
      <c r="I24" s="109"/>
      <c r="J24" s="109">
        <f>G24+H24-I24</f>
        <v>0</v>
      </c>
      <c r="K24" s="109">
        <v>200000</v>
      </c>
      <c r="L24" s="109"/>
      <c r="M24" s="109">
        <f>J24+K24-L24</f>
        <v>200000</v>
      </c>
      <c r="N24" s="109"/>
      <c r="O24" s="109"/>
      <c r="P24" s="109">
        <f>M24+N24-O24</f>
        <v>200000</v>
      </c>
      <c r="Q24" s="109"/>
      <c r="R24" s="109"/>
      <c r="S24" s="109">
        <f>P24+Q24-R24</f>
        <v>200000</v>
      </c>
      <c r="T24" s="109">
        <v>500000</v>
      </c>
      <c r="U24" s="109">
        <v>200000</v>
      </c>
    </row>
    <row r="25" spans="1:26" s="4" customFormat="1" ht="25.5">
      <c r="A25" s="11"/>
      <c r="B25" s="11"/>
      <c r="C25" s="11"/>
      <c r="D25" s="11"/>
      <c r="E25" s="30"/>
      <c r="F25" s="1" t="s">
        <v>673</v>
      </c>
      <c r="G25" s="109"/>
      <c r="H25" s="109"/>
      <c r="I25" s="109"/>
      <c r="J25" s="109">
        <f t="shared" ref="J25:J111" si="4">G25+H25-I25</f>
        <v>0</v>
      </c>
      <c r="K25" s="109"/>
      <c r="L25" s="109"/>
      <c r="M25" s="109">
        <f t="shared" ref="M25:M27" si="5">J25+K25-L25</f>
        <v>0</v>
      </c>
      <c r="N25" s="109"/>
      <c r="O25" s="109"/>
      <c r="P25" s="109">
        <f t="shared" ref="P25:P27" si="6">M25+N25-O25</f>
        <v>0</v>
      </c>
      <c r="Q25" s="109"/>
      <c r="R25" s="109"/>
      <c r="S25" s="109">
        <f t="shared" ref="S25:S27" si="7">P25+Q25-R25</f>
        <v>0</v>
      </c>
      <c r="T25" s="109">
        <v>500000</v>
      </c>
      <c r="U25" s="109">
        <v>500000</v>
      </c>
    </row>
    <row r="26" spans="1:26" s="4" customFormat="1" ht="25.5">
      <c r="A26" s="11"/>
      <c r="B26" s="11"/>
      <c r="C26" s="11"/>
      <c r="D26" s="11"/>
      <c r="E26" s="30"/>
      <c r="F26" s="215" t="s">
        <v>674</v>
      </c>
      <c r="G26" s="211"/>
      <c r="H26" s="211"/>
      <c r="I26" s="211"/>
      <c r="J26" s="109">
        <f t="shared" si="4"/>
        <v>0</v>
      </c>
      <c r="K26" s="211"/>
      <c r="L26" s="211"/>
      <c r="M26" s="109">
        <f t="shared" si="5"/>
        <v>0</v>
      </c>
      <c r="N26" s="211"/>
      <c r="O26" s="211"/>
      <c r="P26" s="109">
        <f t="shared" si="6"/>
        <v>0</v>
      </c>
      <c r="Q26" s="211"/>
      <c r="R26" s="211"/>
      <c r="S26" s="109">
        <f t="shared" si="7"/>
        <v>0</v>
      </c>
      <c r="T26" s="109">
        <v>500000</v>
      </c>
      <c r="U26" s="109">
        <v>500000</v>
      </c>
    </row>
    <row r="27" spans="1:26" s="4" customFormat="1">
      <c r="A27" s="11"/>
      <c r="B27" s="11"/>
      <c r="C27" s="11"/>
      <c r="D27" s="11"/>
      <c r="E27" s="30"/>
      <c r="F27" s="215" t="s">
        <v>675</v>
      </c>
      <c r="G27" s="211"/>
      <c r="H27" s="211"/>
      <c r="I27" s="211"/>
      <c r="J27" s="109">
        <f t="shared" si="4"/>
        <v>0</v>
      </c>
      <c r="K27" s="211"/>
      <c r="L27" s="211"/>
      <c r="M27" s="109">
        <f t="shared" si="5"/>
        <v>0</v>
      </c>
      <c r="N27" s="211"/>
      <c r="O27" s="211"/>
      <c r="P27" s="109">
        <f t="shared" si="6"/>
        <v>0</v>
      </c>
      <c r="Q27" s="211"/>
      <c r="R27" s="211"/>
      <c r="S27" s="109">
        <f t="shared" si="7"/>
        <v>0</v>
      </c>
      <c r="T27" s="109">
        <v>500000</v>
      </c>
      <c r="U27" s="109">
        <v>500000</v>
      </c>
    </row>
    <row r="28" spans="1:26" s="191" customFormat="1">
      <c r="A28" s="208"/>
      <c r="B28" s="208"/>
      <c r="C28" s="208"/>
      <c r="D28" s="208"/>
      <c r="E28" s="209"/>
      <c r="F28" s="216" t="s">
        <v>676</v>
      </c>
      <c r="G28" s="217">
        <f>G29+G30+G31</f>
        <v>6476</v>
      </c>
      <c r="H28" s="217">
        <f t="shared" ref="H28:U28" si="8">H29+H30+H31</f>
        <v>0</v>
      </c>
      <c r="I28" s="217">
        <f t="shared" si="8"/>
        <v>0</v>
      </c>
      <c r="J28" s="217">
        <f t="shared" si="8"/>
        <v>6476</v>
      </c>
      <c r="K28" s="217">
        <f t="shared" si="8"/>
        <v>100</v>
      </c>
      <c r="L28" s="217">
        <f t="shared" si="8"/>
        <v>0</v>
      </c>
      <c r="M28" s="217">
        <f t="shared" si="8"/>
        <v>6576</v>
      </c>
      <c r="N28" s="217">
        <f t="shared" si="8"/>
        <v>0</v>
      </c>
      <c r="O28" s="217">
        <f t="shared" si="8"/>
        <v>0</v>
      </c>
      <c r="P28" s="217">
        <f t="shared" si="8"/>
        <v>6576</v>
      </c>
      <c r="Q28" s="217">
        <f t="shared" si="8"/>
        <v>0</v>
      </c>
      <c r="R28" s="217">
        <f t="shared" si="8"/>
        <v>0</v>
      </c>
      <c r="S28" s="217">
        <f t="shared" si="8"/>
        <v>6576</v>
      </c>
      <c r="T28" s="217">
        <f t="shared" si="8"/>
        <v>50441</v>
      </c>
      <c r="U28" s="217">
        <f t="shared" si="8"/>
        <v>0</v>
      </c>
    </row>
    <row r="29" spans="1:26" s="191" customFormat="1" ht="25.5">
      <c r="A29" s="208"/>
      <c r="B29" s="208"/>
      <c r="C29" s="208"/>
      <c r="D29" s="208"/>
      <c r="E29" s="209"/>
      <c r="F29" s="215" t="s">
        <v>677</v>
      </c>
      <c r="G29" s="211">
        <v>3858</v>
      </c>
      <c r="H29" s="211"/>
      <c r="I29" s="211"/>
      <c r="J29" s="109">
        <f t="shared" si="4"/>
        <v>3858</v>
      </c>
      <c r="K29" s="211"/>
      <c r="L29" s="211"/>
      <c r="M29" s="109">
        <f t="shared" ref="M29:M31" si="9">J29+K29-L29</f>
        <v>3858</v>
      </c>
      <c r="N29" s="211"/>
      <c r="O29" s="211"/>
      <c r="P29" s="109">
        <f t="shared" ref="P29:P31" si="10">M29+N29-O29</f>
        <v>3858</v>
      </c>
      <c r="Q29" s="211"/>
      <c r="R29" s="211"/>
      <c r="S29" s="109">
        <f t="shared" ref="S29:S31" si="11">P29+Q29-R29</f>
        <v>3858</v>
      </c>
      <c r="T29" s="211"/>
      <c r="U29" s="217"/>
    </row>
    <row r="30" spans="1:26" s="191" customFormat="1" ht="25.5">
      <c r="A30" s="208"/>
      <c r="B30" s="208"/>
      <c r="C30" s="208"/>
      <c r="D30" s="208"/>
      <c r="E30" s="209"/>
      <c r="F30" s="215" t="s">
        <v>678</v>
      </c>
      <c r="G30" s="211"/>
      <c r="H30" s="211"/>
      <c r="I30" s="211"/>
      <c r="J30" s="109">
        <f t="shared" si="4"/>
        <v>0</v>
      </c>
      <c r="K30" s="211"/>
      <c r="L30" s="211"/>
      <c r="M30" s="109">
        <f t="shared" si="9"/>
        <v>0</v>
      </c>
      <c r="N30" s="211"/>
      <c r="O30" s="211"/>
      <c r="P30" s="109">
        <f t="shared" si="10"/>
        <v>0</v>
      </c>
      <c r="Q30" s="211"/>
      <c r="R30" s="211"/>
      <c r="S30" s="109">
        <f t="shared" si="11"/>
        <v>0</v>
      </c>
      <c r="T30" s="211">
        <v>50441</v>
      </c>
      <c r="U30" s="217"/>
    </row>
    <row r="31" spans="1:26" s="191" customFormat="1">
      <c r="A31" s="208"/>
      <c r="B31" s="208"/>
      <c r="C31" s="208"/>
      <c r="D31" s="208"/>
      <c r="E31" s="209"/>
      <c r="F31" s="215" t="s">
        <v>679</v>
      </c>
      <c r="G31" s="211">
        <v>2618</v>
      </c>
      <c r="H31" s="211"/>
      <c r="I31" s="211"/>
      <c r="J31" s="109">
        <f t="shared" si="4"/>
        <v>2618</v>
      </c>
      <c r="K31" s="211">
        <v>100</v>
      </c>
      <c r="L31" s="211"/>
      <c r="M31" s="109">
        <f t="shared" si="9"/>
        <v>2718</v>
      </c>
      <c r="N31" s="211"/>
      <c r="O31" s="211"/>
      <c r="P31" s="109">
        <f t="shared" si="10"/>
        <v>2718</v>
      </c>
      <c r="Q31" s="211"/>
      <c r="R31" s="211"/>
      <c r="S31" s="109">
        <f t="shared" si="11"/>
        <v>2718</v>
      </c>
      <c r="T31" s="211"/>
      <c r="U31" s="217"/>
    </row>
    <row r="32" spans="1:26">
      <c r="A32" s="218" t="s">
        <v>51</v>
      </c>
      <c r="B32" s="218"/>
      <c r="C32" s="218"/>
      <c r="D32" s="218"/>
      <c r="E32" s="219"/>
      <c r="F32" s="220" t="s">
        <v>52</v>
      </c>
      <c r="G32" s="221">
        <f t="shared" ref="G32:U35" si="12">G33</f>
        <v>286957</v>
      </c>
      <c r="H32" s="221">
        <f t="shared" si="12"/>
        <v>0</v>
      </c>
      <c r="I32" s="221">
        <f t="shared" si="12"/>
        <v>0</v>
      </c>
      <c r="J32" s="221">
        <f t="shared" si="12"/>
        <v>286957</v>
      </c>
      <c r="K32" s="221">
        <f t="shared" si="12"/>
        <v>817105</v>
      </c>
      <c r="L32" s="221">
        <f t="shared" si="12"/>
        <v>0</v>
      </c>
      <c r="M32" s="221">
        <f t="shared" si="12"/>
        <v>1104062</v>
      </c>
      <c r="N32" s="221">
        <f t="shared" si="12"/>
        <v>0</v>
      </c>
      <c r="O32" s="221">
        <f t="shared" si="12"/>
        <v>0</v>
      </c>
      <c r="P32" s="221">
        <f t="shared" si="12"/>
        <v>1104062</v>
      </c>
      <c r="Q32" s="221">
        <f t="shared" si="12"/>
        <v>0</v>
      </c>
      <c r="R32" s="221">
        <f t="shared" si="12"/>
        <v>0</v>
      </c>
      <c r="S32" s="221">
        <f t="shared" si="12"/>
        <v>1104062</v>
      </c>
      <c r="T32" s="221">
        <f t="shared" si="12"/>
        <v>3698931</v>
      </c>
      <c r="U32" s="221">
        <f t="shared" si="12"/>
        <v>500000</v>
      </c>
    </row>
    <row r="33" spans="1:21">
      <c r="A33" s="218"/>
      <c r="B33" s="218">
        <v>2</v>
      </c>
      <c r="C33" s="218"/>
      <c r="D33" s="218"/>
      <c r="E33" s="219"/>
      <c r="F33" s="220" t="s">
        <v>105</v>
      </c>
      <c r="G33" s="221">
        <f t="shared" si="12"/>
        <v>286957</v>
      </c>
      <c r="H33" s="221">
        <f t="shared" si="12"/>
        <v>0</v>
      </c>
      <c r="I33" s="221">
        <f t="shared" si="12"/>
        <v>0</v>
      </c>
      <c r="J33" s="221">
        <f t="shared" si="12"/>
        <v>286957</v>
      </c>
      <c r="K33" s="221">
        <f t="shared" si="12"/>
        <v>817105</v>
      </c>
      <c r="L33" s="221">
        <f t="shared" si="12"/>
        <v>0</v>
      </c>
      <c r="M33" s="221">
        <f t="shared" si="12"/>
        <v>1104062</v>
      </c>
      <c r="N33" s="221">
        <f t="shared" si="12"/>
        <v>0</v>
      </c>
      <c r="O33" s="221">
        <f t="shared" si="12"/>
        <v>0</v>
      </c>
      <c r="P33" s="221">
        <f t="shared" si="12"/>
        <v>1104062</v>
      </c>
      <c r="Q33" s="221">
        <f t="shared" si="12"/>
        <v>0</v>
      </c>
      <c r="R33" s="221">
        <f t="shared" si="12"/>
        <v>0</v>
      </c>
      <c r="S33" s="221">
        <f t="shared" si="12"/>
        <v>1104062</v>
      </c>
      <c r="T33" s="221">
        <f t="shared" si="12"/>
        <v>3698931</v>
      </c>
      <c r="U33" s="221">
        <f t="shared" si="12"/>
        <v>500000</v>
      </c>
    </row>
    <row r="34" spans="1:21">
      <c r="A34" s="218"/>
      <c r="B34" s="218"/>
      <c r="C34" s="218">
        <v>373</v>
      </c>
      <c r="D34" s="218"/>
      <c r="E34" s="219"/>
      <c r="F34" s="220" t="s">
        <v>288</v>
      </c>
      <c r="G34" s="221">
        <f t="shared" si="12"/>
        <v>286957</v>
      </c>
      <c r="H34" s="221">
        <f t="shared" si="12"/>
        <v>0</v>
      </c>
      <c r="I34" s="221">
        <f t="shared" si="12"/>
        <v>0</v>
      </c>
      <c r="J34" s="221">
        <f t="shared" si="12"/>
        <v>286957</v>
      </c>
      <c r="K34" s="221">
        <f t="shared" si="12"/>
        <v>817105</v>
      </c>
      <c r="L34" s="221">
        <f t="shared" si="12"/>
        <v>0</v>
      </c>
      <c r="M34" s="221">
        <f t="shared" si="12"/>
        <v>1104062</v>
      </c>
      <c r="N34" s="221">
        <f t="shared" si="12"/>
        <v>0</v>
      </c>
      <c r="O34" s="221">
        <f t="shared" si="12"/>
        <v>0</v>
      </c>
      <c r="P34" s="221">
        <f t="shared" si="12"/>
        <v>1104062</v>
      </c>
      <c r="Q34" s="221">
        <f t="shared" si="12"/>
        <v>0</v>
      </c>
      <c r="R34" s="221">
        <f t="shared" si="12"/>
        <v>0</v>
      </c>
      <c r="S34" s="221">
        <f t="shared" si="12"/>
        <v>1104062</v>
      </c>
      <c r="T34" s="221">
        <f t="shared" si="12"/>
        <v>3698931</v>
      </c>
      <c r="U34" s="221">
        <f t="shared" si="12"/>
        <v>500000</v>
      </c>
    </row>
    <row r="35" spans="1:21" s="225" customFormat="1">
      <c r="A35" s="222"/>
      <c r="B35" s="222"/>
      <c r="C35" s="222"/>
      <c r="D35" s="222" t="s">
        <v>235</v>
      </c>
      <c r="E35" s="223"/>
      <c r="F35" s="220" t="s">
        <v>408</v>
      </c>
      <c r="G35" s="224">
        <f t="shared" si="12"/>
        <v>286957</v>
      </c>
      <c r="H35" s="224">
        <f t="shared" si="12"/>
        <v>0</v>
      </c>
      <c r="I35" s="224">
        <f t="shared" si="12"/>
        <v>0</v>
      </c>
      <c r="J35" s="224">
        <f t="shared" si="12"/>
        <v>286957</v>
      </c>
      <c r="K35" s="224">
        <f t="shared" si="12"/>
        <v>817105</v>
      </c>
      <c r="L35" s="224">
        <f t="shared" si="12"/>
        <v>0</v>
      </c>
      <c r="M35" s="224">
        <f t="shared" si="12"/>
        <v>1104062</v>
      </c>
      <c r="N35" s="224">
        <f t="shared" si="12"/>
        <v>0</v>
      </c>
      <c r="O35" s="224">
        <f t="shared" si="12"/>
        <v>0</v>
      </c>
      <c r="P35" s="224">
        <f t="shared" si="12"/>
        <v>1104062</v>
      </c>
      <c r="Q35" s="224">
        <f t="shared" si="12"/>
        <v>0</v>
      </c>
      <c r="R35" s="224">
        <f t="shared" si="12"/>
        <v>0</v>
      </c>
      <c r="S35" s="224">
        <f t="shared" si="12"/>
        <v>1104062</v>
      </c>
      <c r="T35" s="224">
        <f t="shared" si="12"/>
        <v>3698931</v>
      </c>
      <c r="U35" s="224">
        <f t="shared" si="12"/>
        <v>500000</v>
      </c>
    </row>
    <row r="36" spans="1:21" s="225" customFormat="1">
      <c r="A36" s="222"/>
      <c r="B36" s="222"/>
      <c r="C36" s="222"/>
      <c r="D36" s="222"/>
      <c r="E36" s="223" t="s">
        <v>113</v>
      </c>
      <c r="F36" s="220" t="s">
        <v>8</v>
      </c>
      <c r="G36" s="224">
        <f>SUM(G37:G46)</f>
        <v>286957</v>
      </c>
      <c r="H36" s="224">
        <f t="shared" ref="H36:I36" si="13">SUM(H37:H46)</f>
        <v>0</v>
      </c>
      <c r="I36" s="224">
        <f t="shared" si="13"/>
        <v>0</v>
      </c>
      <c r="J36" s="224">
        <f t="shared" ref="J36:U36" si="14">SUM(J37:J47)</f>
        <v>286957</v>
      </c>
      <c r="K36" s="224">
        <f t="shared" si="14"/>
        <v>817105</v>
      </c>
      <c r="L36" s="224">
        <f t="shared" si="14"/>
        <v>0</v>
      </c>
      <c r="M36" s="224">
        <f t="shared" si="14"/>
        <v>1104062</v>
      </c>
      <c r="N36" s="224">
        <f t="shared" si="14"/>
        <v>0</v>
      </c>
      <c r="O36" s="224">
        <f t="shared" si="14"/>
        <v>0</v>
      </c>
      <c r="P36" s="224">
        <f t="shared" si="14"/>
        <v>1104062</v>
      </c>
      <c r="Q36" s="224">
        <f t="shared" si="14"/>
        <v>0</v>
      </c>
      <c r="R36" s="224">
        <f t="shared" si="14"/>
        <v>0</v>
      </c>
      <c r="S36" s="224">
        <f t="shared" si="14"/>
        <v>1104062</v>
      </c>
      <c r="T36" s="224">
        <f t="shared" si="14"/>
        <v>3698931</v>
      </c>
      <c r="U36" s="224">
        <f t="shared" si="14"/>
        <v>500000</v>
      </c>
    </row>
    <row r="37" spans="1:21" s="225" customFormat="1" ht="25.5">
      <c r="A37" s="222"/>
      <c r="B37" s="222"/>
      <c r="C37" s="222"/>
      <c r="D37" s="222"/>
      <c r="E37" s="223"/>
      <c r="F37" s="13" t="s">
        <v>680</v>
      </c>
      <c r="G37" s="224">
        <v>286957</v>
      </c>
      <c r="H37" s="224"/>
      <c r="I37" s="224"/>
      <c r="J37" s="109">
        <f t="shared" si="4"/>
        <v>286957</v>
      </c>
      <c r="K37" s="224"/>
      <c r="L37" s="224"/>
      <c r="M37" s="109">
        <f t="shared" ref="M37:M48" si="15">J37+K37-L37</f>
        <v>286957</v>
      </c>
      <c r="N37" s="224"/>
      <c r="O37" s="224"/>
      <c r="P37" s="109">
        <f t="shared" ref="P37" si="16">M37+N37-O37</f>
        <v>286957</v>
      </c>
      <c r="Q37" s="224"/>
      <c r="R37" s="224"/>
      <c r="S37" s="109">
        <f t="shared" ref="S37" si="17">P37+Q37-R37</f>
        <v>286957</v>
      </c>
      <c r="T37" s="224"/>
      <c r="U37" s="224"/>
    </row>
    <row r="38" spans="1:21" s="225" customFormat="1" ht="25.5">
      <c r="A38" s="222"/>
      <c r="B38" s="222"/>
      <c r="C38" s="222"/>
      <c r="D38" s="222"/>
      <c r="E38" s="223"/>
      <c r="F38" s="13" t="s">
        <v>681</v>
      </c>
      <c r="G38" s="224"/>
      <c r="H38" s="224"/>
      <c r="I38" s="224"/>
      <c r="J38" s="109"/>
      <c r="K38" s="224">
        <v>412954</v>
      </c>
      <c r="L38" s="224"/>
      <c r="M38" s="109">
        <v>412954</v>
      </c>
      <c r="N38" s="224"/>
      <c r="O38" s="224"/>
      <c r="P38" s="109">
        <v>412954</v>
      </c>
      <c r="Q38" s="224"/>
      <c r="R38" s="224"/>
      <c r="S38" s="109">
        <v>412954</v>
      </c>
      <c r="T38" s="224"/>
      <c r="U38" s="224"/>
    </row>
    <row r="39" spans="1:21" s="225" customFormat="1">
      <c r="A39" s="222"/>
      <c r="B39" s="222"/>
      <c r="C39" s="222"/>
      <c r="D39" s="222"/>
      <c r="E39" s="223"/>
      <c r="F39" s="215" t="s">
        <v>682</v>
      </c>
      <c r="G39" s="224"/>
      <c r="H39" s="224"/>
      <c r="I39" s="224"/>
      <c r="J39" s="109"/>
      <c r="K39" s="224">
        <v>400000</v>
      </c>
      <c r="L39" s="224"/>
      <c r="M39" s="109">
        <v>400000</v>
      </c>
      <c r="N39" s="224"/>
      <c r="O39" s="224"/>
      <c r="P39" s="109">
        <v>400000</v>
      </c>
      <c r="Q39" s="224"/>
      <c r="R39" s="224"/>
      <c r="S39" s="109">
        <v>400000</v>
      </c>
      <c r="T39" s="224"/>
      <c r="U39" s="224"/>
    </row>
    <row r="40" spans="1:21" s="225" customFormat="1" ht="27" customHeight="1">
      <c r="A40" s="222"/>
      <c r="B40" s="222"/>
      <c r="C40" s="222"/>
      <c r="D40" s="222"/>
      <c r="E40" s="223"/>
      <c r="F40" s="215" t="s">
        <v>683</v>
      </c>
      <c r="G40" s="211"/>
      <c r="H40" s="211"/>
      <c r="I40" s="211"/>
      <c r="J40" s="109">
        <f t="shared" si="4"/>
        <v>0</v>
      </c>
      <c r="K40" s="211"/>
      <c r="L40" s="211"/>
      <c r="M40" s="109">
        <f t="shared" si="15"/>
        <v>0</v>
      </c>
      <c r="N40" s="211"/>
      <c r="O40" s="211"/>
      <c r="P40" s="109">
        <f t="shared" ref="P40:P46" si="18">M40+N40-O40</f>
        <v>0</v>
      </c>
      <c r="Q40" s="211"/>
      <c r="R40" s="211"/>
      <c r="S40" s="109">
        <f t="shared" ref="S40:S46" si="19">P40+Q40-R40</f>
        <v>0</v>
      </c>
      <c r="T40" s="224">
        <v>1198931</v>
      </c>
      <c r="U40" s="224"/>
    </row>
    <row r="41" spans="1:21" s="225" customFormat="1">
      <c r="A41" s="222"/>
      <c r="B41" s="222"/>
      <c r="C41" s="222"/>
      <c r="D41" s="222"/>
      <c r="E41" s="223"/>
      <c r="F41" s="13" t="s">
        <v>684</v>
      </c>
      <c r="G41" s="211"/>
      <c r="H41" s="211"/>
      <c r="I41" s="211"/>
      <c r="J41" s="109">
        <f t="shared" si="4"/>
        <v>0</v>
      </c>
      <c r="K41" s="211"/>
      <c r="L41" s="211"/>
      <c r="M41" s="109">
        <f t="shared" si="15"/>
        <v>0</v>
      </c>
      <c r="N41" s="211"/>
      <c r="O41" s="211"/>
      <c r="P41" s="109">
        <f t="shared" si="18"/>
        <v>0</v>
      </c>
      <c r="Q41" s="211"/>
      <c r="R41" s="211"/>
      <c r="S41" s="109">
        <f t="shared" si="19"/>
        <v>0</v>
      </c>
      <c r="T41" s="224">
        <v>500000</v>
      </c>
      <c r="U41" s="224"/>
    </row>
    <row r="42" spans="1:21" s="225" customFormat="1">
      <c r="A42" s="222"/>
      <c r="B42" s="222"/>
      <c r="C42" s="222"/>
      <c r="D42" s="222"/>
      <c r="E42" s="223"/>
      <c r="F42" s="13" t="s">
        <v>685</v>
      </c>
      <c r="G42" s="211"/>
      <c r="H42" s="211"/>
      <c r="I42" s="211"/>
      <c r="J42" s="109">
        <f t="shared" si="4"/>
        <v>0</v>
      </c>
      <c r="K42" s="211"/>
      <c r="L42" s="211"/>
      <c r="M42" s="109">
        <f t="shared" si="15"/>
        <v>0</v>
      </c>
      <c r="N42" s="211"/>
      <c r="O42" s="211"/>
      <c r="P42" s="109">
        <f t="shared" si="18"/>
        <v>0</v>
      </c>
      <c r="Q42" s="211"/>
      <c r="R42" s="211"/>
      <c r="S42" s="109">
        <f t="shared" si="19"/>
        <v>0</v>
      </c>
      <c r="T42" s="224">
        <v>500000</v>
      </c>
      <c r="U42" s="224"/>
    </row>
    <row r="43" spans="1:21" s="225" customFormat="1">
      <c r="A43" s="222"/>
      <c r="B43" s="222"/>
      <c r="C43" s="222"/>
      <c r="D43" s="222"/>
      <c r="E43" s="223"/>
      <c r="F43" s="13" t="s">
        <v>686</v>
      </c>
      <c r="G43" s="211"/>
      <c r="H43" s="211"/>
      <c r="I43" s="211"/>
      <c r="J43" s="109">
        <f t="shared" si="4"/>
        <v>0</v>
      </c>
      <c r="K43" s="211"/>
      <c r="L43" s="211"/>
      <c r="M43" s="109">
        <f t="shared" si="15"/>
        <v>0</v>
      </c>
      <c r="N43" s="211"/>
      <c r="O43" s="211"/>
      <c r="P43" s="109">
        <f t="shared" si="18"/>
        <v>0</v>
      </c>
      <c r="Q43" s="211"/>
      <c r="R43" s="211"/>
      <c r="S43" s="109">
        <f t="shared" si="19"/>
        <v>0</v>
      </c>
      <c r="T43" s="224">
        <v>500000</v>
      </c>
      <c r="U43" s="224"/>
    </row>
    <row r="44" spans="1:21" s="225" customFormat="1">
      <c r="A44" s="222"/>
      <c r="B44" s="222"/>
      <c r="C44" s="222"/>
      <c r="D44" s="222"/>
      <c r="E44" s="223"/>
      <c r="F44" s="13" t="s">
        <v>687</v>
      </c>
      <c r="G44" s="211"/>
      <c r="H44" s="211"/>
      <c r="I44" s="211"/>
      <c r="J44" s="109">
        <f t="shared" si="4"/>
        <v>0</v>
      </c>
      <c r="K44" s="211"/>
      <c r="L44" s="211"/>
      <c r="M44" s="109">
        <f t="shared" si="15"/>
        <v>0</v>
      </c>
      <c r="N44" s="211"/>
      <c r="O44" s="211"/>
      <c r="P44" s="109">
        <f t="shared" si="18"/>
        <v>0</v>
      </c>
      <c r="Q44" s="211"/>
      <c r="R44" s="211"/>
      <c r="S44" s="109">
        <f t="shared" si="19"/>
        <v>0</v>
      </c>
      <c r="T44" s="224">
        <v>500000</v>
      </c>
      <c r="U44" s="224"/>
    </row>
    <row r="45" spans="1:21" s="225" customFormat="1">
      <c r="A45" s="222"/>
      <c r="B45" s="222"/>
      <c r="C45" s="222"/>
      <c r="D45" s="222"/>
      <c r="E45" s="223"/>
      <c r="F45" s="13" t="s">
        <v>688</v>
      </c>
      <c r="G45" s="211"/>
      <c r="H45" s="211"/>
      <c r="I45" s="211"/>
      <c r="J45" s="109">
        <f t="shared" si="4"/>
        <v>0</v>
      </c>
      <c r="K45" s="211"/>
      <c r="L45" s="211"/>
      <c r="M45" s="109">
        <f t="shared" si="15"/>
        <v>0</v>
      </c>
      <c r="N45" s="211"/>
      <c r="O45" s="211"/>
      <c r="P45" s="109">
        <f t="shared" si="18"/>
        <v>0</v>
      </c>
      <c r="Q45" s="211"/>
      <c r="R45" s="211"/>
      <c r="S45" s="109">
        <f t="shared" si="19"/>
        <v>0</v>
      </c>
      <c r="T45" s="224">
        <v>500000</v>
      </c>
      <c r="U45" s="224"/>
    </row>
    <row r="46" spans="1:21" s="225" customFormat="1" ht="25.5">
      <c r="A46" s="222"/>
      <c r="B46" s="222"/>
      <c r="C46" s="222"/>
      <c r="D46" s="222"/>
      <c r="E46" s="223"/>
      <c r="F46" s="13" t="s">
        <v>689</v>
      </c>
      <c r="G46" s="211"/>
      <c r="H46" s="211"/>
      <c r="I46" s="211"/>
      <c r="J46" s="109">
        <f t="shared" si="4"/>
        <v>0</v>
      </c>
      <c r="K46" s="211"/>
      <c r="L46" s="211"/>
      <c r="M46" s="109">
        <f t="shared" si="15"/>
        <v>0</v>
      </c>
      <c r="N46" s="211"/>
      <c r="O46" s="211"/>
      <c r="P46" s="109">
        <f t="shared" si="18"/>
        <v>0</v>
      </c>
      <c r="Q46" s="211"/>
      <c r="R46" s="211"/>
      <c r="S46" s="109">
        <f t="shared" si="19"/>
        <v>0</v>
      </c>
      <c r="T46" s="224"/>
      <c r="U46" s="224">
        <v>500000</v>
      </c>
    </row>
    <row r="47" spans="1:21" s="231" customFormat="1">
      <c r="A47" s="226"/>
      <c r="B47" s="226"/>
      <c r="C47" s="226"/>
      <c r="D47" s="226"/>
      <c r="E47" s="227"/>
      <c r="F47" s="228" t="s">
        <v>676</v>
      </c>
      <c r="G47" s="217"/>
      <c r="H47" s="217"/>
      <c r="I47" s="217"/>
      <c r="J47" s="229">
        <f>SUM(J48)</f>
        <v>0</v>
      </c>
      <c r="K47" s="229">
        <f t="shared" ref="K47:S47" si="20">SUM(K48)</f>
        <v>4151</v>
      </c>
      <c r="L47" s="229">
        <f t="shared" si="20"/>
        <v>0</v>
      </c>
      <c r="M47" s="229">
        <f t="shared" si="20"/>
        <v>4151</v>
      </c>
      <c r="N47" s="229">
        <f t="shared" si="20"/>
        <v>0</v>
      </c>
      <c r="O47" s="229">
        <f t="shared" si="20"/>
        <v>0</v>
      </c>
      <c r="P47" s="229">
        <f t="shared" si="20"/>
        <v>4151</v>
      </c>
      <c r="Q47" s="229">
        <f t="shared" si="20"/>
        <v>0</v>
      </c>
      <c r="R47" s="229">
        <f t="shared" si="20"/>
        <v>0</v>
      </c>
      <c r="S47" s="229">
        <f t="shared" si="20"/>
        <v>4151</v>
      </c>
      <c r="T47" s="230"/>
      <c r="U47" s="230"/>
    </row>
    <row r="48" spans="1:21" s="225" customFormat="1">
      <c r="A48" s="222"/>
      <c r="B48" s="222"/>
      <c r="C48" s="222"/>
      <c r="D48" s="222"/>
      <c r="E48" s="223"/>
      <c r="F48" s="215" t="s">
        <v>679</v>
      </c>
      <c r="G48" s="211"/>
      <c r="H48" s="211"/>
      <c r="I48" s="211"/>
      <c r="J48" s="109"/>
      <c r="K48" s="211">
        <v>4151</v>
      </c>
      <c r="L48" s="211"/>
      <c r="M48" s="109">
        <f t="shared" si="15"/>
        <v>4151</v>
      </c>
      <c r="N48" s="211"/>
      <c r="O48" s="211"/>
      <c r="P48" s="109">
        <f t="shared" ref="P48" si="21">M48+N48-O48</f>
        <v>4151</v>
      </c>
      <c r="Q48" s="211"/>
      <c r="R48" s="211"/>
      <c r="S48" s="109">
        <f t="shared" ref="S48" si="22">P48+Q48-R48</f>
        <v>4151</v>
      </c>
      <c r="T48" s="224"/>
      <c r="U48" s="224"/>
    </row>
    <row r="49" spans="1:21" s="225" customFormat="1" ht="25.5">
      <c r="A49" s="223" t="s">
        <v>107</v>
      </c>
      <c r="B49" s="222"/>
      <c r="C49" s="222"/>
      <c r="D49" s="222"/>
      <c r="E49" s="223"/>
      <c r="F49" s="1" t="s">
        <v>108</v>
      </c>
      <c r="G49" s="211">
        <f>G50</f>
        <v>0</v>
      </c>
      <c r="H49" s="211">
        <f t="shared" ref="H49:U53" si="23">H50</f>
        <v>0</v>
      </c>
      <c r="I49" s="211">
        <f t="shared" si="23"/>
        <v>0</v>
      </c>
      <c r="J49" s="211">
        <f t="shared" si="23"/>
        <v>0</v>
      </c>
      <c r="K49" s="211">
        <f t="shared" si="23"/>
        <v>49796</v>
      </c>
      <c r="L49" s="211">
        <f t="shared" si="23"/>
        <v>0</v>
      </c>
      <c r="M49" s="211">
        <f t="shared" si="23"/>
        <v>49796</v>
      </c>
      <c r="N49" s="211">
        <f t="shared" si="23"/>
        <v>0</v>
      </c>
      <c r="O49" s="211">
        <f t="shared" si="23"/>
        <v>0</v>
      </c>
      <c r="P49" s="211">
        <f t="shared" si="23"/>
        <v>49796</v>
      </c>
      <c r="Q49" s="211">
        <f t="shared" si="23"/>
        <v>3000000</v>
      </c>
      <c r="R49" s="211">
        <f t="shared" si="23"/>
        <v>49796</v>
      </c>
      <c r="S49" s="211">
        <f t="shared" si="23"/>
        <v>3000000</v>
      </c>
      <c r="T49" s="211">
        <f t="shared" si="23"/>
        <v>1000000</v>
      </c>
      <c r="U49" s="211">
        <f t="shared" si="23"/>
        <v>1000000</v>
      </c>
    </row>
    <row r="50" spans="1:21" s="225" customFormat="1">
      <c r="A50" s="222"/>
      <c r="B50" s="222">
        <v>1</v>
      </c>
      <c r="C50" s="222"/>
      <c r="D50" s="222"/>
      <c r="E50" s="223"/>
      <c r="F50" s="55" t="s">
        <v>109</v>
      </c>
      <c r="G50" s="211">
        <f>G51</f>
        <v>0</v>
      </c>
      <c r="H50" s="211">
        <f t="shared" si="23"/>
        <v>0</v>
      </c>
      <c r="I50" s="211">
        <f t="shared" si="23"/>
        <v>0</v>
      </c>
      <c r="J50" s="211">
        <f t="shared" si="23"/>
        <v>0</v>
      </c>
      <c r="K50" s="211">
        <f t="shared" si="23"/>
        <v>49796</v>
      </c>
      <c r="L50" s="211">
        <f t="shared" si="23"/>
        <v>0</v>
      </c>
      <c r="M50" s="211">
        <f t="shared" si="23"/>
        <v>49796</v>
      </c>
      <c r="N50" s="211">
        <f t="shared" si="23"/>
        <v>0</v>
      </c>
      <c r="O50" s="211">
        <f t="shared" si="23"/>
        <v>0</v>
      </c>
      <c r="P50" s="211">
        <f t="shared" si="23"/>
        <v>49796</v>
      </c>
      <c r="Q50" s="211">
        <f t="shared" si="23"/>
        <v>3000000</v>
      </c>
      <c r="R50" s="211">
        <f t="shared" si="23"/>
        <v>49796</v>
      </c>
      <c r="S50" s="211">
        <f t="shared" si="23"/>
        <v>3000000</v>
      </c>
      <c r="T50" s="211">
        <f t="shared" si="23"/>
        <v>1000000</v>
      </c>
      <c r="U50" s="211">
        <f t="shared" si="23"/>
        <v>1000000</v>
      </c>
    </row>
    <row r="51" spans="1:21" s="225" customFormat="1">
      <c r="A51" s="222"/>
      <c r="B51" s="222"/>
      <c r="C51" s="222">
        <v>373</v>
      </c>
      <c r="D51" s="222"/>
      <c r="E51" s="223"/>
      <c r="F51" s="1" t="s">
        <v>288</v>
      </c>
      <c r="G51" s="211">
        <f>G52</f>
        <v>0</v>
      </c>
      <c r="H51" s="211">
        <f t="shared" si="23"/>
        <v>0</v>
      </c>
      <c r="I51" s="211">
        <f t="shared" si="23"/>
        <v>0</v>
      </c>
      <c r="J51" s="211">
        <f t="shared" si="23"/>
        <v>0</v>
      </c>
      <c r="K51" s="211">
        <f t="shared" si="23"/>
        <v>49796</v>
      </c>
      <c r="L51" s="211">
        <f t="shared" si="23"/>
        <v>0</v>
      </c>
      <c r="M51" s="211">
        <f t="shared" si="23"/>
        <v>49796</v>
      </c>
      <c r="N51" s="211">
        <f t="shared" si="23"/>
        <v>0</v>
      </c>
      <c r="O51" s="211">
        <f t="shared" si="23"/>
        <v>0</v>
      </c>
      <c r="P51" s="211">
        <f t="shared" si="23"/>
        <v>49796</v>
      </c>
      <c r="Q51" s="211">
        <f t="shared" si="23"/>
        <v>3000000</v>
      </c>
      <c r="R51" s="211">
        <f t="shared" si="23"/>
        <v>49796</v>
      </c>
      <c r="S51" s="211">
        <f t="shared" si="23"/>
        <v>3000000</v>
      </c>
      <c r="T51" s="211">
        <f t="shared" si="23"/>
        <v>1000000</v>
      </c>
      <c r="U51" s="211">
        <f t="shared" si="23"/>
        <v>1000000</v>
      </c>
    </row>
    <row r="52" spans="1:21" s="225" customFormat="1">
      <c r="A52" s="222"/>
      <c r="B52" s="222"/>
      <c r="C52" s="222"/>
      <c r="D52" s="219" t="s">
        <v>185</v>
      </c>
      <c r="E52" s="223"/>
      <c r="F52" s="1" t="s">
        <v>521</v>
      </c>
      <c r="G52" s="211">
        <f>G53</f>
        <v>0</v>
      </c>
      <c r="H52" s="211">
        <f t="shared" si="23"/>
        <v>0</v>
      </c>
      <c r="I52" s="211">
        <f t="shared" si="23"/>
        <v>0</v>
      </c>
      <c r="J52" s="211">
        <f t="shared" si="23"/>
        <v>0</v>
      </c>
      <c r="K52" s="211">
        <f t="shared" si="23"/>
        <v>49796</v>
      </c>
      <c r="L52" s="211">
        <f t="shared" si="23"/>
        <v>0</v>
      </c>
      <c r="M52" s="211">
        <f t="shared" si="23"/>
        <v>49796</v>
      </c>
      <c r="N52" s="211">
        <f t="shared" si="23"/>
        <v>0</v>
      </c>
      <c r="O52" s="211">
        <f t="shared" si="23"/>
        <v>0</v>
      </c>
      <c r="P52" s="211">
        <f t="shared" si="23"/>
        <v>49796</v>
      </c>
      <c r="Q52" s="211">
        <f t="shared" si="23"/>
        <v>3000000</v>
      </c>
      <c r="R52" s="211">
        <f t="shared" si="23"/>
        <v>49796</v>
      </c>
      <c r="S52" s="211">
        <f t="shared" si="23"/>
        <v>3000000</v>
      </c>
      <c r="T52" s="211">
        <f t="shared" si="23"/>
        <v>1000000</v>
      </c>
      <c r="U52" s="211">
        <f t="shared" si="23"/>
        <v>1000000</v>
      </c>
    </row>
    <row r="53" spans="1:21" s="225" customFormat="1">
      <c r="A53" s="222"/>
      <c r="B53" s="222"/>
      <c r="C53" s="222"/>
      <c r="D53" s="222"/>
      <c r="E53" s="223" t="s">
        <v>113</v>
      </c>
      <c r="F53" s="220" t="s">
        <v>8</v>
      </c>
      <c r="G53" s="211">
        <f>G54</f>
        <v>0</v>
      </c>
      <c r="H53" s="211">
        <f t="shared" si="23"/>
        <v>0</v>
      </c>
      <c r="I53" s="211">
        <f t="shared" si="23"/>
        <v>0</v>
      </c>
      <c r="J53" s="211">
        <f>SUM(J54:J57)</f>
        <v>0</v>
      </c>
      <c r="K53" s="211">
        <f t="shared" ref="K53:U53" si="24">SUM(K54:K57)</f>
        <v>49796</v>
      </c>
      <c r="L53" s="211">
        <f t="shared" si="24"/>
        <v>0</v>
      </c>
      <c r="M53" s="211">
        <f t="shared" si="24"/>
        <v>49796</v>
      </c>
      <c r="N53" s="211">
        <f t="shared" si="24"/>
        <v>0</v>
      </c>
      <c r="O53" s="211">
        <f t="shared" si="24"/>
        <v>0</v>
      </c>
      <c r="P53" s="211">
        <f t="shared" si="24"/>
        <v>49796</v>
      </c>
      <c r="Q53" s="211">
        <f t="shared" si="24"/>
        <v>3000000</v>
      </c>
      <c r="R53" s="211">
        <f t="shared" si="24"/>
        <v>49796</v>
      </c>
      <c r="S53" s="211">
        <f t="shared" si="24"/>
        <v>3000000</v>
      </c>
      <c r="T53" s="211">
        <f t="shared" si="24"/>
        <v>1000000</v>
      </c>
      <c r="U53" s="211">
        <f t="shared" si="24"/>
        <v>1000000</v>
      </c>
    </row>
    <row r="54" spans="1:21" s="225" customFormat="1">
      <c r="A54" s="222"/>
      <c r="B54" s="222"/>
      <c r="C54" s="222"/>
      <c r="D54" s="222"/>
      <c r="E54" s="223"/>
      <c r="F54" s="215" t="s">
        <v>690</v>
      </c>
      <c r="G54" s="211"/>
      <c r="H54" s="211"/>
      <c r="I54" s="211"/>
      <c r="J54" s="109">
        <f t="shared" si="4"/>
        <v>0</v>
      </c>
      <c r="K54" s="211"/>
      <c r="L54" s="211"/>
      <c r="M54" s="109">
        <f t="shared" ref="M54" si="25">J54+K54-L54</f>
        <v>0</v>
      </c>
      <c r="N54" s="211"/>
      <c r="O54" s="211"/>
      <c r="P54" s="109">
        <f t="shared" ref="P54" si="26">M54+N54-O54</f>
        <v>0</v>
      </c>
      <c r="Q54" s="211"/>
      <c r="R54" s="211"/>
      <c r="S54" s="109">
        <f t="shared" ref="S54" si="27">P54+Q54-R54</f>
        <v>0</v>
      </c>
      <c r="T54" s="232">
        <v>800000</v>
      </c>
      <c r="U54" s="232">
        <v>800000</v>
      </c>
    </row>
    <row r="55" spans="1:21" s="225" customFormat="1" ht="25.5">
      <c r="A55" s="222"/>
      <c r="B55" s="222"/>
      <c r="C55" s="222"/>
      <c r="D55" s="222"/>
      <c r="E55" s="223"/>
      <c r="F55" s="215" t="s">
        <v>691</v>
      </c>
      <c r="G55" s="211"/>
      <c r="H55" s="211"/>
      <c r="I55" s="211"/>
      <c r="J55" s="109"/>
      <c r="K55" s="211"/>
      <c r="L55" s="211"/>
      <c r="M55" s="109"/>
      <c r="N55" s="211"/>
      <c r="O55" s="211"/>
      <c r="P55" s="109"/>
      <c r="Q55" s="211"/>
      <c r="R55" s="211"/>
      <c r="S55" s="109"/>
      <c r="T55" s="233">
        <v>200000</v>
      </c>
      <c r="U55" s="233">
        <v>200000</v>
      </c>
    </row>
    <row r="56" spans="1:21" s="225" customFormat="1" ht="25.5">
      <c r="A56" s="222"/>
      <c r="B56" s="222"/>
      <c r="C56" s="222"/>
      <c r="D56" s="222"/>
      <c r="E56" s="223"/>
      <c r="F56" s="246" t="s">
        <v>692</v>
      </c>
      <c r="G56" s="211"/>
      <c r="H56" s="211"/>
      <c r="I56" s="211"/>
      <c r="J56" s="109"/>
      <c r="K56" s="211"/>
      <c r="L56" s="211"/>
      <c r="M56" s="109"/>
      <c r="N56" s="211"/>
      <c r="O56" s="211"/>
      <c r="P56" s="109"/>
      <c r="Q56" s="211">
        <v>3000000</v>
      </c>
      <c r="R56" s="211"/>
      <c r="S56" s="109">
        <f t="shared" ref="S56" si="28">P56+Q56-R56</f>
        <v>3000000</v>
      </c>
      <c r="T56" s="233"/>
      <c r="U56" s="233"/>
    </row>
    <row r="57" spans="1:21" s="225" customFormat="1" hidden="1">
      <c r="A57" s="222"/>
      <c r="B57" s="222"/>
      <c r="C57" s="222"/>
      <c r="D57" s="222"/>
      <c r="E57" s="223"/>
      <c r="F57" s="216" t="s">
        <v>676</v>
      </c>
      <c r="G57" s="211"/>
      <c r="H57" s="211"/>
      <c r="I57" s="211"/>
      <c r="J57" s="229">
        <f>J58</f>
        <v>0</v>
      </c>
      <c r="K57" s="229">
        <f t="shared" ref="K57:U57" si="29">K58</f>
        <v>49796</v>
      </c>
      <c r="L57" s="229">
        <f t="shared" si="29"/>
        <v>0</v>
      </c>
      <c r="M57" s="229">
        <f t="shared" si="29"/>
        <v>49796</v>
      </c>
      <c r="N57" s="229">
        <f t="shared" si="29"/>
        <v>0</v>
      </c>
      <c r="O57" s="229">
        <f t="shared" si="29"/>
        <v>0</v>
      </c>
      <c r="P57" s="229">
        <f t="shared" si="29"/>
        <v>49796</v>
      </c>
      <c r="Q57" s="229">
        <f t="shared" si="29"/>
        <v>0</v>
      </c>
      <c r="R57" s="229">
        <f t="shared" si="29"/>
        <v>49796</v>
      </c>
      <c r="S57" s="229">
        <f t="shared" si="29"/>
        <v>0</v>
      </c>
      <c r="T57" s="229">
        <f t="shared" si="29"/>
        <v>0</v>
      </c>
      <c r="U57" s="229">
        <f t="shared" si="29"/>
        <v>0</v>
      </c>
    </row>
    <row r="58" spans="1:21" s="225" customFormat="1" ht="25.5" hidden="1">
      <c r="A58" s="222"/>
      <c r="B58" s="222"/>
      <c r="C58" s="222"/>
      <c r="D58" s="222"/>
      <c r="E58" s="223"/>
      <c r="F58" s="215" t="s">
        <v>693</v>
      </c>
      <c r="G58" s="211"/>
      <c r="H58" s="211"/>
      <c r="I58" s="211"/>
      <c r="J58" s="109"/>
      <c r="K58" s="211">
        <v>49796</v>
      </c>
      <c r="L58" s="211"/>
      <c r="M58" s="109">
        <v>49796</v>
      </c>
      <c r="N58" s="211"/>
      <c r="O58" s="211"/>
      <c r="P58" s="109">
        <v>49796</v>
      </c>
      <c r="Q58" s="211"/>
      <c r="R58" s="211">
        <v>49796</v>
      </c>
      <c r="S58" s="109">
        <f t="shared" ref="S58" si="30">P58+Q58-R58</f>
        <v>0</v>
      </c>
      <c r="T58" s="224"/>
      <c r="U58" s="224"/>
    </row>
    <row r="59" spans="1:21">
      <c r="A59" s="218" t="s">
        <v>110</v>
      </c>
      <c r="B59" s="218"/>
      <c r="C59" s="218"/>
      <c r="D59" s="218"/>
      <c r="E59" s="219"/>
      <c r="F59" s="220" t="s">
        <v>111</v>
      </c>
      <c r="G59" s="221">
        <f>G66</f>
        <v>6133739.9979800005</v>
      </c>
      <c r="H59" s="221">
        <f t="shared" ref="H59:I59" si="31">H66</f>
        <v>0</v>
      </c>
      <c r="I59" s="221">
        <f t="shared" si="31"/>
        <v>0</v>
      </c>
      <c r="J59" s="221">
        <f>J60+J66</f>
        <v>6133740</v>
      </c>
      <c r="K59" s="221">
        <f t="shared" ref="K59:U59" si="32">K60+K66</f>
        <v>24669</v>
      </c>
      <c r="L59" s="221">
        <f t="shared" si="32"/>
        <v>0</v>
      </c>
      <c r="M59" s="221">
        <f t="shared" si="32"/>
        <v>6158409</v>
      </c>
      <c r="N59" s="221">
        <f t="shared" si="32"/>
        <v>49726</v>
      </c>
      <c r="O59" s="221">
        <f t="shared" si="32"/>
        <v>0</v>
      </c>
      <c r="P59" s="221">
        <f t="shared" si="32"/>
        <v>6208135</v>
      </c>
      <c r="Q59" s="221">
        <f t="shared" si="32"/>
        <v>0</v>
      </c>
      <c r="R59" s="221">
        <f t="shared" si="32"/>
        <v>1019</v>
      </c>
      <c r="S59" s="221">
        <f t="shared" si="32"/>
        <v>6207116</v>
      </c>
      <c r="T59" s="221">
        <f t="shared" si="32"/>
        <v>23638808</v>
      </c>
      <c r="U59" s="221">
        <f t="shared" si="32"/>
        <v>14000000</v>
      </c>
    </row>
    <row r="60" spans="1:21">
      <c r="A60" s="218"/>
      <c r="B60" s="234">
        <v>1</v>
      </c>
      <c r="F60" s="236" t="s">
        <v>129</v>
      </c>
      <c r="G60" s="221"/>
      <c r="H60" s="221"/>
      <c r="I60" s="221"/>
      <c r="J60" s="221"/>
      <c r="K60" s="221">
        <f>K61</f>
        <v>4669</v>
      </c>
      <c r="L60" s="221">
        <f t="shared" ref="L60:S64" si="33">L61</f>
        <v>0</v>
      </c>
      <c r="M60" s="221">
        <f t="shared" si="33"/>
        <v>4669</v>
      </c>
      <c r="N60" s="221">
        <f>N61</f>
        <v>0</v>
      </c>
      <c r="O60" s="221">
        <f t="shared" si="33"/>
        <v>0</v>
      </c>
      <c r="P60" s="221">
        <f t="shared" si="33"/>
        <v>4669</v>
      </c>
      <c r="Q60" s="221">
        <f>Q61</f>
        <v>0</v>
      </c>
      <c r="R60" s="221">
        <f t="shared" si="33"/>
        <v>0</v>
      </c>
      <c r="S60" s="221">
        <f t="shared" si="33"/>
        <v>4669</v>
      </c>
      <c r="T60" s="221"/>
      <c r="U60" s="221"/>
    </row>
    <row r="61" spans="1:21">
      <c r="A61" s="218"/>
      <c r="C61" s="234">
        <v>373</v>
      </c>
      <c r="F61" s="220" t="s">
        <v>288</v>
      </c>
      <c r="G61" s="221"/>
      <c r="H61" s="221"/>
      <c r="I61" s="221"/>
      <c r="J61" s="221"/>
      <c r="K61" s="221">
        <f>K62</f>
        <v>4669</v>
      </c>
      <c r="L61" s="221">
        <f t="shared" si="33"/>
        <v>0</v>
      </c>
      <c r="M61" s="221">
        <f t="shared" si="33"/>
        <v>4669</v>
      </c>
      <c r="N61" s="221">
        <f>N62</f>
        <v>0</v>
      </c>
      <c r="O61" s="221">
        <f t="shared" si="33"/>
        <v>0</v>
      </c>
      <c r="P61" s="221">
        <f t="shared" si="33"/>
        <v>4669</v>
      </c>
      <c r="Q61" s="221">
        <f>Q62</f>
        <v>0</v>
      </c>
      <c r="R61" s="221">
        <f t="shared" si="33"/>
        <v>0</v>
      </c>
      <c r="S61" s="221">
        <f t="shared" si="33"/>
        <v>4669</v>
      </c>
      <c r="T61" s="221"/>
      <c r="U61" s="221"/>
    </row>
    <row r="62" spans="1:21">
      <c r="A62" s="218"/>
      <c r="D62" s="235" t="s">
        <v>118</v>
      </c>
      <c r="F62" s="236" t="s">
        <v>657</v>
      </c>
      <c r="G62" s="221"/>
      <c r="H62" s="221"/>
      <c r="I62" s="221"/>
      <c r="J62" s="221"/>
      <c r="K62" s="221">
        <f>K63</f>
        <v>4669</v>
      </c>
      <c r="L62" s="221">
        <f t="shared" si="33"/>
        <v>0</v>
      </c>
      <c r="M62" s="221">
        <f t="shared" si="33"/>
        <v>4669</v>
      </c>
      <c r="N62" s="221">
        <f>N63</f>
        <v>0</v>
      </c>
      <c r="O62" s="221">
        <f t="shared" si="33"/>
        <v>0</v>
      </c>
      <c r="P62" s="221">
        <f t="shared" si="33"/>
        <v>4669</v>
      </c>
      <c r="Q62" s="221">
        <f>Q63</f>
        <v>0</v>
      </c>
      <c r="R62" s="221">
        <f t="shared" si="33"/>
        <v>0</v>
      </c>
      <c r="S62" s="221">
        <f t="shared" si="33"/>
        <v>4669</v>
      </c>
      <c r="T62" s="221"/>
      <c r="U62" s="221"/>
    </row>
    <row r="63" spans="1:21">
      <c r="A63" s="218"/>
      <c r="E63" s="235" t="s">
        <v>113</v>
      </c>
      <c r="F63" s="236" t="s">
        <v>8</v>
      </c>
      <c r="G63" s="221"/>
      <c r="H63" s="221"/>
      <c r="I63" s="221"/>
      <c r="J63" s="221"/>
      <c r="K63" s="221">
        <f>K64</f>
        <v>4669</v>
      </c>
      <c r="L63" s="221">
        <f t="shared" si="33"/>
        <v>0</v>
      </c>
      <c r="M63" s="221">
        <f t="shared" si="33"/>
        <v>4669</v>
      </c>
      <c r="N63" s="221">
        <f>N64</f>
        <v>0</v>
      </c>
      <c r="O63" s="221">
        <f t="shared" si="33"/>
        <v>0</v>
      </c>
      <c r="P63" s="221">
        <f t="shared" si="33"/>
        <v>4669</v>
      </c>
      <c r="Q63" s="221">
        <f>Q64</f>
        <v>0</v>
      </c>
      <c r="R63" s="221">
        <f t="shared" si="33"/>
        <v>0</v>
      </c>
      <c r="S63" s="221">
        <f t="shared" si="33"/>
        <v>4669</v>
      </c>
      <c r="T63" s="221"/>
      <c r="U63" s="221"/>
    </row>
    <row r="64" spans="1:21" s="241" customFormat="1">
      <c r="A64" s="237"/>
      <c r="B64" s="238"/>
      <c r="C64" s="238"/>
      <c r="D64" s="238"/>
      <c r="E64" s="239"/>
      <c r="F64" s="215" t="s">
        <v>676</v>
      </c>
      <c r="G64" s="240"/>
      <c r="H64" s="240"/>
      <c r="I64" s="240"/>
      <c r="J64" s="240"/>
      <c r="K64" s="240">
        <f>K65</f>
        <v>4669</v>
      </c>
      <c r="L64" s="240">
        <f t="shared" si="33"/>
        <v>0</v>
      </c>
      <c r="M64" s="240">
        <f t="shared" si="33"/>
        <v>4669</v>
      </c>
      <c r="N64" s="240">
        <f>N65</f>
        <v>0</v>
      </c>
      <c r="O64" s="240">
        <f t="shared" si="33"/>
        <v>0</v>
      </c>
      <c r="P64" s="240">
        <f t="shared" si="33"/>
        <v>4669</v>
      </c>
      <c r="Q64" s="240">
        <f>Q65</f>
        <v>0</v>
      </c>
      <c r="R64" s="240">
        <f t="shared" si="33"/>
        <v>0</v>
      </c>
      <c r="S64" s="240">
        <f t="shared" si="33"/>
        <v>4669</v>
      </c>
      <c r="T64" s="240"/>
      <c r="U64" s="240"/>
    </row>
    <row r="65" spans="1:24">
      <c r="A65" s="218"/>
      <c r="F65" s="215" t="s">
        <v>679</v>
      </c>
      <c r="G65" s="221"/>
      <c r="H65" s="221"/>
      <c r="I65" s="221"/>
      <c r="J65" s="221"/>
      <c r="K65" s="221">
        <v>4669</v>
      </c>
      <c r="L65" s="221"/>
      <c r="M65" s="109">
        <f t="shared" ref="M65" si="34">J65+K65-L65</f>
        <v>4669</v>
      </c>
      <c r="N65" s="221"/>
      <c r="O65" s="221"/>
      <c r="P65" s="109">
        <f t="shared" ref="P65" si="35">M65+N65-O65</f>
        <v>4669</v>
      </c>
      <c r="Q65" s="221"/>
      <c r="R65" s="221"/>
      <c r="S65" s="109">
        <f t="shared" ref="S65" si="36">P65+Q65-R65</f>
        <v>4669</v>
      </c>
      <c r="T65" s="221"/>
      <c r="U65" s="221"/>
    </row>
    <row r="66" spans="1:24">
      <c r="A66" s="218"/>
      <c r="B66" s="218">
        <v>2</v>
      </c>
      <c r="C66" s="218"/>
      <c r="D66" s="218"/>
      <c r="E66" s="219"/>
      <c r="F66" s="220" t="s">
        <v>65</v>
      </c>
      <c r="G66" s="221">
        <f t="shared" ref="G66:U67" si="37">G67</f>
        <v>6133739.9979800005</v>
      </c>
      <c r="H66" s="221">
        <f t="shared" si="37"/>
        <v>0</v>
      </c>
      <c r="I66" s="221">
        <f t="shared" si="37"/>
        <v>0</v>
      </c>
      <c r="J66" s="221">
        <f t="shared" si="37"/>
        <v>6133740</v>
      </c>
      <c r="K66" s="221">
        <f t="shared" si="37"/>
        <v>20000</v>
      </c>
      <c r="L66" s="221">
        <f t="shared" si="37"/>
        <v>0</v>
      </c>
      <c r="M66" s="221">
        <f t="shared" si="37"/>
        <v>6153740</v>
      </c>
      <c r="N66" s="221">
        <f t="shared" si="37"/>
        <v>49726</v>
      </c>
      <c r="O66" s="221">
        <f t="shared" si="37"/>
        <v>0</v>
      </c>
      <c r="P66" s="221">
        <f t="shared" si="37"/>
        <v>6203466</v>
      </c>
      <c r="Q66" s="221">
        <f t="shared" si="37"/>
        <v>0</v>
      </c>
      <c r="R66" s="221">
        <f t="shared" si="37"/>
        <v>1019</v>
      </c>
      <c r="S66" s="221">
        <f t="shared" si="37"/>
        <v>6202447</v>
      </c>
      <c r="T66" s="221">
        <f t="shared" si="37"/>
        <v>23638808</v>
      </c>
      <c r="U66" s="221">
        <f t="shared" si="37"/>
        <v>14000000</v>
      </c>
    </row>
    <row r="67" spans="1:24">
      <c r="A67" s="218"/>
      <c r="B67" s="218"/>
      <c r="C67" s="218">
        <v>373</v>
      </c>
      <c r="D67" s="218"/>
      <c r="E67" s="219"/>
      <c r="F67" s="220" t="s">
        <v>288</v>
      </c>
      <c r="G67" s="221">
        <f>G68</f>
        <v>6133739.9979800005</v>
      </c>
      <c r="H67" s="221">
        <f t="shared" si="37"/>
        <v>0</v>
      </c>
      <c r="I67" s="221">
        <f t="shared" si="37"/>
        <v>0</v>
      </c>
      <c r="J67" s="221">
        <f t="shared" si="37"/>
        <v>6133740</v>
      </c>
      <c r="K67" s="221">
        <f t="shared" si="37"/>
        <v>20000</v>
      </c>
      <c r="L67" s="221">
        <f t="shared" si="37"/>
        <v>0</v>
      </c>
      <c r="M67" s="221">
        <f t="shared" si="37"/>
        <v>6153740</v>
      </c>
      <c r="N67" s="221">
        <f t="shared" si="37"/>
        <v>49726</v>
      </c>
      <c r="O67" s="221">
        <f t="shared" si="37"/>
        <v>0</v>
      </c>
      <c r="P67" s="221">
        <f t="shared" si="37"/>
        <v>6203466</v>
      </c>
      <c r="Q67" s="221">
        <f t="shared" si="37"/>
        <v>0</v>
      </c>
      <c r="R67" s="221">
        <f t="shared" si="37"/>
        <v>1019</v>
      </c>
      <c r="S67" s="221">
        <f t="shared" si="37"/>
        <v>6202447</v>
      </c>
      <c r="T67" s="221">
        <f t="shared" si="37"/>
        <v>23638808</v>
      </c>
      <c r="U67" s="221">
        <f t="shared" si="37"/>
        <v>14000000</v>
      </c>
    </row>
    <row r="68" spans="1:24" s="225" customFormat="1" ht="12.75" customHeight="1">
      <c r="A68" s="222"/>
      <c r="B68" s="222"/>
      <c r="C68" s="222"/>
      <c r="D68" s="218" t="s">
        <v>232</v>
      </c>
      <c r="E68" s="219"/>
      <c r="F68" s="220" t="s">
        <v>303</v>
      </c>
      <c r="G68" s="224">
        <f t="shared" ref="G68:U68" si="38">G69</f>
        <v>6133739.9979800005</v>
      </c>
      <c r="H68" s="224">
        <f t="shared" si="38"/>
        <v>0</v>
      </c>
      <c r="I68" s="224">
        <f t="shared" si="38"/>
        <v>0</v>
      </c>
      <c r="J68" s="224">
        <f t="shared" si="38"/>
        <v>6133740</v>
      </c>
      <c r="K68" s="224">
        <f t="shared" si="38"/>
        <v>20000</v>
      </c>
      <c r="L68" s="224">
        <f t="shared" si="38"/>
        <v>0</v>
      </c>
      <c r="M68" s="224">
        <f t="shared" si="38"/>
        <v>6153740</v>
      </c>
      <c r="N68" s="224">
        <f t="shared" si="38"/>
        <v>49726</v>
      </c>
      <c r="O68" s="224">
        <f t="shared" si="38"/>
        <v>0</v>
      </c>
      <c r="P68" s="224">
        <f t="shared" si="38"/>
        <v>6203466</v>
      </c>
      <c r="Q68" s="224">
        <f t="shared" si="38"/>
        <v>0</v>
      </c>
      <c r="R68" s="224">
        <f t="shared" si="38"/>
        <v>1019</v>
      </c>
      <c r="S68" s="224">
        <f t="shared" si="38"/>
        <v>6202447</v>
      </c>
      <c r="T68" s="224">
        <f t="shared" si="38"/>
        <v>23638808</v>
      </c>
      <c r="U68" s="224">
        <f t="shared" si="38"/>
        <v>14000000</v>
      </c>
    </row>
    <row r="69" spans="1:24" s="225" customFormat="1">
      <c r="A69" s="222"/>
      <c r="B69" s="222"/>
      <c r="C69" s="222"/>
      <c r="D69" s="222"/>
      <c r="E69" s="219" t="s">
        <v>113</v>
      </c>
      <c r="F69" s="220" t="s">
        <v>8</v>
      </c>
      <c r="G69" s="224">
        <f>SUM(G70:G89)</f>
        <v>6133739.9979800005</v>
      </c>
      <c r="H69" s="224">
        <f t="shared" ref="H69:I69" si="39">SUM(H70:H89)</f>
        <v>0</v>
      </c>
      <c r="I69" s="224">
        <f t="shared" si="39"/>
        <v>0</v>
      </c>
      <c r="J69" s="224">
        <f>SUM(J70:J92)</f>
        <v>6133740</v>
      </c>
      <c r="K69" s="224">
        <f t="shared" ref="K69:U69" si="40">SUM(K70:K92)</f>
        <v>20000</v>
      </c>
      <c r="L69" s="224">
        <f t="shared" si="40"/>
        <v>0</v>
      </c>
      <c r="M69" s="224">
        <f t="shared" si="40"/>
        <v>6153740</v>
      </c>
      <c r="N69" s="224">
        <f t="shared" si="40"/>
        <v>49726</v>
      </c>
      <c r="O69" s="224">
        <f t="shared" si="40"/>
        <v>0</v>
      </c>
      <c r="P69" s="224">
        <f t="shared" si="40"/>
        <v>6203466</v>
      </c>
      <c r="Q69" s="224">
        <f t="shared" si="40"/>
        <v>0</v>
      </c>
      <c r="R69" s="224">
        <f t="shared" si="40"/>
        <v>1019</v>
      </c>
      <c r="S69" s="224">
        <f t="shared" si="40"/>
        <v>6202447</v>
      </c>
      <c r="T69" s="224">
        <f t="shared" si="40"/>
        <v>23638808</v>
      </c>
      <c r="U69" s="224">
        <f t="shared" si="40"/>
        <v>14000000</v>
      </c>
      <c r="V69" s="242"/>
      <c r="W69" s="242"/>
      <c r="X69" s="242"/>
    </row>
    <row r="70" spans="1:24" s="225" customFormat="1" ht="25.5">
      <c r="A70" s="222"/>
      <c r="B70" s="222"/>
      <c r="C70" s="222"/>
      <c r="D70" s="222"/>
      <c r="E70" s="219"/>
      <c r="F70" s="13" t="s">
        <v>694</v>
      </c>
      <c r="G70" s="211">
        <v>1440111</v>
      </c>
      <c r="H70" s="211"/>
      <c r="I70" s="211"/>
      <c r="J70" s="109">
        <f t="shared" si="4"/>
        <v>1440111</v>
      </c>
      <c r="K70" s="211"/>
      <c r="L70" s="211"/>
      <c r="M70" s="109">
        <f t="shared" ref="M70:M89" si="41">J70+K70-L70</f>
        <v>1440111</v>
      </c>
      <c r="N70" s="211"/>
      <c r="O70" s="211"/>
      <c r="P70" s="109">
        <f t="shared" ref="P70:P89" si="42">M70+N70-O70</f>
        <v>1440111</v>
      </c>
      <c r="Q70" s="211"/>
      <c r="R70" s="211"/>
      <c r="S70" s="109">
        <f t="shared" ref="S70:S89" si="43">P70+Q70-R70</f>
        <v>1440111</v>
      </c>
      <c r="T70" s="224"/>
      <c r="U70" s="224"/>
    </row>
    <row r="71" spans="1:24" s="225" customFormat="1" ht="25.5">
      <c r="A71" s="222"/>
      <c r="B71" s="222"/>
      <c r="C71" s="222"/>
      <c r="D71" s="222"/>
      <c r="E71" s="219"/>
      <c r="F71" s="13" t="s">
        <v>695</v>
      </c>
      <c r="G71" s="211">
        <v>200000</v>
      </c>
      <c r="H71" s="211"/>
      <c r="I71" s="211"/>
      <c r="J71" s="109">
        <f t="shared" si="4"/>
        <v>200000</v>
      </c>
      <c r="K71" s="211"/>
      <c r="L71" s="211"/>
      <c r="M71" s="109">
        <f t="shared" si="41"/>
        <v>200000</v>
      </c>
      <c r="N71" s="211"/>
      <c r="O71" s="211"/>
      <c r="P71" s="109">
        <f t="shared" si="42"/>
        <v>200000</v>
      </c>
      <c r="Q71" s="211"/>
      <c r="R71" s="211"/>
      <c r="S71" s="109">
        <f t="shared" si="43"/>
        <v>200000</v>
      </c>
      <c r="T71" s="224"/>
      <c r="U71" s="224"/>
    </row>
    <row r="72" spans="1:24" s="225" customFormat="1" ht="25.5">
      <c r="A72" s="222"/>
      <c r="B72" s="222"/>
      <c r="C72" s="222"/>
      <c r="D72" s="222"/>
      <c r="E72" s="219"/>
      <c r="F72" s="243" t="s">
        <v>696</v>
      </c>
      <c r="G72" s="211">
        <v>1225766</v>
      </c>
      <c r="H72" s="211"/>
      <c r="I72" s="211"/>
      <c r="J72" s="109">
        <f t="shared" si="4"/>
        <v>1225766</v>
      </c>
      <c r="K72" s="211"/>
      <c r="L72" s="211"/>
      <c r="M72" s="109">
        <f t="shared" si="41"/>
        <v>1225766</v>
      </c>
      <c r="N72" s="211"/>
      <c r="O72" s="211"/>
      <c r="P72" s="109">
        <f t="shared" si="42"/>
        <v>1225766</v>
      </c>
      <c r="Q72" s="211"/>
      <c r="R72" s="211"/>
      <c r="S72" s="109">
        <f t="shared" si="43"/>
        <v>1225766</v>
      </c>
      <c r="T72" s="224"/>
      <c r="U72" s="224"/>
    </row>
    <row r="73" spans="1:24" s="225" customFormat="1" ht="25.5">
      <c r="A73" s="222"/>
      <c r="B73" s="222"/>
      <c r="C73" s="222"/>
      <c r="D73" s="222"/>
      <c r="E73" s="219"/>
      <c r="F73" s="13" t="s">
        <v>697</v>
      </c>
      <c r="G73" s="211">
        <v>500000</v>
      </c>
      <c r="H73" s="211"/>
      <c r="I73" s="211"/>
      <c r="J73" s="109">
        <f t="shared" si="4"/>
        <v>500000</v>
      </c>
      <c r="K73" s="211"/>
      <c r="L73" s="211"/>
      <c r="M73" s="109">
        <f t="shared" si="41"/>
        <v>500000</v>
      </c>
      <c r="N73" s="211"/>
      <c r="O73" s="211"/>
      <c r="P73" s="109">
        <f t="shared" si="42"/>
        <v>500000</v>
      </c>
      <c r="Q73" s="211"/>
      <c r="R73" s="211"/>
      <c r="S73" s="109">
        <f t="shared" si="43"/>
        <v>500000</v>
      </c>
      <c r="T73" s="224">
        <v>1567312</v>
      </c>
      <c r="U73" s="224"/>
    </row>
    <row r="74" spans="1:24" s="225" customFormat="1" ht="25.5">
      <c r="A74" s="222"/>
      <c r="B74" s="222"/>
      <c r="C74" s="222"/>
      <c r="D74" s="222"/>
      <c r="E74" s="219"/>
      <c r="F74" s="13" t="s">
        <v>698</v>
      </c>
      <c r="G74" s="211">
        <v>2267862.99798</v>
      </c>
      <c r="H74" s="211"/>
      <c r="I74" s="211"/>
      <c r="J74" s="109">
        <v>2267863</v>
      </c>
      <c r="K74" s="211"/>
      <c r="L74" s="211"/>
      <c r="M74" s="109">
        <f t="shared" si="41"/>
        <v>2267863</v>
      </c>
      <c r="N74" s="211"/>
      <c r="O74" s="211"/>
      <c r="P74" s="109">
        <f t="shared" si="42"/>
        <v>2267863</v>
      </c>
      <c r="Q74" s="211"/>
      <c r="R74" s="211"/>
      <c r="S74" s="109">
        <f t="shared" si="43"/>
        <v>2267863</v>
      </c>
      <c r="T74" s="224"/>
      <c r="U74" s="224"/>
    </row>
    <row r="75" spans="1:24" s="225" customFormat="1" ht="25.5">
      <c r="A75" s="222"/>
      <c r="B75" s="222"/>
      <c r="C75" s="222"/>
      <c r="D75" s="222"/>
      <c r="E75" s="219"/>
      <c r="F75" s="13" t="s">
        <v>699</v>
      </c>
      <c r="G75" s="211">
        <v>500000</v>
      </c>
      <c r="H75" s="211"/>
      <c r="I75" s="211"/>
      <c r="J75" s="109">
        <f t="shared" si="4"/>
        <v>500000</v>
      </c>
      <c r="K75" s="211"/>
      <c r="L75" s="211"/>
      <c r="M75" s="109">
        <f t="shared" si="41"/>
        <v>500000</v>
      </c>
      <c r="N75" s="211"/>
      <c r="O75" s="211"/>
      <c r="P75" s="109">
        <f t="shared" si="42"/>
        <v>500000</v>
      </c>
      <c r="Q75" s="211"/>
      <c r="R75" s="211"/>
      <c r="S75" s="109">
        <f t="shared" si="43"/>
        <v>500000</v>
      </c>
      <c r="T75" s="224">
        <v>1404250</v>
      </c>
      <c r="U75" s="224"/>
    </row>
    <row r="76" spans="1:24" s="225" customFormat="1" ht="51">
      <c r="A76" s="222"/>
      <c r="B76" s="222"/>
      <c r="C76" s="222"/>
      <c r="D76" s="222"/>
      <c r="E76" s="219"/>
      <c r="F76" s="13" t="s">
        <v>700</v>
      </c>
      <c r="G76" s="211"/>
      <c r="H76" s="211"/>
      <c r="I76" s="211"/>
      <c r="J76" s="109"/>
      <c r="K76" s="211"/>
      <c r="L76" s="211"/>
      <c r="M76" s="109"/>
      <c r="N76" s="211">
        <v>49726</v>
      </c>
      <c r="O76" s="211"/>
      <c r="P76" s="109">
        <f t="shared" si="42"/>
        <v>49726</v>
      </c>
      <c r="Q76" s="211"/>
      <c r="R76" s="211">
        <v>1019</v>
      </c>
      <c r="S76" s="109">
        <f t="shared" si="43"/>
        <v>48707</v>
      </c>
      <c r="T76" s="224"/>
      <c r="U76" s="224"/>
    </row>
    <row r="77" spans="1:24" s="225" customFormat="1" ht="25.5">
      <c r="A77" s="222"/>
      <c r="B77" s="222"/>
      <c r="C77" s="222"/>
      <c r="D77" s="222"/>
      <c r="E77" s="219"/>
      <c r="F77" s="13" t="s">
        <v>701</v>
      </c>
      <c r="G77" s="211"/>
      <c r="H77" s="211"/>
      <c r="I77" s="211"/>
      <c r="J77" s="109">
        <f t="shared" si="4"/>
        <v>0</v>
      </c>
      <c r="K77" s="211"/>
      <c r="L77" s="211"/>
      <c r="M77" s="109">
        <f t="shared" si="41"/>
        <v>0</v>
      </c>
      <c r="N77" s="211"/>
      <c r="O77" s="211"/>
      <c r="P77" s="109">
        <f t="shared" si="42"/>
        <v>0</v>
      </c>
      <c r="Q77" s="211"/>
      <c r="R77" s="211"/>
      <c r="S77" s="109">
        <f t="shared" si="43"/>
        <v>0</v>
      </c>
      <c r="T77" s="224">
        <v>776906</v>
      </c>
      <c r="U77" s="224"/>
    </row>
    <row r="78" spans="1:24" s="225" customFormat="1" ht="25.5">
      <c r="A78" s="222"/>
      <c r="B78" s="222"/>
      <c r="C78" s="222"/>
      <c r="D78" s="222"/>
      <c r="E78" s="219"/>
      <c r="F78" s="13" t="s">
        <v>702</v>
      </c>
      <c r="G78" s="211"/>
      <c r="H78" s="211"/>
      <c r="I78" s="211"/>
      <c r="J78" s="109">
        <f t="shared" si="4"/>
        <v>0</v>
      </c>
      <c r="K78" s="211"/>
      <c r="L78" s="211"/>
      <c r="M78" s="109">
        <f t="shared" si="41"/>
        <v>0</v>
      </c>
      <c r="N78" s="211"/>
      <c r="O78" s="211"/>
      <c r="P78" s="109">
        <f t="shared" si="42"/>
        <v>0</v>
      </c>
      <c r="Q78" s="211"/>
      <c r="R78" s="211"/>
      <c r="S78" s="109">
        <f t="shared" si="43"/>
        <v>0</v>
      </c>
      <c r="T78" s="224">
        <v>2353321</v>
      </c>
      <c r="U78" s="224"/>
    </row>
    <row r="79" spans="1:24" s="225" customFormat="1" ht="25.5">
      <c r="A79" s="222"/>
      <c r="B79" s="222"/>
      <c r="C79" s="222"/>
      <c r="D79" s="222"/>
      <c r="E79" s="219"/>
      <c r="F79" s="243" t="s">
        <v>703</v>
      </c>
      <c r="G79" s="211"/>
      <c r="H79" s="211"/>
      <c r="I79" s="211"/>
      <c r="J79" s="109">
        <f t="shared" si="4"/>
        <v>0</v>
      </c>
      <c r="K79" s="211"/>
      <c r="L79" s="211"/>
      <c r="M79" s="109">
        <f t="shared" si="41"/>
        <v>0</v>
      </c>
      <c r="N79" s="211"/>
      <c r="O79" s="211"/>
      <c r="P79" s="109">
        <f t="shared" si="42"/>
        <v>0</v>
      </c>
      <c r="Q79" s="211"/>
      <c r="R79" s="211"/>
      <c r="S79" s="109">
        <f t="shared" si="43"/>
        <v>0</v>
      </c>
      <c r="T79" s="224">
        <v>2024902</v>
      </c>
      <c r="U79" s="224"/>
    </row>
    <row r="80" spans="1:24" s="225" customFormat="1" ht="25.5">
      <c r="A80" s="222"/>
      <c r="B80" s="222"/>
      <c r="C80" s="222"/>
      <c r="D80" s="222"/>
      <c r="E80" s="219"/>
      <c r="F80" s="13" t="s">
        <v>704</v>
      </c>
      <c r="G80" s="211"/>
      <c r="H80" s="211"/>
      <c r="I80" s="211"/>
      <c r="J80" s="109">
        <f t="shared" si="4"/>
        <v>0</v>
      </c>
      <c r="K80" s="211"/>
      <c r="L80" s="211"/>
      <c r="M80" s="109">
        <f t="shared" si="41"/>
        <v>0</v>
      </c>
      <c r="N80" s="211"/>
      <c r="O80" s="211"/>
      <c r="P80" s="109">
        <f t="shared" si="42"/>
        <v>0</v>
      </c>
      <c r="Q80" s="211"/>
      <c r="R80" s="211"/>
      <c r="S80" s="109">
        <f t="shared" si="43"/>
        <v>0</v>
      </c>
      <c r="T80" s="224">
        <v>1582007</v>
      </c>
      <c r="U80" s="224"/>
    </row>
    <row r="81" spans="1:21" s="225" customFormat="1" ht="25.5">
      <c r="A81" s="222"/>
      <c r="B81" s="222"/>
      <c r="C81" s="222"/>
      <c r="D81" s="222"/>
      <c r="E81" s="219"/>
      <c r="F81" s="243" t="s">
        <v>705</v>
      </c>
      <c r="G81" s="211"/>
      <c r="H81" s="211"/>
      <c r="I81" s="211"/>
      <c r="J81" s="109">
        <f t="shared" si="4"/>
        <v>0</v>
      </c>
      <c r="K81" s="211"/>
      <c r="L81" s="211"/>
      <c r="M81" s="109">
        <f t="shared" si="41"/>
        <v>0</v>
      </c>
      <c r="N81" s="211"/>
      <c r="O81" s="211"/>
      <c r="P81" s="109">
        <f t="shared" si="42"/>
        <v>0</v>
      </c>
      <c r="Q81" s="211"/>
      <c r="R81" s="211"/>
      <c r="S81" s="109">
        <f t="shared" si="43"/>
        <v>0</v>
      </c>
      <c r="T81" s="224">
        <v>930110</v>
      </c>
      <c r="U81" s="224"/>
    </row>
    <row r="82" spans="1:21" s="225" customFormat="1" ht="25.5">
      <c r="A82" s="222"/>
      <c r="B82" s="222"/>
      <c r="C82" s="222"/>
      <c r="D82" s="222"/>
      <c r="E82" s="219"/>
      <c r="F82" s="243" t="s">
        <v>706</v>
      </c>
      <c r="G82" s="211"/>
      <c r="H82" s="211"/>
      <c r="I82" s="211"/>
      <c r="J82" s="109">
        <f t="shared" si="4"/>
        <v>0</v>
      </c>
      <c r="K82" s="211"/>
      <c r="L82" s="211"/>
      <c r="M82" s="109">
        <f t="shared" si="41"/>
        <v>0</v>
      </c>
      <c r="N82" s="211"/>
      <c r="O82" s="211"/>
      <c r="P82" s="109">
        <f t="shared" si="42"/>
        <v>0</v>
      </c>
      <c r="Q82" s="211"/>
      <c r="R82" s="211"/>
      <c r="S82" s="109">
        <f t="shared" si="43"/>
        <v>0</v>
      </c>
      <c r="T82" s="224">
        <v>1000000</v>
      </c>
      <c r="U82" s="224">
        <v>1000000</v>
      </c>
    </row>
    <row r="83" spans="1:21" s="225" customFormat="1" ht="25.5">
      <c r="A83" s="222"/>
      <c r="B83" s="222"/>
      <c r="C83" s="222"/>
      <c r="D83" s="222"/>
      <c r="E83" s="219"/>
      <c r="F83" s="13" t="s">
        <v>707</v>
      </c>
      <c r="G83" s="211"/>
      <c r="H83" s="211"/>
      <c r="I83" s="211"/>
      <c r="J83" s="109">
        <f t="shared" si="4"/>
        <v>0</v>
      </c>
      <c r="K83" s="211"/>
      <c r="L83" s="211"/>
      <c r="M83" s="109">
        <f t="shared" si="41"/>
        <v>0</v>
      </c>
      <c r="N83" s="211"/>
      <c r="O83" s="211"/>
      <c r="P83" s="109">
        <f t="shared" si="42"/>
        <v>0</v>
      </c>
      <c r="Q83" s="211"/>
      <c r="R83" s="211"/>
      <c r="S83" s="109">
        <f t="shared" si="43"/>
        <v>0</v>
      </c>
      <c r="T83" s="224">
        <v>1000000</v>
      </c>
      <c r="U83" s="224">
        <v>1000000</v>
      </c>
    </row>
    <row r="84" spans="1:21" s="225" customFormat="1">
      <c r="A84" s="222"/>
      <c r="B84" s="222"/>
      <c r="C84" s="222"/>
      <c r="D84" s="222"/>
      <c r="E84" s="219"/>
      <c r="F84" s="243" t="s">
        <v>708</v>
      </c>
      <c r="G84" s="211"/>
      <c r="H84" s="211"/>
      <c r="I84" s="211"/>
      <c r="J84" s="109">
        <f t="shared" si="4"/>
        <v>0</v>
      </c>
      <c r="K84" s="211"/>
      <c r="L84" s="211"/>
      <c r="M84" s="109">
        <f t="shared" si="41"/>
        <v>0</v>
      </c>
      <c r="N84" s="211"/>
      <c r="O84" s="211"/>
      <c r="P84" s="109">
        <f t="shared" si="42"/>
        <v>0</v>
      </c>
      <c r="Q84" s="211"/>
      <c r="R84" s="211"/>
      <c r="S84" s="109">
        <f t="shared" si="43"/>
        <v>0</v>
      </c>
      <c r="T84" s="224">
        <v>3000000</v>
      </c>
      <c r="U84" s="224">
        <v>1000000</v>
      </c>
    </row>
    <row r="85" spans="1:21" s="225" customFormat="1">
      <c r="A85" s="222"/>
      <c r="B85" s="222"/>
      <c r="C85" s="222"/>
      <c r="D85" s="222"/>
      <c r="E85" s="219"/>
      <c r="F85" s="13" t="s">
        <v>709</v>
      </c>
      <c r="G85" s="211"/>
      <c r="H85" s="211"/>
      <c r="I85" s="211"/>
      <c r="J85" s="109">
        <f t="shared" si="4"/>
        <v>0</v>
      </c>
      <c r="K85" s="211"/>
      <c r="L85" s="211"/>
      <c r="M85" s="109">
        <f t="shared" si="41"/>
        <v>0</v>
      </c>
      <c r="N85" s="211"/>
      <c r="O85" s="211"/>
      <c r="P85" s="109">
        <f t="shared" si="42"/>
        <v>0</v>
      </c>
      <c r="Q85" s="211"/>
      <c r="R85" s="211"/>
      <c r="S85" s="109">
        <f t="shared" si="43"/>
        <v>0</v>
      </c>
      <c r="T85" s="224"/>
      <c r="U85" s="224">
        <v>3000000</v>
      </c>
    </row>
    <row r="86" spans="1:21" s="225" customFormat="1" ht="25.5">
      <c r="A86" s="222"/>
      <c r="B86" s="222"/>
      <c r="C86" s="222"/>
      <c r="D86" s="222"/>
      <c r="E86" s="219"/>
      <c r="F86" s="13" t="s">
        <v>710</v>
      </c>
      <c r="G86" s="211"/>
      <c r="H86" s="211"/>
      <c r="I86" s="211"/>
      <c r="J86" s="109">
        <f t="shared" si="4"/>
        <v>0</v>
      </c>
      <c r="K86" s="211"/>
      <c r="L86" s="211"/>
      <c r="M86" s="109">
        <f t="shared" si="41"/>
        <v>0</v>
      </c>
      <c r="N86" s="211"/>
      <c r="O86" s="211"/>
      <c r="P86" s="109">
        <f t="shared" si="42"/>
        <v>0</v>
      </c>
      <c r="Q86" s="211"/>
      <c r="R86" s="211"/>
      <c r="S86" s="109">
        <f t="shared" si="43"/>
        <v>0</v>
      </c>
      <c r="T86" s="224">
        <v>1000000</v>
      </c>
      <c r="U86" s="224">
        <v>1000000</v>
      </c>
    </row>
    <row r="87" spans="1:21" s="225" customFormat="1" ht="25.5">
      <c r="A87" s="222"/>
      <c r="B87" s="222"/>
      <c r="C87" s="222"/>
      <c r="D87" s="222"/>
      <c r="E87" s="219"/>
      <c r="F87" s="13" t="s">
        <v>711</v>
      </c>
      <c r="G87" s="211"/>
      <c r="H87" s="211"/>
      <c r="I87" s="211"/>
      <c r="J87" s="109">
        <f t="shared" si="4"/>
        <v>0</v>
      </c>
      <c r="K87" s="211"/>
      <c r="L87" s="211"/>
      <c r="M87" s="109">
        <f t="shared" si="41"/>
        <v>0</v>
      </c>
      <c r="N87" s="211"/>
      <c r="O87" s="211"/>
      <c r="P87" s="109">
        <f t="shared" si="42"/>
        <v>0</v>
      </c>
      <c r="Q87" s="211"/>
      <c r="R87" s="211"/>
      <c r="S87" s="109">
        <f t="shared" si="43"/>
        <v>0</v>
      </c>
      <c r="T87" s="224">
        <v>1000000</v>
      </c>
      <c r="U87" s="224">
        <v>1000000</v>
      </c>
    </row>
    <row r="88" spans="1:21" s="225" customFormat="1">
      <c r="A88" s="222"/>
      <c r="B88" s="222"/>
      <c r="C88" s="222"/>
      <c r="D88" s="222"/>
      <c r="E88" s="219"/>
      <c r="F88" s="13" t="s">
        <v>712</v>
      </c>
      <c r="G88" s="211"/>
      <c r="H88" s="211"/>
      <c r="I88" s="211"/>
      <c r="J88" s="109">
        <f t="shared" si="4"/>
        <v>0</v>
      </c>
      <c r="K88" s="211"/>
      <c r="L88" s="211"/>
      <c r="M88" s="109">
        <f t="shared" si="41"/>
        <v>0</v>
      </c>
      <c r="N88" s="211"/>
      <c r="O88" s="211"/>
      <c r="P88" s="109">
        <f t="shared" si="42"/>
        <v>0</v>
      </c>
      <c r="Q88" s="211"/>
      <c r="R88" s="211"/>
      <c r="S88" s="109">
        <f t="shared" si="43"/>
        <v>0</v>
      </c>
      <c r="T88" s="232">
        <v>2000000</v>
      </c>
      <c r="U88" s="232">
        <v>2000000</v>
      </c>
    </row>
    <row r="89" spans="1:21" s="225" customFormat="1">
      <c r="A89" s="222"/>
      <c r="B89" s="222"/>
      <c r="C89" s="222"/>
      <c r="D89" s="222"/>
      <c r="E89" s="219"/>
      <c r="F89" s="243" t="s">
        <v>713</v>
      </c>
      <c r="G89" s="211"/>
      <c r="H89" s="211"/>
      <c r="I89" s="211"/>
      <c r="J89" s="109">
        <f t="shared" si="4"/>
        <v>0</v>
      </c>
      <c r="K89" s="211"/>
      <c r="L89" s="211"/>
      <c r="M89" s="109">
        <f t="shared" si="41"/>
        <v>0</v>
      </c>
      <c r="N89" s="211"/>
      <c r="O89" s="211"/>
      <c r="P89" s="109">
        <f t="shared" si="42"/>
        <v>0</v>
      </c>
      <c r="Q89" s="211"/>
      <c r="R89" s="211"/>
      <c r="S89" s="109">
        <f t="shared" si="43"/>
        <v>0</v>
      </c>
      <c r="T89" s="232">
        <v>2000000</v>
      </c>
      <c r="U89" s="232">
        <v>2000000</v>
      </c>
    </row>
    <row r="90" spans="1:21" s="225" customFormat="1" ht="25.5">
      <c r="A90" s="222"/>
      <c r="B90" s="222"/>
      <c r="C90" s="222"/>
      <c r="D90" s="222"/>
      <c r="E90" s="219"/>
      <c r="F90" s="243" t="s">
        <v>714</v>
      </c>
      <c r="G90" s="211"/>
      <c r="H90" s="211"/>
      <c r="I90" s="211"/>
      <c r="J90" s="109"/>
      <c r="K90" s="211"/>
      <c r="L90" s="211"/>
      <c r="M90" s="109"/>
      <c r="N90" s="211"/>
      <c r="O90" s="211"/>
      <c r="P90" s="109"/>
      <c r="Q90" s="211"/>
      <c r="R90" s="211"/>
      <c r="S90" s="109"/>
      <c r="T90" s="232">
        <v>1000000</v>
      </c>
      <c r="U90" s="232">
        <v>1000000</v>
      </c>
    </row>
    <row r="91" spans="1:21" s="225" customFormat="1" ht="25.5">
      <c r="A91" s="222"/>
      <c r="B91" s="222"/>
      <c r="C91" s="222"/>
      <c r="D91" s="222"/>
      <c r="E91" s="219"/>
      <c r="F91" s="243" t="s">
        <v>715</v>
      </c>
      <c r="G91" s="211"/>
      <c r="H91" s="211"/>
      <c r="I91" s="211"/>
      <c r="J91" s="109"/>
      <c r="K91" s="211"/>
      <c r="L91" s="211"/>
      <c r="M91" s="109"/>
      <c r="N91" s="211"/>
      <c r="O91" s="211"/>
      <c r="P91" s="109"/>
      <c r="Q91" s="211"/>
      <c r="R91" s="211"/>
      <c r="S91" s="109"/>
      <c r="T91" s="232">
        <v>1000000</v>
      </c>
      <c r="U91" s="232">
        <v>1000000</v>
      </c>
    </row>
    <row r="92" spans="1:21" s="231" customFormat="1">
      <c r="A92" s="226"/>
      <c r="B92" s="226"/>
      <c r="C92" s="226"/>
      <c r="D92" s="226"/>
      <c r="E92" s="244"/>
      <c r="F92" s="245" t="s">
        <v>676</v>
      </c>
      <c r="G92" s="217"/>
      <c r="H92" s="217"/>
      <c r="I92" s="217"/>
      <c r="J92" s="229">
        <f t="shared" ref="J92:L92" si="44">SUM(J93:J94)</f>
        <v>0</v>
      </c>
      <c r="K92" s="229">
        <f t="shared" si="44"/>
        <v>20000</v>
      </c>
      <c r="L92" s="229">
        <f t="shared" si="44"/>
        <v>0</v>
      </c>
      <c r="M92" s="229">
        <f>SUM(M93:M94)</f>
        <v>20000</v>
      </c>
      <c r="N92" s="229">
        <f t="shared" ref="N92:O92" si="45">SUM(N93:N94)</f>
        <v>0</v>
      </c>
      <c r="O92" s="229">
        <f t="shared" si="45"/>
        <v>0</v>
      </c>
      <c r="P92" s="229">
        <f>SUM(P93:P94)</f>
        <v>20000</v>
      </c>
      <c r="Q92" s="229">
        <f t="shared" ref="Q92:R92" si="46">SUM(Q93:Q94)</f>
        <v>0</v>
      </c>
      <c r="R92" s="229">
        <f t="shared" si="46"/>
        <v>0</v>
      </c>
      <c r="S92" s="229">
        <f>SUM(S93:S94)</f>
        <v>20000</v>
      </c>
      <c r="T92" s="229">
        <f t="shared" ref="T92:U92" si="47">SUM(T93)</f>
        <v>0</v>
      </c>
      <c r="U92" s="229">
        <f t="shared" si="47"/>
        <v>0</v>
      </c>
    </row>
    <row r="93" spans="1:21" s="225" customFormat="1" ht="25.5">
      <c r="A93" s="222"/>
      <c r="B93" s="222"/>
      <c r="C93" s="222"/>
      <c r="D93" s="222"/>
      <c r="E93" s="219"/>
      <c r="F93" s="243" t="s">
        <v>716</v>
      </c>
      <c r="G93" s="211"/>
      <c r="H93" s="211"/>
      <c r="I93" s="211"/>
      <c r="J93" s="109"/>
      <c r="K93" s="211">
        <v>10000</v>
      </c>
      <c r="L93" s="211"/>
      <c r="M93" s="109">
        <f t="shared" ref="M93:M94" si="48">J93+K93-L93</f>
        <v>10000</v>
      </c>
      <c r="N93" s="211"/>
      <c r="O93" s="211"/>
      <c r="P93" s="109">
        <f t="shared" ref="P93:P94" si="49">M93+N93-O93</f>
        <v>10000</v>
      </c>
      <c r="Q93" s="211"/>
      <c r="R93" s="211"/>
      <c r="S93" s="109">
        <f t="shared" ref="S93:S94" si="50">P93+Q93-R93</f>
        <v>10000</v>
      </c>
      <c r="T93" s="224"/>
      <c r="U93" s="224"/>
    </row>
    <row r="94" spans="1:21" s="225" customFormat="1" ht="39" customHeight="1">
      <c r="A94" s="222"/>
      <c r="B94" s="222"/>
      <c r="C94" s="222"/>
      <c r="D94" s="222"/>
      <c r="E94" s="219"/>
      <c r="F94" s="243" t="s">
        <v>717</v>
      </c>
      <c r="G94" s="211"/>
      <c r="H94" s="211"/>
      <c r="I94" s="211"/>
      <c r="J94" s="109"/>
      <c r="K94" s="211">
        <v>10000</v>
      </c>
      <c r="L94" s="211"/>
      <c r="M94" s="109">
        <f t="shared" si="48"/>
        <v>10000</v>
      </c>
      <c r="N94" s="211"/>
      <c r="O94" s="211"/>
      <c r="P94" s="109">
        <f t="shared" si="49"/>
        <v>10000</v>
      </c>
      <c r="Q94" s="211"/>
      <c r="R94" s="211"/>
      <c r="S94" s="109">
        <f t="shared" si="50"/>
        <v>10000</v>
      </c>
      <c r="T94" s="224"/>
      <c r="U94" s="224"/>
    </row>
    <row r="95" spans="1:21">
      <c r="A95" s="218" t="s">
        <v>9</v>
      </c>
      <c r="B95" s="218"/>
      <c r="C95" s="218"/>
      <c r="D95" s="218"/>
      <c r="E95" s="219"/>
      <c r="F95" s="220" t="s">
        <v>10</v>
      </c>
      <c r="G95" s="221">
        <f>G96</f>
        <v>629032</v>
      </c>
      <c r="H95" s="221">
        <f t="shared" ref="H95:U97" si="51">H96</f>
        <v>0</v>
      </c>
      <c r="I95" s="221">
        <f t="shared" si="51"/>
        <v>0</v>
      </c>
      <c r="J95" s="221">
        <f t="shared" si="51"/>
        <v>629032</v>
      </c>
      <c r="K95" s="221">
        <f t="shared" si="51"/>
        <v>1135318</v>
      </c>
      <c r="L95" s="221">
        <f t="shared" si="51"/>
        <v>0</v>
      </c>
      <c r="M95" s="221">
        <f t="shared" si="51"/>
        <v>1764350</v>
      </c>
      <c r="N95" s="221">
        <f t="shared" si="51"/>
        <v>4375</v>
      </c>
      <c r="O95" s="221">
        <f t="shared" si="51"/>
        <v>0</v>
      </c>
      <c r="P95" s="221">
        <f t="shared" si="51"/>
        <v>1768725</v>
      </c>
      <c r="Q95" s="221">
        <f t="shared" si="51"/>
        <v>150000</v>
      </c>
      <c r="R95" s="221">
        <f t="shared" si="51"/>
        <v>0</v>
      </c>
      <c r="S95" s="221">
        <f t="shared" si="51"/>
        <v>1898725</v>
      </c>
      <c r="T95" s="221">
        <f t="shared" si="51"/>
        <v>30057396</v>
      </c>
      <c r="U95" s="221">
        <f t="shared" si="51"/>
        <v>69743587</v>
      </c>
    </row>
    <row r="96" spans="1:21">
      <c r="A96" s="218"/>
      <c r="B96" s="218">
        <v>2</v>
      </c>
      <c r="C96" s="218"/>
      <c r="D96" s="218"/>
      <c r="E96" s="219"/>
      <c r="F96" s="220" t="s">
        <v>117</v>
      </c>
      <c r="G96" s="221">
        <f>G97</f>
        <v>629032</v>
      </c>
      <c r="H96" s="221">
        <f t="shared" si="51"/>
        <v>0</v>
      </c>
      <c r="I96" s="221">
        <f t="shared" si="51"/>
        <v>0</v>
      </c>
      <c r="J96" s="221">
        <f t="shared" si="51"/>
        <v>629032</v>
      </c>
      <c r="K96" s="221">
        <f t="shared" si="51"/>
        <v>1135318</v>
      </c>
      <c r="L96" s="221">
        <f t="shared" si="51"/>
        <v>0</v>
      </c>
      <c r="M96" s="221">
        <f t="shared" si="51"/>
        <v>1764350</v>
      </c>
      <c r="N96" s="221">
        <f t="shared" si="51"/>
        <v>4375</v>
      </c>
      <c r="O96" s="221">
        <f t="shared" si="51"/>
        <v>0</v>
      </c>
      <c r="P96" s="221">
        <f t="shared" si="51"/>
        <v>1768725</v>
      </c>
      <c r="Q96" s="221">
        <f t="shared" si="51"/>
        <v>150000</v>
      </c>
      <c r="R96" s="221">
        <f t="shared" si="51"/>
        <v>0</v>
      </c>
      <c r="S96" s="221">
        <f t="shared" si="51"/>
        <v>1898725</v>
      </c>
      <c r="T96" s="221">
        <f t="shared" si="51"/>
        <v>30057396</v>
      </c>
      <c r="U96" s="221">
        <f t="shared" si="51"/>
        <v>69743587</v>
      </c>
    </row>
    <row r="97" spans="1:24">
      <c r="A97" s="218"/>
      <c r="B97" s="218"/>
      <c r="C97" s="218">
        <v>373</v>
      </c>
      <c r="D97" s="218"/>
      <c r="E97" s="219"/>
      <c r="F97" s="220" t="s">
        <v>288</v>
      </c>
      <c r="G97" s="221">
        <f>G98</f>
        <v>629032</v>
      </c>
      <c r="H97" s="221">
        <f t="shared" si="51"/>
        <v>0</v>
      </c>
      <c r="I97" s="221">
        <f t="shared" si="51"/>
        <v>0</v>
      </c>
      <c r="J97" s="221">
        <f t="shared" si="51"/>
        <v>629032</v>
      </c>
      <c r="K97" s="221">
        <f t="shared" si="51"/>
        <v>1135318</v>
      </c>
      <c r="L97" s="221">
        <f t="shared" si="51"/>
        <v>0</v>
      </c>
      <c r="M97" s="221">
        <f t="shared" si="51"/>
        <v>1764350</v>
      </c>
      <c r="N97" s="221">
        <f t="shared" si="51"/>
        <v>4375</v>
      </c>
      <c r="O97" s="221">
        <f t="shared" si="51"/>
        <v>0</v>
      </c>
      <c r="P97" s="221">
        <f t="shared" si="51"/>
        <v>1768725</v>
      </c>
      <c r="Q97" s="221">
        <f t="shared" si="51"/>
        <v>150000</v>
      </c>
      <c r="R97" s="221">
        <f t="shared" si="51"/>
        <v>0</v>
      </c>
      <c r="S97" s="221">
        <f t="shared" si="51"/>
        <v>1898725</v>
      </c>
      <c r="T97" s="221">
        <f t="shared" si="51"/>
        <v>30057396</v>
      </c>
      <c r="U97" s="221">
        <f t="shared" si="51"/>
        <v>69743587</v>
      </c>
    </row>
    <row r="98" spans="1:24">
      <c r="A98" s="218"/>
      <c r="B98" s="218"/>
      <c r="C98" s="218"/>
      <c r="D98" s="218" t="s">
        <v>286</v>
      </c>
      <c r="E98" s="219"/>
      <c r="F98" s="220" t="s">
        <v>409</v>
      </c>
      <c r="G98" s="221">
        <f t="shared" ref="G98:U98" si="52">G99</f>
        <v>629032</v>
      </c>
      <c r="H98" s="221">
        <f t="shared" si="52"/>
        <v>0</v>
      </c>
      <c r="I98" s="221">
        <f t="shared" si="52"/>
        <v>0</v>
      </c>
      <c r="J98" s="221">
        <f t="shared" si="52"/>
        <v>629032</v>
      </c>
      <c r="K98" s="221">
        <f t="shared" si="52"/>
        <v>1135318</v>
      </c>
      <c r="L98" s="221">
        <f t="shared" si="52"/>
        <v>0</v>
      </c>
      <c r="M98" s="221">
        <f t="shared" si="52"/>
        <v>1764350</v>
      </c>
      <c r="N98" s="221">
        <f t="shared" si="52"/>
        <v>4375</v>
      </c>
      <c r="O98" s="221">
        <f t="shared" si="52"/>
        <v>0</v>
      </c>
      <c r="P98" s="221">
        <f t="shared" si="52"/>
        <v>1768725</v>
      </c>
      <c r="Q98" s="221">
        <f t="shared" si="52"/>
        <v>150000</v>
      </c>
      <c r="R98" s="221">
        <f t="shared" si="52"/>
        <v>0</v>
      </c>
      <c r="S98" s="221">
        <f t="shared" si="52"/>
        <v>1898725</v>
      </c>
      <c r="T98" s="221">
        <f t="shared" si="52"/>
        <v>30057396</v>
      </c>
      <c r="U98" s="221">
        <f t="shared" si="52"/>
        <v>69743587</v>
      </c>
    </row>
    <row r="99" spans="1:24">
      <c r="A99" s="218"/>
      <c r="B99" s="218"/>
      <c r="C99" s="218"/>
      <c r="D99" s="218"/>
      <c r="E99" s="219" t="s">
        <v>113</v>
      </c>
      <c r="F99" s="220" t="s">
        <v>8</v>
      </c>
      <c r="G99" s="221">
        <f t="shared" ref="G99:U99" si="53">SUM(G100:G111)+G112</f>
        <v>629032</v>
      </c>
      <c r="H99" s="221">
        <f t="shared" si="53"/>
        <v>0</v>
      </c>
      <c r="I99" s="221">
        <f t="shared" si="53"/>
        <v>0</v>
      </c>
      <c r="J99" s="221">
        <f t="shared" si="53"/>
        <v>629032</v>
      </c>
      <c r="K99" s="221">
        <f t="shared" si="53"/>
        <v>1135318</v>
      </c>
      <c r="L99" s="221">
        <f t="shared" si="53"/>
        <v>0</v>
      </c>
      <c r="M99" s="221">
        <f t="shared" si="53"/>
        <v>1764350</v>
      </c>
      <c r="N99" s="221">
        <f t="shared" si="53"/>
        <v>4375</v>
      </c>
      <c r="O99" s="221">
        <f t="shared" si="53"/>
        <v>0</v>
      </c>
      <c r="P99" s="221">
        <f t="shared" si="53"/>
        <v>1768725</v>
      </c>
      <c r="Q99" s="221">
        <f t="shared" si="53"/>
        <v>150000</v>
      </c>
      <c r="R99" s="221">
        <f t="shared" si="53"/>
        <v>0</v>
      </c>
      <c r="S99" s="221">
        <f t="shared" si="53"/>
        <v>1898725</v>
      </c>
      <c r="T99" s="221">
        <f t="shared" si="53"/>
        <v>30057396</v>
      </c>
      <c r="U99" s="221">
        <f t="shared" si="53"/>
        <v>69743587</v>
      </c>
      <c r="V99" s="193"/>
      <c r="W99" s="193"/>
      <c r="X99" s="193"/>
    </row>
    <row r="100" spans="1:24" ht="25.5">
      <c r="A100" s="218"/>
      <c r="B100" s="218"/>
      <c r="C100" s="218"/>
      <c r="D100" s="218"/>
      <c r="E100" s="219"/>
      <c r="F100" s="215" t="s">
        <v>718</v>
      </c>
      <c r="G100" s="211">
        <v>500000</v>
      </c>
      <c r="H100" s="211"/>
      <c r="I100" s="211"/>
      <c r="J100" s="109">
        <f t="shared" si="4"/>
        <v>500000</v>
      </c>
      <c r="K100" s="211">
        <v>221509</v>
      </c>
      <c r="L100" s="211"/>
      <c r="M100" s="109">
        <f t="shared" ref="M100:M111" si="54">J100+K100-L100</f>
        <v>721509</v>
      </c>
      <c r="N100" s="211"/>
      <c r="O100" s="211"/>
      <c r="P100" s="109">
        <f t="shared" ref="P100:P111" si="55">M100+N100-O100</f>
        <v>721509</v>
      </c>
      <c r="Q100" s="211"/>
      <c r="R100" s="211"/>
      <c r="S100" s="109">
        <f t="shared" ref="S100:S111" si="56">P100+Q100-R100</f>
        <v>721509</v>
      </c>
      <c r="T100" s="221">
        <v>237112</v>
      </c>
      <c r="U100" s="221"/>
    </row>
    <row r="101" spans="1:24" ht="23.25" customHeight="1">
      <c r="A101" s="218"/>
      <c r="B101" s="218"/>
      <c r="C101" s="218"/>
      <c r="D101" s="218"/>
      <c r="E101" s="219"/>
      <c r="F101" s="215" t="s">
        <v>719</v>
      </c>
      <c r="G101" s="211">
        <v>100000</v>
      </c>
      <c r="H101" s="211"/>
      <c r="I101" s="211"/>
      <c r="J101" s="109">
        <f t="shared" si="4"/>
        <v>100000</v>
      </c>
      <c r="K101" s="211">
        <v>900000</v>
      </c>
      <c r="L101" s="211"/>
      <c r="M101" s="109">
        <f t="shared" si="54"/>
        <v>1000000</v>
      </c>
      <c r="N101" s="211"/>
      <c r="O101" s="211"/>
      <c r="P101" s="109">
        <f t="shared" si="55"/>
        <v>1000000</v>
      </c>
      <c r="Q101" s="211"/>
      <c r="R101" s="211"/>
      <c r="S101" s="109">
        <f t="shared" si="56"/>
        <v>1000000</v>
      </c>
      <c r="T101" s="221">
        <v>7300000</v>
      </c>
      <c r="U101" s="221">
        <v>41529090</v>
      </c>
    </row>
    <row r="102" spans="1:24" ht="25.5">
      <c r="A102" s="218"/>
      <c r="B102" s="218"/>
      <c r="C102" s="218"/>
      <c r="D102" s="218"/>
      <c r="E102" s="219"/>
      <c r="F102" s="246" t="s">
        <v>720</v>
      </c>
      <c r="G102" s="211"/>
      <c r="H102" s="211"/>
      <c r="I102" s="211"/>
      <c r="J102" s="109"/>
      <c r="K102" s="211"/>
      <c r="L102" s="211"/>
      <c r="M102" s="109"/>
      <c r="N102" s="211"/>
      <c r="O102" s="211"/>
      <c r="P102" s="109"/>
      <c r="Q102" s="211">
        <v>50000</v>
      </c>
      <c r="R102" s="211"/>
      <c r="S102" s="109">
        <f t="shared" si="56"/>
        <v>50000</v>
      </c>
      <c r="T102" s="221"/>
      <c r="U102" s="221"/>
    </row>
    <row r="103" spans="1:24" ht="25.5">
      <c r="A103" s="218"/>
      <c r="B103" s="218"/>
      <c r="C103" s="218"/>
      <c r="D103" s="218"/>
      <c r="E103" s="219"/>
      <c r="F103" s="246" t="s">
        <v>721</v>
      </c>
      <c r="G103" s="211"/>
      <c r="H103" s="211"/>
      <c r="I103" s="211"/>
      <c r="J103" s="109"/>
      <c r="K103" s="211"/>
      <c r="L103" s="211"/>
      <c r="M103" s="109"/>
      <c r="N103" s="211"/>
      <c r="O103" s="211"/>
      <c r="P103" s="109"/>
      <c r="Q103" s="211">
        <v>50000</v>
      </c>
      <c r="R103" s="211"/>
      <c r="S103" s="109">
        <f t="shared" si="56"/>
        <v>50000</v>
      </c>
      <c r="T103" s="221"/>
      <c r="U103" s="221"/>
    </row>
    <row r="104" spans="1:24">
      <c r="A104" s="218"/>
      <c r="B104" s="218"/>
      <c r="C104" s="218"/>
      <c r="D104" s="218"/>
      <c r="E104" s="219"/>
      <c r="F104" s="215" t="s">
        <v>722</v>
      </c>
      <c r="G104" s="211"/>
      <c r="H104" s="211"/>
      <c r="I104" s="211"/>
      <c r="J104" s="109">
        <f t="shared" si="4"/>
        <v>0</v>
      </c>
      <c r="K104" s="211"/>
      <c r="L104" s="211"/>
      <c r="M104" s="109">
        <f t="shared" si="54"/>
        <v>0</v>
      </c>
      <c r="N104" s="211"/>
      <c r="O104" s="211"/>
      <c r="P104" s="109">
        <f t="shared" si="55"/>
        <v>0</v>
      </c>
      <c r="Q104" s="211"/>
      <c r="R104" s="211"/>
      <c r="S104" s="109">
        <f t="shared" si="56"/>
        <v>0</v>
      </c>
      <c r="T104" s="221">
        <v>4986191</v>
      </c>
      <c r="U104" s="221">
        <v>4000000</v>
      </c>
    </row>
    <row r="105" spans="1:24">
      <c r="A105" s="218"/>
      <c r="B105" s="218"/>
      <c r="C105" s="218"/>
      <c r="D105" s="218"/>
      <c r="E105" s="219"/>
      <c r="F105" s="215" t="s">
        <v>723</v>
      </c>
      <c r="G105" s="211"/>
      <c r="H105" s="211"/>
      <c r="I105" s="211"/>
      <c r="J105" s="109">
        <f t="shared" si="4"/>
        <v>0</v>
      </c>
      <c r="K105" s="211"/>
      <c r="L105" s="211"/>
      <c r="M105" s="109">
        <f t="shared" si="54"/>
        <v>0</v>
      </c>
      <c r="N105" s="211"/>
      <c r="O105" s="211"/>
      <c r="P105" s="109">
        <f t="shared" si="55"/>
        <v>0</v>
      </c>
      <c r="Q105" s="211"/>
      <c r="R105" s="211"/>
      <c r="S105" s="109">
        <f t="shared" si="56"/>
        <v>0</v>
      </c>
      <c r="T105" s="221">
        <v>2000000</v>
      </c>
      <c r="U105" s="221">
        <v>4500000</v>
      </c>
    </row>
    <row r="106" spans="1:24" ht="25.5">
      <c r="A106" s="218"/>
      <c r="B106" s="218"/>
      <c r="C106" s="218"/>
      <c r="D106" s="218"/>
      <c r="E106" s="219"/>
      <c r="F106" s="215" t="s">
        <v>724</v>
      </c>
      <c r="G106" s="211"/>
      <c r="H106" s="211"/>
      <c r="I106" s="211"/>
      <c r="J106" s="109">
        <f t="shared" si="4"/>
        <v>0</v>
      </c>
      <c r="K106" s="211"/>
      <c r="L106" s="211"/>
      <c r="M106" s="109">
        <f t="shared" si="54"/>
        <v>0</v>
      </c>
      <c r="N106" s="211"/>
      <c r="O106" s="211"/>
      <c r="P106" s="109">
        <f t="shared" si="55"/>
        <v>0</v>
      </c>
      <c r="Q106" s="211"/>
      <c r="R106" s="211"/>
      <c r="S106" s="109">
        <f t="shared" si="56"/>
        <v>0</v>
      </c>
      <c r="T106" s="221">
        <v>1000000</v>
      </c>
      <c r="U106" s="221">
        <v>1000000</v>
      </c>
    </row>
    <row r="107" spans="1:24" ht="23.25" customHeight="1">
      <c r="A107" s="218"/>
      <c r="B107" s="218"/>
      <c r="C107" s="218"/>
      <c r="D107" s="218"/>
      <c r="E107" s="219"/>
      <c r="F107" s="215" t="s">
        <v>725</v>
      </c>
      <c r="G107" s="211"/>
      <c r="H107" s="211"/>
      <c r="I107" s="211"/>
      <c r="J107" s="109">
        <f t="shared" si="4"/>
        <v>0</v>
      </c>
      <c r="K107" s="211"/>
      <c r="L107" s="211"/>
      <c r="M107" s="109">
        <f t="shared" si="54"/>
        <v>0</v>
      </c>
      <c r="N107" s="211"/>
      <c r="O107" s="211"/>
      <c r="P107" s="109">
        <f t="shared" si="55"/>
        <v>0</v>
      </c>
      <c r="Q107" s="211"/>
      <c r="R107" s="211"/>
      <c r="S107" s="109">
        <f t="shared" si="56"/>
        <v>0</v>
      </c>
      <c r="T107" s="221">
        <v>1000000</v>
      </c>
      <c r="U107" s="221">
        <v>6714497</v>
      </c>
    </row>
    <row r="108" spans="1:24" ht="13.5" customHeight="1">
      <c r="A108" s="218"/>
      <c r="B108" s="218"/>
      <c r="C108" s="218"/>
      <c r="D108" s="218"/>
      <c r="E108" s="219"/>
      <c r="F108" s="215" t="s">
        <v>726</v>
      </c>
      <c r="G108" s="211"/>
      <c r="H108" s="211"/>
      <c r="I108" s="211"/>
      <c r="J108" s="109">
        <f t="shared" si="4"/>
        <v>0</v>
      </c>
      <c r="K108" s="211"/>
      <c r="L108" s="211"/>
      <c r="M108" s="109">
        <f t="shared" si="54"/>
        <v>0</v>
      </c>
      <c r="N108" s="211"/>
      <c r="O108" s="211"/>
      <c r="P108" s="109">
        <f t="shared" si="55"/>
        <v>0</v>
      </c>
      <c r="Q108" s="211"/>
      <c r="R108" s="211"/>
      <c r="S108" s="109">
        <f t="shared" si="56"/>
        <v>0</v>
      </c>
      <c r="T108" s="221">
        <v>4000000</v>
      </c>
      <c r="U108" s="221">
        <v>3000000</v>
      </c>
    </row>
    <row r="109" spans="1:24" ht="25.5">
      <c r="A109" s="218"/>
      <c r="B109" s="218"/>
      <c r="C109" s="218"/>
      <c r="D109" s="218"/>
      <c r="E109" s="219"/>
      <c r="F109" s="247" t="s">
        <v>730</v>
      </c>
      <c r="G109" s="211"/>
      <c r="H109" s="211"/>
      <c r="I109" s="211"/>
      <c r="J109" s="109"/>
      <c r="K109" s="211"/>
      <c r="L109" s="211"/>
      <c r="M109" s="109"/>
      <c r="N109" s="211"/>
      <c r="O109" s="211"/>
      <c r="P109" s="109"/>
      <c r="Q109" s="211">
        <v>10000</v>
      </c>
      <c r="R109" s="211"/>
      <c r="S109" s="109"/>
      <c r="T109" s="221">
        <v>500000</v>
      </c>
      <c r="U109" s="221">
        <v>500000</v>
      </c>
    </row>
    <row r="110" spans="1:24" ht="25.5">
      <c r="A110" s="218"/>
      <c r="B110" s="218"/>
      <c r="C110" s="218"/>
      <c r="D110" s="218"/>
      <c r="E110" s="219"/>
      <c r="F110" s="247" t="s">
        <v>731</v>
      </c>
      <c r="G110" s="211"/>
      <c r="H110" s="211"/>
      <c r="I110" s="211"/>
      <c r="J110" s="109"/>
      <c r="K110" s="211"/>
      <c r="L110" s="211"/>
      <c r="M110" s="109"/>
      <c r="N110" s="211"/>
      <c r="O110" s="211"/>
      <c r="P110" s="109"/>
      <c r="Q110" s="211">
        <v>10000</v>
      </c>
      <c r="R110" s="211"/>
      <c r="S110" s="109"/>
      <c r="T110" s="221">
        <v>500000</v>
      </c>
      <c r="U110" s="221">
        <v>500000</v>
      </c>
    </row>
    <row r="111" spans="1:24" ht="25.5">
      <c r="A111" s="218"/>
      <c r="B111" s="218"/>
      <c r="C111" s="218"/>
      <c r="D111" s="218"/>
      <c r="E111" s="219"/>
      <c r="F111" s="215" t="s">
        <v>727</v>
      </c>
      <c r="G111" s="211"/>
      <c r="H111" s="211"/>
      <c r="I111" s="211"/>
      <c r="J111" s="109">
        <f t="shared" si="4"/>
        <v>0</v>
      </c>
      <c r="K111" s="211"/>
      <c r="L111" s="211"/>
      <c r="M111" s="109">
        <f t="shared" si="54"/>
        <v>0</v>
      </c>
      <c r="N111" s="211"/>
      <c r="O111" s="211"/>
      <c r="P111" s="109">
        <f t="shared" si="55"/>
        <v>0</v>
      </c>
      <c r="Q111" s="211"/>
      <c r="R111" s="211"/>
      <c r="S111" s="109">
        <f t="shared" si="56"/>
        <v>0</v>
      </c>
      <c r="T111" s="221">
        <v>8506475</v>
      </c>
      <c r="U111" s="221">
        <v>8000000</v>
      </c>
    </row>
    <row r="112" spans="1:24">
      <c r="A112" s="218"/>
      <c r="B112" s="218"/>
      <c r="C112" s="218"/>
      <c r="D112" s="218"/>
      <c r="E112" s="219"/>
      <c r="F112" s="216" t="s">
        <v>676</v>
      </c>
      <c r="G112" s="217">
        <f>SUM(G113:G114)</f>
        <v>29032</v>
      </c>
      <c r="H112" s="217">
        <f t="shared" ref="H112:M112" si="57">SUM(H113:H114)</f>
        <v>0</v>
      </c>
      <c r="I112" s="217">
        <f t="shared" si="57"/>
        <v>0</v>
      </c>
      <c r="J112" s="217">
        <f t="shared" si="57"/>
        <v>29032</v>
      </c>
      <c r="K112" s="217">
        <f t="shared" si="57"/>
        <v>13809</v>
      </c>
      <c r="L112" s="217">
        <f t="shared" si="57"/>
        <v>0</v>
      </c>
      <c r="M112" s="217">
        <f t="shared" si="57"/>
        <v>42841</v>
      </c>
      <c r="N112" s="217">
        <f t="shared" ref="N112:O112" si="58">SUM(N113:N118)</f>
        <v>4375</v>
      </c>
      <c r="O112" s="217">
        <f t="shared" si="58"/>
        <v>0</v>
      </c>
      <c r="P112" s="217">
        <f>SUM(P113:P118)</f>
        <v>47216</v>
      </c>
      <c r="Q112" s="217">
        <f t="shared" ref="Q112:R112" si="59">SUM(Q113:Q118)</f>
        <v>30000</v>
      </c>
      <c r="R112" s="217">
        <f t="shared" si="59"/>
        <v>0</v>
      </c>
      <c r="S112" s="217">
        <f>SUM(S113:S118)</f>
        <v>77216</v>
      </c>
      <c r="T112" s="217">
        <f t="shared" ref="T112:U112" si="60">SUM(T113:T118)</f>
        <v>27618</v>
      </c>
      <c r="U112" s="217">
        <f t="shared" si="60"/>
        <v>0</v>
      </c>
    </row>
    <row r="113" spans="1:24" ht="25.5">
      <c r="A113" s="218"/>
      <c r="B113" s="218"/>
      <c r="C113" s="218"/>
      <c r="D113" s="218"/>
      <c r="E113" s="219"/>
      <c r="F113" s="215" t="s">
        <v>728</v>
      </c>
      <c r="G113" s="211"/>
      <c r="H113" s="211"/>
      <c r="I113" s="211"/>
      <c r="J113" s="109">
        <f t="shared" ref="J113:J203" si="61">G113+H113-I113</f>
        <v>0</v>
      </c>
      <c r="K113" s="211">
        <v>13809</v>
      </c>
      <c r="L113" s="211"/>
      <c r="M113" s="109">
        <f t="shared" ref="M113:M114" si="62">J113+K113-L113</f>
        <v>13809</v>
      </c>
      <c r="N113" s="211"/>
      <c r="O113" s="211"/>
      <c r="P113" s="109">
        <f t="shared" ref="P113:P118" si="63">M113+N113-O113</f>
        <v>13809</v>
      </c>
      <c r="Q113" s="211"/>
      <c r="R113" s="211"/>
      <c r="S113" s="109">
        <f t="shared" ref="S113:S118" si="64">P113+Q113-R113</f>
        <v>13809</v>
      </c>
      <c r="T113" s="221">
        <v>13809</v>
      </c>
      <c r="U113" s="221"/>
    </row>
    <row r="114" spans="1:24" ht="25.5">
      <c r="A114" s="218"/>
      <c r="B114" s="218"/>
      <c r="C114" s="218"/>
      <c r="D114" s="218"/>
      <c r="E114" s="219"/>
      <c r="F114" s="247" t="s">
        <v>729</v>
      </c>
      <c r="G114" s="211">
        <v>29032</v>
      </c>
      <c r="H114" s="211"/>
      <c r="I114" s="211"/>
      <c r="J114" s="109">
        <f t="shared" si="61"/>
        <v>29032</v>
      </c>
      <c r="K114" s="211"/>
      <c r="L114" s="211"/>
      <c r="M114" s="109">
        <f t="shared" si="62"/>
        <v>29032</v>
      </c>
      <c r="N114" s="211"/>
      <c r="O114" s="211"/>
      <c r="P114" s="109">
        <f t="shared" si="63"/>
        <v>29032</v>
      </c>
      <c r="Q114" s="211"/>
      <c r="R114" s="211"/>
      <c r="S114" s="109">
        <f t="shared" si="64"/>
        <v>29032</v>
      </c>
      <c r="T114" s="221">
        <v>13809</v>
      </c>
      <c r="U114" s="221"/>
    </row>
    <row r="115" spans="1:24" ht="25.5">
      <c r="A115" s="218"/>
      <c r="B115" s="218"/>
      <c r="C115" s="218"/>
      <c r="D115" s="218"/>
      <c r="E115" s="219"/>
      <c r="F115" s="247" t="s">
        <v>946</v>
      </c>
      <c r="G115" s="211"/>
      <c r="H115" s="211"/>
      <c r="I115" s="211"/>
      <c r="J115" s="109"/>
      <c r="K115" s="211"/>
      <c r="L115" s="211"/>
      <c r="M115" s="109"/>
      <c r="N115" s="211"/>
      <c r="O115" s="211"/>
      <c r="P115" s="109"/>
      <c r="Q115" s="211">
        <v>10000</v>
      </c>
      <c r="R115" s="211"/>
      <c r="S115" s="109">
        <f t="shared" si="64"/>
        <v>10000</v>
      </c>
      <c r="T115" s="221"/>
      <c r="U115" s="221"/>
    </row>
    <row r="116" spans="1:24" ht="25.5">
      <c r="A116" s="218"/>
      <c r="B116" s="218"/>
      <c r="C116" s="218"/>
      <c r="D116" s="218"/>
      <c r="E116" s="219"/>
      <c r="F116" s="247" t="s">
        <v>947</v>
      </c>
      <c r="G116" s="211"/>
      <c r="H116" s="211"/>
      <c r="I116" s="211"/>
      <c r="J116" s="109"/>
      <c r="K116" s="211"/>
      <c r="L116" s="211"/>
      <c r="M116" s="109"/>
      <c r="N116" s="211"/>
      <c r="O116" s="211"/>
      <c r="P116" s="109"/>
      <c r="Q116" s="211">
        <v>10000</v>
      </c>
      <c r="R116" s="211"/>
      <c r="S116" s="109">
        <f t="shared" si="64"/>
        <v>10000</v>
      </c>
      <c r="T116" s="221"/>
      <c r="U116" s="221"/>
    </row>
    <row r="117" spans="1:24" ht="25.5">
      <c r="A117" s="218"/>
      <c r="B117" s="218"/>
      <c r="C117" s="218"/>
      <c r="D117" s="218"/>
      <c r="E117" s="219"/>
      <c r="F117" s="247" t="s">
        <v>948</v>
      </c>
      <c r="G117" s="211"/>
      <c r="H117" s="211"/>
      <c r="I117" s="211"/>
      <c r="J117" s="109"/>
      <c r="K117" s="211"/>
      <c r="L117" s="211"/>
      <c r="M117" s="109"/>
      <c r="N117" s="211"/>
      <c r="O117" s="211"/>
      <c r="P117" s="109"/>
      <c r="Q117" s="211">
        <v>10000</v>
      </c>
      <c r="R117" s="211"/>
      <c r="S117" s="109">
        <f t="shared" si="64"/>
        <v>10000</v>
      </c>
      <c r="T117" s="221"/>
      <c r="U117" s="221"/>
    </row>
    <row r="118" spans="1:24">
      <c r="A118" s="218"/>
      <c r="B118" s="218"/>
      <c r="C118" s="218"/>
      <c r="D118" s="218"/>
      <c r="E118" s="219"/>
      <c r="F118" s="248" t="s">
        <v>679</v>
      </c>
      <c r="G118" s="211"/>
      <c r="H118" s="211"/>
      <c r="I118" s="211"/>
      <c r="J118" s="109"/>
      <c r="K118" s="211"/>
      <c r="L118" s="211"/>
      <c r="M118" s="109"/>
      <c r="N118" s="233">
        <v>4375</v>
      </c>
      <c r="O118" s="211"/>
      <c r="P118" s="109">
        <f t="shared" si="63"/>
        <v>4375</v>
      </c>
      <c r="Q118" s="233"/>
      <c r="R118" s="211"/>
      <c r="S118" s="109">
        <f t="shared" si="64"/>
        <v>4375</v>
      </c>
      <c r="T118" s="221"/>
      <c r="U118" s="221"/>
    </row>
    <row r="119" spans="1:24">
      <c r="A119" s="219" t="s">
        <v>5</v>
      </c>
      <c r="B119" s="218"/>
      <c r="C119" s="218"/>
      <c r="D119" s="218"/>
      <c r="E119" s="219"/>
      <c r="F119" s="220" t="s">
        <v>6</v>
      </c>
      <c r="G119" s="221">
        <f t="shared" ref="G119:U121" si="65">G120</f>
        <v>4789759</v>
      </c>
      <c r="H119" s="221">
        <f t="shared" si="65"/>
        <v>0</v>
      </c>
      <c r="I119" s="221">
        <f t="shared" si="65"/>
        <v>0</v>
      </c>
      <c r="J119" s="221">
        <f t="shared" si="65"/>
        <v>4789759</v>
      </c>
      <c r="K119" s="221">
        <f t="shared" si="65"/>
        <v>10000</v>
      </c>
      <c r="L119" s="221">
        <f t="shared" si="65"/>
        <v>0</v>
      </c>
      <c r="M119" s="221">
        <f t="shared" si="65"/>
        <v>4799759</v>
      </c>
      <c r="N119" s="221">
        <f t="shared" si="65"/>
        <v>0</v>
      </c>
      <c r="O119" s="221">
        <f t="shared" si="65"/>
        <v>0</v>
      </c>
      <c r="P119" s="221">
        <f t="shared" si="65"/>
        <v>4799759</v>
      </c>
      <c r="Q119" s="221">
        <f t="shared" si="65"/>
        <v>0</v>
      </c>
      <c r="R119" s="221">
        <f t="shared" si="65"/>
        <v>0</v>
      </c>
      <c r="S119" s="221">
        <f t="shared" si="65"/>
        <v>4799759</v>
      </c>
      <c r="T119" s="221">
        <f>T120</f>
        <v>4184384</v>
      </c>
      <c r="U119" s="221">
        <f t="shared" si="65"/>
        <v>4961593</v>
      </c>
    </row>
    <row r="120" spans="1:24">
      <c r="A120" s="218"/>
      <c r="B120" s="218">
        <v>1</v>
      </c>
      <c r="C120" s="218"/>
      <c r="D120" s="218"/>
      <c r="E120" s="219"/>
      <c r="F120" s="220" t="s">
        <v>7</v>
      </c>
      <c r="G120" s="221">
        <f t="shared" si="65"/>
        <v>4789759</v>
      </c>
      <c r="H120" s="221">
        <f t="shared" si="65"/>
        <v>0</v>
      </c>
      <c r="I120" s="221">
        <f t="shared" si="65"/>
        <v>0</v>
      </c>
      <c r="J120" s="221">
        <f t="shared" si="65"/>
        <v>4789759</v>
      </c>
      <c r="K120" s="221">
        <f t="shared" si="65"/>
        <v>10000</v>
      </c>
      <c r="L120" s="221">
        <f t="shared" si="65"/>
        <v>0</v>
      </c>
      <c r="M120" s="221">
        <f t="shared" si="65"/>
        <v>4799759</v>
      </c>
      <c r="N120" s="221">
        <f t="shared" si="65"/>
        <v>0</v>
      </c>
      <c r="O120" s="221">
        <f t="shared" si="65"/>
        <v>0</v>
      </c>
      <c r="P120" s="221">
        <f t="shared" si="65"/>
        <v>4799759</v>
      </c>
      <c r="Q120" s="221">
        <f t="shared" si="65"/>
        <v>0</v>
      </c>
      <c r="R120" s="221">
        <f t="shared" si="65"/>
        <v>0</v>
      </c>
      <c r="S120" s="221">
        <f t="shared" si="65"/>
        <v>4799759</v>
      </c>
      <c r="T120" s="221">
        <f>T121</f>
        <v>4184384</v>
      </c>
      <c r="U120" s="221">
        <f t="shared" si="65"/>
        <v>4961593</v>
      </c>
    </row>
    <row r="121" spans="1:24">
      <c r="A121" s="218"/>
      <c r="B121" s="218"/>
      <c r="C121" s="218">
        <v>373</v>
      </c>
      <c r="D121" s="218"/>
      <c r="E121" s="219"/>
      <c r="F121" s="220" t="s">
        <v>288</v>
      </c>
      <c r="G121" s="221">
        <f t="shared" si="65"/>
        <v>4789759</v>
      </c>
      <c r="H121" s="221">
        <f t="shared" si="65"/>
        <v>0</v>
      </c>
      <c r="I121" s="221">
        <f t="shared" si="65"/>
        <v>0</v>
      </c>
      <c r="J121" s="221">
        <f t="shared" si="65"/>
        <v>4789759</v>
      </c>
      <c r="K121" s="221">
        <f t="shared" si="65"/>
        <v>10000</v>
      </c>
      <c r="L121" s="221">
        <f t="shared" si="65"/>
        <v>0</v>
      </c>
      <c r="M121" s="221">
        <f t="shared" si="65"/>
        <v>4799759</v>
      </c>
      <c r="N121" s="221">
        <f t="shared" si="65"/>
        <v>0</v>
      </c>
      <c r="O121" s="221">
        <f t="shared" si="65"/>
        <v>0</v>
      </c>
      <c r="P121" s="221">
        <f t="shared" si="65"/>
        <v>4799759</v>
      </c>
      <c r="Q121" s="221">
        <f t="shared" si="65"/>
        <v>0</v>
      </c>
      <c r="R121" s="221">
        <f t="shared" si="65"/>
        <v>0</v>
      </c>
      <c r="S121" s="221">
        <f t="shared" si="65"/>
        <v>4799759</v>
      </c>
      <c r="T121" s="221">
        <f>T122</f>
        <v>4184384</v>
      </c>
      <c r="U121" s="221">
        <f t="shared" si="65"/>
        <v>4961593</v>
      </c>
    </row>
    <row r="122" spans="1:24">
      <c r="A122" s="218"/>
      <c r="B122" s="218"/>
      <c r="C122" s="218"/>
      <c r="D122" s="219" t="s">
        <v>413</v>
      </c>
      <c r="E122" s="219"/>
      <c r="F122" s="220" t="s">
        <v>412</v>
      </c>
      <c r="G122" s="221">
        <f>G125+G123</f>
        <v>4789759</v>
      </c>
      <c r="H122" s="221">
        <f t="shared" ref="H122:U122" si="66">H125+H123</f>
        <v>0</v>
      </c>
      <c r="I122" s="221">
        <f t="shared" si="66"/>
        <v>0</v>
      </c>
      <c r="J122" s="221">
        <f t="shared" si="66"/>
        <v>4789759</v>
      </c>
      <c r="K122" s="221">
        <f t="shared" si="66"/>
        <v>10000</v>
      </c>
      <c r="L122" s="221">
        <f t="shared" si="66"/>
        <v>0</v>
      </c>
      <c r="M122" s="221">
        <f t="shared" si="66"/>
        <v>4799759</v>
      </c>
      <c r="N122" s="221">
        <f t="shared" si="66"/>
        <v>0</v>
      </c>
      <c r="O122" s="221">
        <f t="shared" si="66"/>
        <v>0</v>
      </c>
      <c r="P122" s="221">
        <f t="shared" si="66"/>
        <v>4799759</v>
      </c>
      <c r="Q122" s="221">
        <f t="shared" si="66"/>
        <v>0</v>
      </c>
      <c r="R122" s="221">
        <f t="shared" si="66"/>
        <v>0</v>
      </c>
      <c r="S122" s="221">
        <f t="shared" si="66"/>
        <v>4799759</v>
      </c>
      <c r="T122" s="221">
        <f t="shared" si="66"/>
        <v>4184384</v>
      </c>
      <c r="U122" s="221">
        <f t="shared" si="66"/>
        <v>4961593</v>
      </c>
    </row>
    <row r="123" spans="1:24">
      <c r="A123" s="218"/>
      <c r="B123" s="218"/>
      <c r="C123" s="218"/>
      <c r="D123" s="218"/>
      <c r="E123" s="249" t="s">
        <v>112</v>
      </c>
      <c r="F123" s="248" t="s">
        <v>128</v>
      </c>
      <c r="G123" s="221">
        <f>G124</f>
        <v>4625000</v>
      </c>
      <c r="H123" s="221">
        <f t="shared" ref="H123:U123" si="67">H124</f>
        <v>0</v>
      </c>
      <c r="I123" s="221">
        <f t="shared" si="67"/>
        <v>0</v>
      </c>
      <c r="J123" s="221">
        <f t="shared" si="67"/>
        <v>4625000</v>
      </c>
      <c r="K123" s="221">
        <f t="shared" si="67"/>
        <v>0</v>
      </c>
      <c r="L123" s="221">
        <f t="shared" si="67"/>
        <v>0</v>
      </c>
      <c r="M123" s="221">
        <f t="shared" si="67"/>
        <v>4625000</v>
      </c>
      <c r="N123" s="221">
        <f t="shared" si="67"/>
        <v>0</v>
      </c>
      <c r="O123" s="221">
        <f t="shared" si="67"/>
        <v>0</v>
      </c>
      <c r="P123" s="221">
        <f t="shared" si="67"/>
        <v>4625000</v>
      </c>
      <c r="Q123" s="221">
        <f t="shared" si="67"/>
        <v>0</v>
      </c>
      <c r="R123" s="221">
        <f t="shared" si="67"/>
        <v>0</v>
      </c>
      <c r="S123" s="221">
        <f t="shared" si="67"/>
        <v>4625000</v>
      </c>
      <c r="T123" s="221">
        <f t="shared" si="67"/>
        <v>0</v>
      </c>
      <c r="U123" s="221">
        <f t="shared" si="67"/>
        <v>0</v>
      </c>
    </row>
    <row r="124" spans="1:24">
      <c r="A124" s="218"/>
      <c r="B124" s="218"/>
      <c r="C124" s="218"/>
      <c r="D124" s="218"/>
      <c r="E124" s="219"/>
      <c r="F124" s="215" t="s">
        <v>732</v>
      </c>
      <c r="G124" s="211">
        <v>4625000</v>
      </c>
      <c r="H124" s="211"/>
      <c r="I124" s="211"/>
      <c r="J124" s="109">
        <f t="shared" si="61"/>
        <v>4625000</v>
      </c>
      <c r="K124" s="211"/>
      <c r="L124" s="211"/>
      <c r="M124" s="109">
        <f t="shared" ref="M124" si="68">J124+K124-L124</f>
        <v>4625000</v>
      </c>
      <c r="N124" s="211"/>
      <c r="O124" s="211"/>
      <c r="P124" s="109">
        <f t="shared" ref="P124" si="69">M124+N124-O124</f>
        <v>4625000</v>
      </c>
      <c r="Q124" s="211"/>
      <c r="R124" s="211"/>
      <c r="S124" s="109">
        <f t="shared" ref="S124" si="70">P124+Q124-R124</f>
        <v>4625000</v>
      </c>
      <c r="T124" s="221"/>
      <c r="U124" s="221"/>
    </row>
    <row r="125" spans="1:24">
      <c r="A125" s="218"/>
      <c r="B125" s="218"/>
      <c r="C125" s="218"/>
      <c r="D125" s="218"/>
      <c r="E125" s="219" t="s">
        <v>113</v>
      </c>
      <c r="F125" s="220" t="s">
        <v>8</v>
      </c>
      <c r="G125" s="221">
        <f>SUM(G126:G128)</f>
        <v>164759</v>
      </c>
      <c r="H125" s="221">
        <f t="shared" ref="H125:I125" si="71">SUM(H126:H128)</f>
        <v>0</v>
      </c>
      <c r="I125" s="221">
        <f t="shared" si="71"/>
        <v>0</v>
      </c>
      <c r="J125" s="221">
        <f>SUM(J126:J130)</f>
        <v>164759</v>
      </c>
      <c r="K125" s="221">
        <f t="shared" ref="K125:T125" si="72">SUM(K126:K130)</f>
        <v>10000</v>
      </c>
      <c r="L125" s="221">
        <f t="shared" si="72"/>
        <v>0</v>
      </c>
      <c r="M125" s="221">
        <f t="shared" si="72"/>
        <v>174759</v>
      </c>
      <c r="N125" s="221">
        <f t="shared" si="72"/>
        <v>0</v>
      </c>
      <c r="O125" s="221">
        <f t="shared" si="72"/>
        <v>0</v>
      </c>
      <c r="P125" s="221">
        <f t="shared" si="72"/>
        <v>174759</v>
      </c>
      <c r="Q125" s="221">
        <f t="shared" si="72"/>
        <v>0</v>
      </c>
      <c r="R125" s="221">
        <f t="shared" si="72"/>
        <v>0</v>
      </c>
      <c r="S125" s="221">
        <f t="shared" si="72"/>
        <v>174759</v>
      </c>
      <c r="T125" s="221">
        <f t="shared" si="72"/>
        <v>4184384</v>
      </c>
      <c r="U125" s="221">
        <f>SUM(U126:U130)</f>
        <v>4961593</v>
      </c>
      <c r="V125" s="193"/>
      <c r="W125" s="193"/>
      <c r="X125" s="193"/>
    </row>
    <row r="126" spans="1:24" ht="38.25">
      <c r="A126" s="218"/>
      <c r="B126" s="218"/>
      <c r="C126" s="218"/>
      <c r="D126" s="219"/>
      <c r="E126" s="219"/>
      <c r="F126" s="247" t="s">
        <v>733</v>
      </c>
      <c r="G126" s="221">
        <v>164759</v>
      </c>
      <c r="H126" s="221"/>
      <c r="I126" s="221"/>
      <c r="J126" s="109">
        <f t="shared" si="61"/>
        <v>164759</v>
      </c>
      <c r="K126" s="221"/>
      <c r="L126" s="221"/>
      <c r="M126" s="109">
        <f t="shared" ref="M126:M128" si="73">J126+K126-L126</f>
        <v>164759</v>
      </c>
      <c r="N126" s="221"/>
      <c r="O126" s="221"/>
      <c r="P126" s="109">
        <f t="shared" ref="P126:P128" si="74">M126+N126-O126</f>
        <v>164759</v>
      </c>
      <c r="Q126" s="221"/>
      <c r="R126" s="221"/>
      <c r="S126" s="109">
        <f t="shared" ref="S126:S128" si="75">P126+Q126-R126</f>
        <v>164759</v>
      </c>
      <c r="T126" s="221"/>
      <c r="U126" s="221"/>
      <c r="V126" s="193"/>
      <c r="W126" s="193"/>
      <c r="X126" s="193"/>
    </row>
    <row r="127" spans="1:24">
      <c r="A127" s="218"/>
      <c r="B127" s="218"/>
      <c r="C127" s="218"/>
      <c r="D127" s="219"/>
      <c r="E127" s="219"/>
      <c r="F127" s="215" t="s">
        <v>732</v>
      </c>
      <c r="G127" s="221">
        <v>0</v>
      </c>
      <c r="H127" s="221"/>
      <c r="I127" s="221"/>
      <c r="J127" s="109">
        <f t="shared" si="61"/>
        <v>0</v>
      </c>
      <c r="K127" s="221"/>
      <c r="L127" s="221"/>
      <c r="M127" s="109">
        <f t="shared" si="73"/>
        <v>0</v>
      </c>
      <c r="N127" s="221"/>
      <c r="O127" s="221"/>
      <c r="P127" s="109">
        <f t="shared" si="74"/>
        <v>0</v>
      </c>
      <c r="Q127" s="221"/>
      <c r="R127" s="221"/>
      <c r="S127" s="109">
        <f t="shared" si="75"/>
        <v>0</v>
      </c>
      <c r="T127" s="221">
        <v>3634384</v>
      </c>
      <c r="U127" s="221">
        <f>4161593-U129</f>
        <v>3661593</v>
      </c>
      <c r="V127" s="193"/>
      <c r="W127" s="193"/>
      <c r="X127" s="193"/>
    </row>
    <row r="128" spans="1:24">
      <c r="A128" s="218"/>
      <c r="B128" s="218"/>
      <c r="C128" s="218"/>
      <c r="D128" s="219"/>
      <c r="E128" s="219"/>
      <c r="F128" s="220" t="s">
        <v>734</v>
      </c>
      <c r="G128" s="221"/>
      <c r="H128" s="221"/>
      <c r="I128" s="221"/>
      <c r="J128" s="109">
        <f t="shared" si="61"/>
        <v>0</v>
      </c>
      <c r="K128" s="221"/>
      <c r="L128" s="221"/>
      <c r="M128" s="109">
        <f t="shared" si="73"/>
        <v>0</v>
      </c>
      <c r="N128" s="221"/>
      <c r="O128" s="221"/>
      <c r="P128" s="109">
        <f t="shared" si="74"/>
        <v>0</v>
      </c>
      <c r="Q128" s="221"/>
      <c r="R128" s="221"/>
      <c r="S128" s="109">
        <f t="shared" si="75"/>
        <v>0</v>
      </c>
      <c r="T128" s="221">
        <v>50000</v>
      </c>
      <c r="U128" s="221">
        <v>800000</v>
      </c>
      <c r="V128" s="193"/>
      <c r="W128" s="193"/>
      <c r="X128" s="193"/>
    </row>
    <row r="129" spans="1:25" ht="25.5">
      <c r="A129" s="218"/>
      <c r="B129" s="218"/>
      <c r="C129" s="218"/>
      <c r="D129" s="219"/>
      <c r="E129" s="219"/>
      <c r="F129" s="220" t="s">
        <v>735</v>
      </c>
      <c r="G129" s="221"/>
      <c r="H129" s="221"/>
      <c r="I129" s="221"/>
      <c r="J129" s="109"/>
      <c r="K129" s="221"/>
      <c r="L129" s="221"/>
      <c r="M129" s="109"/>
      <c r="N129" s="221"/>
      <c r="O129" s="221"/>
      <c r="P129" s="109"/>
      <c r="Q129" s="221"/>
      <c r="R129" s="221"/>
      <c r="S129" s="109"/>
      <c r="T129" s="221">
        <v>500000</v>
      </c>
      <c r="U129" s="221">
        <v>500000</v>
      </c>
      <c r="V129" s="193"/>
      <c r="W129" s="193"/>
      <c r="X129" s="193"/>
    </row>
    <row r="130" spans="1:25">
      <c r="A130" s="218"/>
      <c r="B130" s="218"/>
      <c r="C130" s="218"/>
      <c r="D130" s="219"/>
      <c r="E130" s="219"/>
      <c r="F130" s="216" t="s">
        <v>676</v>
      </c>
      <c r="G130" s="221"/>
      <c r="H130" s="221"/>
      <c r="I130" s="221"/>
      <c r="J130" s="229">
        <f>J131</f>
        <v>0</v>
      </c>
      <c r="K130" s="229">
        <f t="shared" ref="K130:U130" si="76">K131</f>
        <v>10000</v>
      </c>
      <c r="L130" s="229">
        <f t="shared" si="76"/>
        <v>0</v>
      </c>
      <c r="M130" s="229">
        <f t="shared" si="76"/>
        <v>10000</v>
      </c>
      <c r="N130" s="229">
        <f t="shared" si="76"/>
        <v>0</v>
      </c>
      <c r="O130" s="229">
        <f t="shared" si="76"/>
        <v>0</v>
      </c>
      <c r="P130" s="229">
        <f t="shared" si="76"/>
        <v>10000</v>
      </c>
      <c r="Q130" s="229">
        <f t="shared" si="76"/>
        <v>0</v>
      </c>
      <c r="R130" s="229">
        <f t="shared" si="76"/>
        <v>0</v>
      </c>
      <c r="S130" s="229">
        <f t="shared" si="76"/>
        <v>10000</v>
      </c>
      <c r="T130" s="229">
        <f t="shared" si="76"/>
        <v>0</v>
      </c>
      <c r="U130" s="229">
        <f t="shared" si="76"/>
        <v>0</v>
      </c>
      <c r="V130" s="193"/>
      <c r="W130" s="193"/>
      <c r="X130" s="193"/>
    </row>
    <row r="131" spans="1:25" ht="38.25">
      <c r="A131" s="218"/>
      <c r="B131" s="218"/>
      <c r="C131" s="218"/>
      <c r="D131" s="219"/>
      <c r="E131" s="219"/>
      <c r="F131" s="220" t="s">
        <v>736</v>
      </c>
      <c r="G131" s="221"/>
      <c r="H131" s="221"/>
      <c r="I131" s="221"/>
      <c r="J131" s="109"/>
      <c r="K131" s="221">
        <v>10000</v>
      </c>
      <c r="L131" s="221"/>
      <c r="M131" s="109">
        <f t="shared" ref="M131" si="77">J131+K131-L131</f>
        <v>10000</v>
      </c>
      <c r="N131" s="221"/>
      <c r="O131" s="221"/>
      <c r="P131" s="109">
        <f t="shared" ref="P131" si="78">M131+N131-O131</f>
        <v>10000</v>
      </c>
      <c r="Q131" s="221"/>
      <c r="R131" s="221"/>
      <c r="S131" s="109">
        <f t="shared" ref="S131" si="79">P131+Q131-R131</f>
        <v>10000</v>
      </c>
      <c r="T131" s="221"/>
      <c r="U131" s="221"/>
      <c r="V131" s="193"/>
      <c r="W131" s="193"/>
      <c r="X131" s="193"/>
    </row>
    <row r="132" spans="1:25">
      <c r="A132" s="218" t="s">
        <v>70</v>
      </c>
      <c r="B132" s="218"/>
      <c r="C132" s="218"/>
      <c r="D132" s="218"/>
      <c r="E132" s="219"/>
      <c r="F132" s="220" t="s">
        <v>71</v>
      </c>
      <c r="G132" s="221">
        <f t="shared" ref="G132:U132" si="80">G133+G225</f>
        <v>5729703</v>
      </c>
      <c r="H132" s="221">
        <f t="shared" si="80"/>
        <v>0</v>
      </c>
      <c r="I132" s="221">
        <f t="shared" si="80"/>
        <v>0</v>
      </c>
      <c r="J132" s="221">
        <f t="shared" si="80"/>
        <v>5729703</v>
      </c>
      <c r="K132" s="221">
        <f t="shared" si="80"/>
        <v>20253184</v>
      </c>
      <c r="L132" s="221">
        <f t="shared" si="80"/>
        <v>1946929</v>
      </c>
      <c r="M132" s="221">
        <f t="shared" si="80"/>
        <v>24035958</v>
      </c>
      <c r="N132" s="221">
        <f t="shared" si="80"/>
        <v>0</v>
      </c>
      <c r="O132" s="221">
        <f t="shared" si="80"/>
        <v>0</v>
      </c>
      <c r="P132" s="221">
        <f t="shared" si="80"/>
        <v>24035958</v>
      </c>
      <c r="Q132" s="221">
        <f t="shared" si="80"/>
        <v>2937943</v>
      </c>
      <c r="R132" s="221">
        <f t="shared" si="80"/>
        <v>88530</v>
      </c>
      <c r="S132" s="221">
        <f t="shared" si="80"/>
        <v>26885371</v>
      </c>
      <c r="T132" s="221">
        <f t="shared" si="80"/>
        <v>74667616.041539997</v>
      </c>
      <c r="U132" s="221">
        <f t="shared" si="80"/>
        <v>96109879</v>
      </c>
      <c r="V132" s="212"/>
      <c r="W132" s="212"/>
    </row>
    <row r="133" spans="1:25">
      <c r="A133" s="218"/>
      <c r="B133" s="218">
        <v>1</v>
      </c>
      <c r="C133" s="218"/>
      <c r="D133" s="218"/>
      <c r="E133" s="219"/>
      <c r="F133" s="220" t="s">
        <v>72</v>
      </c>
      <c r="G133" s="221">
        <f t="shared" ref="G133:U133" si="81">G134+G152</f>
        <v>2192961</v>
      </c>
      <c r="H133" s="221">
        <f t="shared" si="81"/>
        <v>0</v>
      </c>
      <c r="I133" s="221">
        <f t="shared" si="81"/>
        <v>0</v>
      </c>
      <c r="J133" s="221">
        <f t="shared" si="81"/>
        <v>2192961</v>
      </c>
      <c r="K133" s="221">
        <f t="shared" si="81"/>
        <v>16468945</v>
      </c>
      <c r="L133" s="221">
        <f t="shared" si="81"/>
        <v>1946929</v>
      </c>
      <c r="M133" s="221">
        <f t="shared" si="81"/>
        <v>16714977</v>
      </c>
      <c r="N133" s="221">
        <f t="shared" si="81"/>
        <v>0</v>
      </c>
      <c r="O133" s="221">
        <f t="shared" si="81"/>
        <v>0</v>
      </c>
      <c r="P133" s="221">
        <f t="shared" si="81"/>
        <v>16714977</v>
      </c>
      <c r="Q133" s="221">
        <f t="shared" si="81"/>
        <v>222909</v>
      </c>
      <c r="R133" s="221">
        <f t="shared" si="81"/>
        <v>4546</v>
      </c>
      <c r="S133" s="221">
        <f t="shared" si="81"/>
        <v>16933340</v>
      </c>
      <c r="T133" s="221">
        <f t="shared" si="81"/>
        <v>36590190.041539997</v>
      </c>
      <c r="U133" s="221">
        <f t="shared" si="81"/>
        <v>70501434</v>
      </c>
    </row>
    <row r="134" spans="1:25" ht="25.5">
      <c r="A134" s="218"/>
      <c r="B134" s="218"/>
      <c r="C134" s="218">
        <v>309</v>
      </c>
      <c r="D134" s="218"/>
      <c r="E134" s="219"/>
      <c r="F134" s="220" t="s">
        <v>468</v>
      </c>
      <c r="G134" s="221">
        <f t="shared" ref="G134:U135" si="82">G135</f>
        <v>29806</v>
      </c>
      <c r="H134" s="221">
        <f t="shared" si="82"/>
        <v>0</v>
      </c>
      <c r="I134" s="221">
        <f t="shared" si="82"/>
        <v>0</v>
      </c>
      <c r="J134" s="221">
        <f t="shared" si="82"/>
        <v>29806</v>
      </c>
      <c r="K134" s="221">
        <f t="shared" si="82"/>
        <v>376448</v>
      </c>
      <c r="L134" s="221">
        <f t="shared" si="82"/>
        <v>0</v>
      </c>
      <c r="M134" s="221">
        <f t="shared" si="82"/>
        <v>406254</v>
      </c>
      <c r="N134" s="221">
        <f t="shared" si="82"/>
        <v>0</v>
      </c>
      <c r="O134" s="221">
        <f t="shared" si="82"/>
        <v>0</v>
      </c>
      <c r="P134" s="221">
        <f t="shared" si="82"/>
        <v>406254</v>
      </c>
      <c r="Q134" s="221">
        <f t="shared" si="82"/>
        <v>6138</v>
      </c>
      <c r="R134" s="221">
        <f t="shared" si="82"/>
        <v>0</v>
      </c>
      <c r="S134" s="221">
        <f t="shared" si="82"/>
        <v>412392</v>
      </c>
      <c r="T134" s="221">
        <f t="shared" si="82"/>
        <v>2500000</v>
      </c>
      <c r="U134" s="221">
        <f t="shared" si="82"/>
        <v>4000000</v>
      </c>
    </row>
    <row r="135" spans="1:25" s="225" customFormat="1" ht="25.5">
      <c r="A135" s="222"/>
      <c r="B135" s="222"/>
      <c r="C135" s="222"/>
      <c r="D135" s="222" t="s">
        <v>213</v>
      </c>
      <c r="E135" s="223"/>
      <c r="F135" s="1" t="s">
        <v>300</v>
      </c>
      <c r="G135" s="224">
        <f>G136</f>
        <v>29806</v>
      </c>
      <c r="H135" s="224">
        <f t="shared" si="82"/>
        <v>0</v>
      </c>
      <c r="I135" s="224">
        <f t="shared" si="82"/>
        <v>0</v>
      </c>
      <c r="J135" s="224">
        <f t="shared" si="82"/>
        <v>29806</v>
      </c>
      <c r="K135" s="224">
        <f t="shared" si="82"/>
        <v>376448</v>
      </c>
      <c r="L135" s="224">
        <f t="shared" si="82"/>
        <v>0</v>
      </c>
      <c r="M135" s="224">
        <f t="shared" si="82"/>
        <v>406254</v>
      </c>
      <c r="N135" s="224">
        <f t="shared" si="82"/>
        <v>0</v>
      </c>
      <c r="O135" s="224">
        <f t="shared" si="82"/>
        <v>0</v>
      </c>
      <c r="P135" s="224">
        <f t="shared" si="82"/>
        <v>406254</v>
      </c>
      <c r="Q135" s="224">
        <f t="shared" si="82"/>
        <v>6138</v>
      </c>
      <c r="R135" s="224">
        <f t="shared" si="82"/>
        <v>0</v>
      </c>
      <c r="S135" s="224">
        <f t="shared" si="82"/>
        <v>412392</v>
      </c>
      <c r="T135" s="224">
        <f t="shared" si="82"/>
        <v>2500000</v>
      </c>
      <c r="U135" s="224">
        <f t="shared" si="82"/>
        <v>4000000</v>
      </c>
    </row>
    <row r="136" spans="1:25" s="225" customFormat="1">
      <c r="A136" s="218"/>
      <c r="B136" s="218"/>
      <c r="C136" s="218"/>
      <c r="D136" s="218"/>
      <c r="E136" s="219" t="s">
        <v>113</v>
      </c>
      <c r="F136" s="220" t="s">
        <v>8</v>
      </c>
      <c r="G136" s="224">
        <f>SUM(G143:G149)</f>
        <v>29806</v>
      </c>
      <c r="H136" s="224">
        <f>SUM(H143:H149)</f>
        <v>0</v>
      </c>
      <c r="I136" s="224">
        <f>SUM(I143:I149)</f>
        <v>0</v>
      </c>
      <c r="J136" s="224">
        <f t="shared" ref="J136:U136" si="83">SUM(J137:J149)</f>
        <v>29806</v>
      </c>
      <c r="K136" s="224">
        <f t="shared" si="83"/>
        <v>376448</v>
      </c>
      <c r="L136" s="224">
        <f t="shared" si="83"/>
        <v>0</v>
      </c>
      <c r="M136" s="224">
        <f t="shared" si="83"/>
        <v>406254</v>
      </c>
      <c r="N136" s="224">
        <f t="shared" si="83"/>
        <v>0</v>
      </c>
      <c r="O136" s="224">
        <f t="shared" si="83"/>
        <v>0</v>
      </c>
      <c r="P136" s="224">
        <f t="shared" si="83"/>
        <v>406254</v>
      </c>
      <c r="Q136" s="224">
        <f t="shared" si="83"/>
        <v>6138</v>
      </c>
      <c r="R136" s="224">
        <f t="shared" si="83"/>
        <v>0</v>
      </c>
      <c r="S136" s="224">
        <f t="shared" si="83"/>
        <v>412392</v>
      </c>
      <c r="T136" s="224">
        <f t="shared" si="83"/>
        <v>2500000</v>
      </c>
      <c r="U136" s="224">
        <f t="shared" si="83"/>
        <v>4000000</v>
      </c>
      <c r="V136" s="242"/>
      <c r="W136" s="242"/>
      <c r="X136" s="242"/>
      <c r="Y136" s="242"/>
    </row>
    <row r="137" spans="1:25" s="225" customFormat="1" ht="25.5">
      <c r="A137" s="218"/>
      <c r="B137" s="218"/>
      <c r="C137" s="218"/>
      <c r="D137" s="218"/>
      <c r="E137" s="219"/>
      <c r="F137" s="220" t="s">
        <v>737</v>
      </c>
      <c r="G137" s="224"/>
      <c r="H137" s="224"/>
      <c r="I137" s="224"/>
      <c r="J137" s="224"/>
      <c r="K137" s="224">
        <v>58000</v>
      </c>
      <c r="L137" s="224"/>
      <c r="M137" s="109">
        <f t="shared" ref="M137:M147" si="84">J137+K137-L137</f>
        <v>58000</v>
      </c>
      <c r="N137" s="224"/>
      <c r="O137" s="224"/>
      <c r="P137" s="109">
        <f t="shared" ref="P137:P147" si="85">M137+N137-O137</f>
        <v>58000</v>
      </c>
      <c r="Q137" s="224"/>
      <c r="R137" s="224"/>
      <c r="S137" s="109">
        <f t="shared" ref="S137:S147" si="86">P137+Q137-R137</f>
        <v>58000</v>
      </c>
      <c r="T137" s="224"/>
      <c r="U137" s="224"/>
      <c r="V137" s="242"/>
      <c r="W137" s="242"/>
      <c r="X137" s="242"/>
      <c r="Y137" s="242"/>
    </row>
    <row r="138" spans="1:25" s="225" customFormat="1" ht="38.25">
      <c r="A138" s="218"/>
      <c r="B138" s="218"/>
      <c r="C138" s="218"/>
      <c r="D138" s="218"/>
      <c r="E138" s="219"/>
      <c r="F138" s="220" t="s">
        <v>738</v>
      </c>
      <c r="G138" s="224"/>
      <c r="H138" s="224"/>
      <c r="I138" s="224"/>
      <c r="J138" s="224"/>
      <c r="K138" s="224">
        <v>62022</v>
      </c>
      <c r="L138" s="224"/>
      <c r="M138" s="109">
        <f t="shared" si="84"/>
        <v>62022</v>
      </c>
      <c r="N138" s="224"/>
      <c r="O138" s="224"/>
      <c r="P138" s="109">
        <f t="shared" si="85"/>
        <v>62022</v>
      </c>
      <c r="Q138" s="224"/>
      <c r="R138" s="224"/>
      <c r="S138" s="109">
        <f t="shared" si="86"/>
        <v>62022</v>
      </c>
      <c r="T138" s="224"/>
      <c r="U138" s="224"/>
      <c r="V138" s="242"/>
      <c r="W138" s="242"/>
      <c r="X138" s="242"/>
      <c r="Y138" s="242"/>
    </row>
    <row r="139" spans="1:25" s="225" customFormat="1" ht="25.5">
      <c r="A139" s="218"/>
      <c r="B139" s="218"/>
      <c r="C139" s="218"/>
      <c r="D139" s="218"/>
      <c r="E139" s="219"/>
      <c r="F139" s="220" t="s">
        <v>739</v>
      </c>
      <c r="G139" s="224"/>
      <c r="H139" s="224"/>
      <c r="I139" s="224"/>
      <c r="J139" s="224"/>
      <c r="K139" s="224">
        <v>58000</v>
      </c>
      <c r="L139" s="224"/>
      <c r="M139" s="109">
        <f t="shared" si="84"/>
        <v>58000</v>
      </c>
      <c r="N139" s="224"/>
      <c r="O139" s="224"/>
      <c r="P139" s="109">
        <f t="shared" si="85"/>
        <v>58000</v>
      </c>
      <c r="Q139" s="224"/>
      <c r="R139" s="224"/>
      <c r="S139" s="109">
        <f t="shared" si="86"/>
        <v>58000</v>
      </c>
      <c r="T139" s="224"/>
      <c r="U139" s="224"/>
      <c r="V139" s="242"/>
      <c r="W139" s="242"/>
      <c r="X139" s="242"/>
      <c r="Y139" s="242"/>
    </row>
    <row r="140" spans="1:25" s="225" customFormat="1" ht="38.25">
      <c r="A140" s="218"/>
      <c r="B140" s="218"/>
      <c r="C140" s="218"/>
      <c r="D140" s="218"/>
      <c r="E140" s="219"/>
      <c r="F140" s="220" t="s">
        <v>740</v>
      </c>
      <c r="G140" s="224"/>
      <c r="H140" s="224"/>
      <c r="I140" s="224"/>
      <c r="J140" s="224"/>
      <c r="K140" s="224">
        <v>169529</v>
      </c>
      <c r="L140" s="224"/>
      <c r="M140" s="109">
        <f t="shared" si="84"/>
        <v>169529</v>
      </c>
      <c r="N140" s="224"/>
      <c r="O140" s="224"/>
      <c r="P140" s="109">
        <f t="shared" si="85"/>
        <v>169529</v>
      </c>
      <c r="Q140" s="224">
        <v>6138</v>
      </c>
      <c r="R140" s="224"/>
      <c r="S140" s="109">
        <f t="shared" si="86"/>
        <v>175667</v>
      </c>
      <c r="T140" s="224"/>
      <c r="U140" s="224"/>
      <c r="V140" s="242"/>
      <c r="W140" s="242"/>
      <c r="X140" s="242"/>
      <c r="Y140" s="242"/>
    </row>
    <row r="141" spans="1:25" s="225" customFormat="1" ht="38.25">
      <c r="A141" s="218"/>
      <c r="B141" s="218"/>
      <c r="C141" s="218"/>
      <c r="D141" s="218"/>
      <c r="E141" s="219"/>
      <c r="F141" s="220" t="s">
        <v>741</v>
      </c>
      <c r="G141" s="224"/>
      <c r="H141" s="224"/>
      <c r="I141" s="224"/>
      <c r="J141" s="224"/>
      <c r="K141" s="224">
        <v>12397</v>
      </c>
      <c r="L141" s="224"/>
      <c r="M141" s="109">
        <f t="shared" si="84"/>
        <v>12397</v>
      </c>
      <c r="N141" s="224"/>
      <c r="O141" s="224"/>
      <c r="P141" s="109">
        <f t="shared" si="85"/>
        <v>12397</v>
      </c>
      <c r="Q141" s="224"/>
      <c r="R141" s="224"/>
      <c r="S141" s="109">
        <f t="shared" si="86"/>
        <v>12397</v>
      </c>
      <c r="T141" s="224"/>
      <c r="U141" s="224"/>
      <c r="V141" s="242"/>
      <c r="W141" s="242"/>
      <c r="X141" s="242"/>
      <c r="Y141" s="242"/>
    </row>
    <row r="142" spans="1:25" s="225" customFormat="1" ht="25.5">
      <c r="A142" s="218"/>
      <c r="B142" s="218"/>
      <c r="C142" s="218"/>
      <c r="D142" s="218"/>
      <c r="E142" s="219"/>
      <c r="F142" s="220" t="s">
        <v>742</v>
      </c>
      <c r="G142" s="224"/>
      <c r="H142" s="224"/>
      <c r="I142" s="224"/>
      <c r="J142" s="224"/>
      <c r="K142" s="224">
        <v>16500</v>
      </c>
      <c r="L142" s="224"/>
      <c r="M142" s="109">
        <f t="shared" si="84"/>
        <v>16500</v>
      </c>
      <c r="N142" s="224"/>
      <c r="O142" s="224"/>
      <c r="P142" s="109">
        <f t="shared" si="85"/>
        <v>16500</v>
      </c>
      <c r="Q142" s="224"/>
      <c r="R142" s="224"/>
      <c r="S142" s="109">
        <f t="shared" si="86"/>
        <v>16500</v>
      </c>
      <c r="T142" s="224"/>
      <c r="U142" s="224"/>
      <c r="V142" s="242"/>
      <c r="W142" s="242"/>
      <c r="X142" s="242"/>
      <c r="Y142" s="242"/>
    </row>
    <row r="143" spans="1:25" s="225" customFormat="1" ht="25.5">
      <c r="A143" s="222"/>
      <c r="B143" s="222"/>
      <c r="C143" s="222"/>
      <c r="D143" s="222"/>
      <c r="E143" s="219"/>
      <c r="F143" s="250" t="s">
        <v>743</v>
      </c>
      <c r="G143" s="211"/>
      <c r="H143" s="211"/>
      <c r="I143" s="211"/>
      <c r="J143" s="109">
        <f t="shared" si="61"/>
        <v>0</v>
      </c>
      <c r="K143" s="211"/>
      <c r="L143" s="211"/>
      <c r="M143" s="109">
        <f t="shared" si="84"/>
        <v>0</v>
      </c>
      <c r="N143" s="211"/>
      <c r="O143" s="211"/>
      <c r="P143" s="109">
        <f t="shared" si="85"/>
        <v>0</v>
      </c>
      <c r="Q143" s="211"/>
      <c r="R143" s="211"/>
      <c r="S143" s="109">
        <f t="shared" si="86"/>
        <v>0</v>
      </c>
      <c r="T143" s="224">
        <v>500000</v>
      </c>
      <c r="U143" s="224">
        <v>1000000</v>
      </c>
      <c r="V143" s="242"/>
      <c r="W143" s="242"/>
      <c r="X143" s="242"/>
      <c r="Y143" s="242"/>
    </row>
    <row r="144" spans="1:25" s="225" customFormat="1" ht="27" customHeight="1">
      <c r="A144" s="222"/>
      <c r="B144" s="222"/>
      <c r="C144" s="222"/>
      <c r="D144" s="222"/>
      <c r="E144" s="219"/>
      <c r="F144" s="251" t="s">
        <v>744</v>
      </c>
      <c r="G144" s="211"/>
      <c r="H144" s="211"/>
      <c r="I144" s="211"/>
      <c r="J144" s="109">
        <f t="shared" si="61"/>
        <v>0</v>
      </c>
      <c r="K144" s="211"/>
      <c r="L144" s="211"/>
      <c r="M144" s="109">
        <f t="shared" si="84"/>
        <v>0</v>
      </c>
      <c r="N144" s="211"/>
      <c r="O144" s="211"/>
      <c r="P144" s="109">
        <f t="shared" si="85"/>
        <v>0</v>
      </c>
      <c r="Q144" s="211"/>
      <c r="R144" s="211"/>
      <c r="S144" s="109">
        <f t="shared" si="86"/>
        <v>0</v>
      </c>
      <c r="T144" s="224">
        <v>500000</v>
      </c>
      <c r="U144" s="224">
        <v>1000000</v>
      </c>
      <c r="V144" s="242"/>
      <c r="W144" s="242"/>
      <c r="X144" s="242"/>
      <c r="Y144" s="242"/>
    </row>
    <row r="145" spans="1:27" s="225" customFormat="1" ht="25.5">
      <c r="A145" s="222"/>
      <c r="B145" s="222"/>
      <c r="C145" s="222"/>
      <c r="D145" s="222"/>
      <c r="E145" s="223"/>
      <c r="F145" s="251" t="s">
        <v>745</v>
      </c>
      <c r="G145" s="211"/>
      <c r="H145" s="211"/>
      <c r="I145" s="211"/>
      <c r="J145" s="109">
        <f t="shared" si="61"/>
        <v>0</v>
      </c>
      <c r="K145" s="211"/>
      <c r="L145" s="211"/>
      <c r="M145" s="109">
        <f t="shared" si="84"/>
        <v>0</v>
      </c>
      <c r="N145" s="211"/>
      <c r="O145" s="211"/>
      <c r="P145" s="109">
        <f t="shared" si="85"/>
        <v>0</v>
      </c>
      <c r="Q145" s="211"/>
      <c r="R145" s="211"/>
      <c r="S145" s="109">
        <f t="shared" si="86"/>
        <v>0</v>
      </c>
      <c r="T145" s="224">
        <v>500000</v>
      </c>
      <c r="U145" s="224"/>
    </row>
    <row r="146" spans="1:27" s="225" customFormat="1" ht="26.25" customHeight="1">
      <c r="A146" s="222"/>
      <c r="B146" s="222"/>
      <c r="C146" s="222"/>
      <c r="D146" s="222"/>
      <c r="E146" s="223"/>
      <c r="F146" s="220" t="s">
        <v>746</v>
      </c>
      <c r="G146" s="211"/>
      <c r="H146" s="211"/>
      <c r="I146" s="211"/>
      <c r="J146" s="109">
        <f t="shared" si="61"/>
        <v>0</v>
      </c>
      <c r="K146" s="211"/>
      <c r="L146" s="211"/>
      <c r="M146" s="109">
        <f t="shared" si="84"/>
        <v>0</v>
      </c>
      <c r="N146" s="211"/>
      <c r="O146" s="211"/>
      <c r="P146" s="109">
        <f t="shared" si="85"/>
        <v>0</v>
      </c>
      <c r="Q146" s="211"/>
      <c r="R146" s="211"/>
      <c r="S146" s="109">
        <f t="shared" si="86"/>
        <v>0</v>
      </c>
      <c r="T146" s="224">
        <v>500000</v>
      </c>
      <c r="U146" s="224">
        <v>1000000</v>
      </c>
    </row>
    <row r="147" spans="1:27" s="225" customFormat="1" ht="26.25" customHeight="1">
      <c r="A147" s="222"/>
      <c r="B147" s="222"/>
      <c r="C147" s="222"/>
      <c r="D147" s="222"/>
      <c r="E147" s="223"/>
      <c r="F147" s="251" t="s">
        <v>747</v>
      </c>
      <c r="G147" s="211"/>
      <c r="H147" s="211"/>
      <c r="I147" s="211"/>
      <c r="J147" s="109">
        <f t="shared" si="61"/>
        <v>0</v>
      </c>
      <c r="K147" s="211"/>
      <c r="L147" s="211"/>
      <c r="M147" s="109">
        <f t="shared" si="84"/>
        <v>0</v>
      </c>
      <c r="N147" s="211"/>
      <c r="O147" s="211"/>
      <c r="P147" s="109">
        <f t="shared" si="85"/>
        <v>0</v>
      </c>
      <c r="Q147" s="211"/>
      <c r="R147" s="211"/>
      <c r="S147" s="109">
        <f t="shared" si="86"/>
        <v>0</v>
      </c>
      <c r="T147" s="224">
        <v>500000</v>
      </c>
      <c r="U147" s="224">
        <v>500000</v>
      </c>
    </row>
    <row r="148" spans="1:27" s="225" customFormat="1" ht="25.5" customHeight="1">
      <c r="A148" s="222"/>
      <c r="B148" s="222"/>
      <c r="C148" s="222"/>
      <c r="D148" s="222"/>
      <c r="E148" s="223"/>
      <c r="F148" s="250" t="s">
        <v>949</v>
      </c>
      <c r="G148" s="211"/>
      <c r="H148" s="211"/>
      <c r="I148" s="211"/>
      <c r="J148" s="109"/>
      <c r="K148" s="211"/>
      <c r="L148" s="211"/>
      <c r="M148" s="109"/>
      <c r="N148" s="211"/>
      <c r="O148" s="211"/>
      <c r="P148" s="109"/>
      <c r="Q148" s="211"/>
      <c r="R148" s="211"/>
      <c r="S148" s="109"/>
      <c r="T148" s="224"/>
      <c r="U148" s="224">
        <v>500000</v>
      </c>
    </row>
    <row r="149" spans="1:27">
      <c r="A149" s="218"/>
      <c r="B149" s="218"/>
      <c r="C149" s="218"/>
      <c r="D149" s="218"/>
      <c r="E149" s="219"/>
      <c r="F149" s="216" t="s">
        <v>676</v>
      </c>
      <c r="G149" s="217">
        <f>SUM(G150:G151)</f>
        <v>29806</v>
      </c>
      <c r="H149" s="217">
        <f t="shared" ref="H149:U149" si="87">SUM(H150:H151)</f>
        <v>0</v>
      </c>
      <c r="I149" s="217">
        <f t="shared" si="87"/>
        <v>0</v>
      </c>
      <c r="J149" s="217">
        <f t="shared" si="87"/>
        <v>29806</v>
      </c>
      <c r="K149" s="217">
        <f t="shared" si="87"/>
        <v>0</v>
      </c>
      <c r="L149" s="217">
        <f t="shared" si="87"/>
        <v>0</v>
      </c>
      <c r="M149" s="217">
        <f t="shared" si="87"/>
        <v>29806</v>
      </c>
      <c r="N149" s="217">
        <f t="shared" si="87"/>
        <v>0</v>
      </c>
      <c r="O149" s="217">
        <f t="shared" si="87"/>
        <v>0</v>
      </c>
      <c r="P149" s="217">
        <f t="shared" si="87"/>
        <v>29806</v>
      </c>
      <c r="Q149" s="217">
        <f t="shared" si="87"/>
        <v>0</v>
      </c>
      <c r="R149" s="217">
        <f t="shared" si="87"/>
        <v>0</v>
      </c>
      <c r="S149" s="217">
        <f t="shared" si="87"/>
        <v>29806</v>
      </c>
      <c r="T149" s="217">
        <f t="shared" si="87"/>
        <v>0</v>
      </c>
      <c r="U149" s="217">
        <f t="shared" si="87"/>
        <v>0</v>
      </c>
    </row>
    <row r="150" spans="1:27" ht="38.25">
      <c r="A150" s="218"/>
      <c r="B150" s="218"/>
      <c r="C150" s="218"/>
      <c r="D150" s="218"/>
      <c r="E150" s="219"/>
      <c r="F150" s="250" t="s">
        <v>748</v>
      </c>
      <c r="G150" s="211">
        <v>4956</v>
      </c>
      <c r="H150" s="211"/>
      <c r="I150" s="211"/>
      <c r="J150" s="109">
        <f t="shared" si="61"/>
        <v>4956</v>
      </c>
      <c r="K150" s="211"/>
      <c r="L150" s="211"/>
      <c r="M150" s="109">
        <f t="shared" ref="M150:M151" si="88">J150+K150-L150</f>
        <v>4956</v>
      </c>
      <c r="N150" s="211"/>
      <c r="O150" s="211"/>
      <c r="P150" s="109">
        <f t="shared" ref="P150:P151" si="89">M150+N150-O150</f>
        <v>4956</v>
      </c>
      <c r="Q150" s="211"/>
      <c r="R150" s="211"/>
      <c r="S150" s="109">
        <f t="shared" ref="S150:S151" si="90">P150+Q150-R150</f>
        <v>4956</v>
      </c>
      <c r="T150" s="221"/>
      <c r="U150" s="221"/>
    </row>
    <row r="151" spans="1:27" ht="26.25" customHeight="1">
      <c r="A151" s="218"/>
      <c r="B151" s="218"/>
      <c r="C151" s="218"/>
      <c r="D151" s="218"/>
      <c r="E151" s="219"/>
      <c r="F151" s="250" t="s">
        <v>749</v>
      </c>
      <c r="G151" s="211">
        <v>24850</v>
      </c>
      <c r="H151" s="211"/>
      <c r="I151" s="211"/>
      <c r="J151" s="109">
        <f t="shared" si="61"/>
        <v>24850</v>
      </c>
      <c r="K151" s="211"/>
      <c r="L151" s="211"/>
      <c r="M151" s="109">
        <f t="shared" si="88"/>
        <v>24850</v>
      </c>
      <c r="N151" s="211"/>
      <c r="O151" s="211"/>
      <c r="P151" s="109">
        <f t="shared" si="89"/>
        <v>24850</v>
      </c>
      <c r="Q151" s="211"/>
      <c r="R151" s="211"/>
      <c r="S151" s="109">
        <f t="shared" si="90"/>
        <v>24850</v>
      </c>
      <c r="T151" s="221"/>
      <c r="U151" s="221"/>
    </row>
    <row r="152" spans="1:27">
      <c r="A152" s="218"/>
      <c r="B152" s="218"/>
      <c r="C152" s="218">
        <v>373</v>
      </c>
      <c r="D152" s="218"/>
      <c r="E152" s="219"/>
      <c r="F152" s="250" t="s">
        <v>288</v>
      </c>
      <c r="G152" s="221">
        <f>G153+G199</f>
        <v>2163155</v>
      </c>
      <c r="H152" s="221">
        <f>H153+H199</f>
        <v>0</v>
      </c>
      <c r="I152" s="221">
        <f>I153+I199</f>
        <v>0</v>
      </c>
      <c r="J152" s="221">
        <f>J153+J199+J217</f>
        <v>2163155</v>
      </c>
      <c r="K152" s="221">
        <f t="shared" ref="K152:U152" si="91">K153+K199+K217</f>
        <v>16092497</v>
      </c>
      <c r="L152" s="221">
        <f t="shared" si="91"/>
        <v>1946929</v>
      </c>
      <c r="M152" s="221">
        <f t="shared" si="91"/>
        <v>16308723</v>
      </c>
      <c r="N152" s="221">
        <f t="shared" si="91"/>
        <v>0</v>
      </c>
      <c r="O152" s="221">
        <f t="shared" si="91"/>
        <v>0</v>
      </c>
      <c r="P152" s="221">
        <f t="shared" si="91"/>
        <v>16308723</v>
      </c>
      <c r="Q152" s="221">
        <f t="shared" si="91"/>
        <v>216771</v>
      </c>
      <c r="R152" s="221">
        <f t="shared" si="91"/>
        <v>4546</v>
      </c>
      <c r="S152" s="221">
        <f t="shared" si="91"/>
        <v>16520948</v>
      </c>
      <c r="T152" s="221">
        <f t="shared" si="91"/>
        <v>34090190.041539997</v>
      </c>
      <c r="U152" s="221">
        <f t="shared" si="91"/>
        <v>66501434</v>
      </c>
    </row>
    <row r="153" spans="1:27" s="225" customFormat="1" ht="15" customHeight="1">
      <c r="A153" s="222"/>
      <c r="B153" s="222"/>
      <c r="C153" s="222"/>
      <c r="D153" s="218" t="s">
        <v>190</v>
      </c>
      <c r="E153" s="219"/>
      <c r="F153" s="220" t="s">
        <v>299</v>
      </c>
      <c r="G153" s="224">
        <f>G154</f>
        <v>0</v>
      </c>
      <c r="H153" s="224">
        <f t="shared" ref="H153:I153" si="92">H154</f>
        <v>0</v>
      </c>
      <c r="I153" s="224">
        <f t="shared" si="92"/>
        <v>0</v>
      </c>
      <c r="J153" s="224">
        <f>J154+J186</f>
        <v>0</v>
      </c>
      <c r="K153" s="224">
        <f t="shared" ref="K153:U153" si="93">K154+K186</f>
        <v>12860972</v>
      </c>
      <c r="L153" s="224">
        <f t="shared" si="93"/>
        <v>0</v>
      </c>
      <c r="M153" s="224">
        <f t="shared" si="93"/>
        <v>12860972</v>
      </c>
      <c r="N153" s="224">
        <f t="shared" si="93"/>
        <v>0</v>
      </c>
      <c r="O153" s="224">
        <f t="shared" si="93"/>
        <v>0</v>
      </c>
      <c r="P153" s="224">
        <f t="shared" si="93"/>
        <v>12860972</v>
      </c>
      <c r="Q153" s="224">
        <f t="shared" si="93"/>
        <v>0</v>
      </c>
      <c r="R153" s="224">
        <f t="shared" si="93"/>
        <v>0</v>
      </c>
      <c r="S153" s="224">
        <f t="shared" si="93"/>
        <v>12860972</v>
      </c>
      <c r="T153" s="224">
        <f t="shared" si="93"/>
        <v>29329577.041540001</v>
      </c>
      <c r="U153" s="224">
        <f t="shared" si="93"/>
        <v>63501434</v>
      </c>
    </row>
    <row r="154" spans="1:27" s="225" customFormat="1">
      <c r="A154" s="222"/>
      <c r="B154" s="222"/>
      <c r="C154" s="222"/>
      <c r="D154" s="222"/>
      <c r="E154" s="219" t="s">
        <v>113</v>
      </c>
      <c r="F154" s="220" t="s">
        <v>8</v>
      </c>
      <c r="G154" s="224">
        <f>SUM(G155:G185)</f>
        <v>0</v>
      </c>
      <c r="H154" s="224">
        <f t="shared" ref="H154:S154" si="94">SUM(H155:H185)</f>
        <v>0</v>
      </c>
      <c r="I154" s="224">
        <f t="shared" si="94"/>
        <v>0</v>
      </c>
      <c r="J154" s="224">
        <f t="shared" si="94"/>
        <v>0</v>
      </c>
      <c r="K154" s="224">
        <f t="shared" si="94"/>
        <v>0</v>
      </c>
      <c r="L154" s="224">
        <f t="shared" si="94"/>
        <v>0</v>
      </c>
      <c r="M154" s="224">
        <f t="shared" si="94"/>
        <v>0</v>
      </c>
      <c r="N154" s="224">
        <f t="shared" si="94"/>
        <v>0</v>
      </c>
      <c r="O154" s="224">
        <f t="shared" si="94"/>
        <v>0</v>
      </c>
      <c r="P154" s="224">
        <f t="shared" si="94"/>
        <v>0</v>
      </c>
      <c r="Q154" s="224">
        <f t="shared" si="94"/>
        <v>0</v>
      </c>
      <c r="R154" s="224">
        <f t="shared" si="94"/>
        <v>0</v>
      </c>
      <c r="S154" s="224">
        <f t="shared" si="94"/>
        <v>0</v>
      </c>
      <c r="T154" s="224">
        <f>SUM(T155:T185)</f>
        <v>29329577.041540001</v>
      </c>
      <c r="U154" s="224">
        <f>SUM(U155:U185)</f>
        <v>63501434</v>
      </c>
      <c r="V154" s="242"/>
      <c r="W154" s="242"/>
      <c r="X154" s="242"/>
      <c r="AA154" s="242"/>
    </row>
    <row r="155" spans="1:27" s="225" customFormat="1" ht="38.25">
      <c r="A155" s="222"/>
      <c r="B155" s="222"/>
      <c r="C155" s="222"/>
      <c r="D155" s="222"/>
      <c r="E155" s="219"/>
      <c r="F155" s="243" t="s">
        <v>750</v>
      </c>
      <c r="G155" s="224"/>
      <c r="H155" s="224"/>
      <c r="I155" s="224"/>
      <c r="J155" s="109">
        <f t="shared" si="61"/>
        <v>0</v>
      </c>
      <c r="K155" s="224"/>
      <c r="L155" s="224"/>
      <c r="M155" s="109">
        <f t="shared" ref="M155:M198" si="95">J155+K155-L155</f>
        <v>0</v>
      </c>
      <c r="N155" s="224"/>
      <c r="O155" s="224"/>
      <c r="P155" s="109">
        <f t="shared" ref="P155:P185" si="96">M155+N155-O155</f>
        <v>0</v>
      </c>
      <c r="Q155" s="224"/>
      <c r="R155" s="224"/>
      <c r="S155" s="109">
        <f t="shared" ref="S155:S185" si="97">P155+Q155-R155</f>
        <v>0</v>
      </c>
      <c r="T155" s="224">
        <v>1695820</v>
      </c>
      <c r="U155" s="224"/>
      <c r="V155" s="242"/>
      <c r="W155" s="242"/>
      <c r="X155" s="242"/>
      <c r="AA155" s="242"/>
    </row>
    <row r="156" spans="1:27" s="225" customFormat="1" ht="25.5">
      <c r="A156" s="222"/>
      <c r="B156" s="222"/>
      <c r="C156" s="222"/>
      <c r="D156" s="222"/>
      <c r="E156" s="219"/>
      <c r="F156" s="243" t="s">
        <v>751</v>
      </c>
      <c r="G156" s="224"/>
      <c r="H156" s="224"/>
      <c r="I156" s="224"/>
      <c r="J156" s="109">
        <f t="shared" si="61"/>
        <v>0</v>
      </c>
      <c r="K156" s="224"/>
      <c r="L156" s="224"/>
      <c r="M156" s="109">
        <f t="shared" si="95"/>
        <v>0</v>
      </c>
      <c r="N156" s="224"/>
      <c r="O156" s="224"/>
      <c r="P156" s="109">
        <f t="shared" si="96"/>
        <v>0</v>
      </c>
      <c r="Q156" s="224"/>
      <c r="R156" s="224"/>
      <c r="S156" s="109">
        <f t="shared" si="97"/>
        <v>0</v>
      </c>
      <c r="T156" s="224">
        <v>615052</v>
      </c>
      <c r="U156" s="224"/>
      <c r="V156" s="242"/>
      <c r="W156" s="242"/>
      <c r="X156" s="242"/>
      <c r="AA156" s="242"/>
    </row>
    <row r="157" spans="1:27" s="225" customFormat="1" ht="25.5">
      <c r="A157" s="222"/>
      <c r="B157" s="222"/>
      <c r="C157" s="222"/>
      <c r="D157" s="222"/>
      <c r="E157" s="219"/>
      <c r="F157" s="243" t="s">
        <v>752</v>
      </c>
      <c r="G157" s="224"/>
      <c r="H157" s="224"/>
      <c r="I157" s="224"/>
      <c r="J157" s="109">
        <f t="shared" si="61"/>
        <v>0</v>
      </c>
      <c r="K157" s="224"/>
      <c r="L157" s="224"/>
      <c r="M157" s="109">
        <f t="shared" si="95"/>
        <v>0</v>
      </c>
      <c r="N157" s="224"/>
      <c r="O157" s="224"/>
      <c r="P157" s="109">
        <f t="shared" si="96"/>
        <v>0</v>
      </c>
      <c r="Q157" s="224"/>
      <c r="R157" s="224"/>
      <c r="S157" s="109">
        <f t="shared" si="97"/>
        <v>0</v>
      </c>
      <c r="T157" s="224">
        <v>642118</v>
      </c>
      <c r="U157" s="224"/>
      <c r="V157" s="242"/>
      <c r="W157" s="242"/>
      <c r="X157" s="242"/>
      <c r="AA157" s="242"/>
    </row>
    <row r="158" spans="1:27" s="225" customFormat="1" ht="25.5">
      <c r="A158" s="222"/>
      <c r="B158" s="222"/>
      <c r="C158" s="222"/>
      <c r="D158" s="222"/>
      <c r="E158" s="219"/>
      <c r="F158" s="243" t="s">
        <v>753</v>
      </c>
      <c r="G158" s="224"/>
      <c r="H158" s="224"/>
      <c r="I158" s="224"/>
      <c r="J158" s="109">
        <f t="shared" si="61"/>
        <v>0</v>
      </c>
      <c r="K158" s="224"/>
      <c r="L158" s="224"/>
      <c r="M158" s="109">
        <f t="shared" si="95"/>
        <v>0</v>
      </c>
      <c r="N158" s="224"/>
      <c r="O158" s="224"/>
      <c r="P158" s="109">
        <f t="shared" si="96"/>
        <v>0</v>
      </c>
      <c r="Q158" s="224"/>
      <c r="R158" s="224"/>
      <c r="S158" s="109">
        <f t="shared" si="97"/>
        <v>0</v>
      </c>
      <c r="T158" s="224">
        <v>642119</v>
      </c>
      <c r="U158" s="224"/>
      <c r="V158" s="242"/>
      <c r="W158" s="242"/>
      <c r="X158" s="242"/>
      <c r="AA158" s="242"/>
    </row>
    <row r="159" spans="1:27" s="225" customFormat="1" ht="25.5">
      <c r="A159" s="222"/>
      <c r="B159" s="222"/>
      <c r="C159" s="222"/>
      <c r="D159" s="222"/>
      <c r="E159" s="219"/>
      <c r="F159" s="243" t="s">
        <v>754</v>
      </c>
      <c r="G159" s="224"/>
      <c r="H159" s="224"/>
      <c r="I159" s="224"/>
      <c r="J159" s="109">
        <f t="shared" si="61"/>
        <v>0</v>
      </c>
      <c r="K159" s="224"/>
      <c r="L159" s="224"/>
      <c r="M159" s="109">
        <f t="shared" si="95"/>
        <v>0</v>
      </c>
      <c r="N159" s="224"/>
      <c r="O159" s="224"/>
      <c r="P159" s="109">
        <f t="shared" si="96"/>
        <v>0</v>
      </c>
      <c r="Q159" s="224"/>
      <c r="R159" s="224"/>
      <c r="S159" s="109">
        <f t="shared" si="97"/>
        <v>0</v>
      </c>
      <c r="T159" s="224">
        <v>642119</v>
      </c>
      <c r="U159" s="224"/>
      <c r="V159" s="242"/>
      <c r="W159" s="242"/>
      <c r="X159" s="242"/>
      <c r="AA159" s="242"/>
    </row>
    <row r="160" spans="1:27" s="225" customFormat="1" ht="25.5">
      <c r="A160" s="222"/>
      <c r="B160" s="222"/>
      <c r="C160" s="222"/>
      <c r="D160" s="222"/>
      <c r="E160" s="219"/>
      <c r="F160" s="243" t="s">
        <v>755</v>
      </c>
      <c r="G160" s="224"/>
      <c r="H160" s="224"/>
      <c r="I160" s="224"/>
      <c r="J160" s="109">
        <f t="shared" si="61"/>
        <v>0</v>
      </c>
      <c r="K160" s="224"/>
      <c r="L160" s="224"/>
      <c r="M160" s="109">
        <f t="shared" si="95"/>
        <v>0</v>
      </c>
      <c r="N160" s="224"/>
      <c r="O160" s="224"/>
      <c r="P160" s="109">
        <f t="shared" si="96"/>
        <v>0</v>
      </c>
      <c r="Q160" s="224"/>
      <c r="R160" s="224"/>
      <c r="S160" s="109">
        <f t="shared" si="97"/>
        <v>0</v>
      </c>
      <c r="T160" s="224">
        <v>642119</v>
      </c>
      <c r="U160" s="224"/>
      <c r="V160" s="242"/>
      <c r="W160" s="242"/>
      <c r="X160" s="242"/>
      <c r="AA160" s="242"/>
    </row>
    <row r="161" spans="1:27" s="225" customFormat="1" ht="25.5">
      <c r="A161" s="222"/>
      <c r="B161" s="222"/>
      <c r="C161" s="222"/>
      <c r="D161" s="222"/>
      <c r="E161" s="219"/>
      <c r="F161" s="243" t="s">
        <v>756</v>
      </c>
      <c r="G161" s="224"/>
      <c r="H161" s="224"/>
      <c r="I161" s="224"/>
      <c r="J161" s="109">
        <f t="shared" si="61"/>
        <v>0</v>
      </c>
      <c r="K161" s="224"/>
      <c r="L161" s="224"/>
      <c r="M161" s="109">
        <f t="shared" si="95"/>
        <v>0</v>
      </c>
      <c r="N161" s="224"/>
      <c r="O161" s="224"/>
      <c r="P161" s="109">
        <f t="shared" si="96"/>
        <v>0</v>
      </c>
      <c r="Q161" s="224"/>
      <c r="R161" s="224"/>
      <c r="S161" s="109">
        <f t="shared" si="97"/>
        <v>0</v>
      </c>
      <c r="T161" s="224">
        <v>642119</v>
      </c>
      <c r="U161" s="224"/>
      <c r="V161" s="242"/>
      <c r="W161" s="242"/>
      <c r="X161" s="242"/>
      <c r="AA161" s="242"/>
    </row>
    <row r="162" spans="1:27" s="225" customFormat="1" ht="25.5">
      <c r="A162" s="222"/>
      <c r="B162" s="222"/>
      <c r="C162" s="222"/>
      <c r="D162" s="222"/>
      <c r="E162" s="219"/>
      <c r="F162" s="243" t="s">
        <v>757</v>
      </c>
      <c r="G162" s="224"/>
      <c r="H162" s="224"/>
      <c r="I162" s="224"/>
      <c r="J162" s="109">
        <f t="shared" si="61"/>
        <v>0</v>
      </c>
      <c r="K162" s="224"/>
      <c r="L162" s="224"/>
      <c r="M162" s="109">
        <f t="shared" si="95"/>
        <v>0</v>
      </c>
      <c r="N162" s="224"/>
      <c r="O162" s="224"/>
      <c r="P162" s="109">
        <f t="shared" si="96"/>
        <v>0</v>
      </c>
      <c r="Q162" s="224"/>
      <c r="R162" s="224"/>
      <c r="S162" s="109">
        <f t="shared" si="97"/>
        <v>0</v>
      </c>
      <c r="T162" s="224">
        <v>642119</v>
      </c>
      <c r="U162" s="224"/>
      <c r="V162" s="242"/>
      <c r="W162" s="242"/>
      <c r="X162" s="242"/>
      <c r="AA162" s="242"/>
    </row>
    <row r="163" spans="1:27" s="225" customFormat="1" ht="25.5">
      <c r="A163" s="222"/>
      <c r="B163" s="222"/>
      <c r="C163" s="222"/>
      <c r="D163" s="222"/>
      <c r="E163" s="219"/>
      <c r="F163" s="243" t="s">
        <v>758</v>
      </c>
      <c r="G163" s="224"/>
      <c r="H163" s="224"/>
      <c r="I163" s="224"/>
      <c r="J163" s="109">
        <f t="shared" si="61"/>
        <v>0</v>
      </c>
      <c r="K163" s="224"/>
      <c r="L163" s="224"/>
      <c r="M163" s="109">
        <f t="shared" si="95"/>
        <v>0</v>
      </c>
      <c r="N163" s="224"/>
      <c r="O163" s="224"/>
      <c r="P163" s="109">
        <f t="shared" si="96"/>
        <v>0</v>
      </c>
      <c r="Q163" s="224"/>
      <c r="R163" s="224"/>
      <c r="S163" s="109">
        <f t="shared" si="97"/>
        <v>0</v>
      </c>
      <c r="T163" s="224">
        <v>642119</v>
      </c>
      <c r="U163" s="224"/>
      <c r="V163" s="242"/>
      <c r="W163" s="242"/>
      <c r="X163" s="242"/>
      <c r="AA163" s="242"/>
    </row>
    <row r="164" spans="1:27" s="225" customFormat="1" ht="26.25" customHeight="1">
      <c r="A164" s="222"/>
      <c r="B164" s="222"/>
      <c r="C164" s="222"/>
      <c r="D164" s="222"/>
      <c r="E164" s="219"/>
      <c r="F164" s="243" t="s">
        <v>759</v>
      </c>
      <c r="G164" s="224"/>
      <c r="H164" s="224"/>
      <c r="I164" s="224"/>
      <c r="J164" s="109">
        <f t="shared" si="61"/>
        <v>0</v>
      </c>
      <c r="K164" s="224"/>
      <c r="L164" s="224"/>
      <c r="M164" s="109">
        <f t="shared" si="95"/>
        <v>0</v>
      </c>
      <c r="N164" s="224"/>
      <c r="O164" s="224"/>
      <c r="P164" s="109">
        <f t="shared" si="96"/>
        <v>0</v>
      </c>
      <c r="Q164" s="224"/>
      <c r="R164" s="224"/>
      <c r="S164" s="109">
        <f t="shared" si="97"/>
        <v>0</v>
      </c>
      <c r="T164" s="224">
        <v>2590020</v>
      </c>
      <c r="U164" s="224"/>
      <c r="V164" s="242"/>
      <c r="W164" s="242"/>
      <c r="X164" s="242"/>
      <c r="AA164" s="242"/>
    </row>
    <row r="165" spans="1:27" s="225" customFormat="1" ht="28.5" customHeight="1">
      <c r="A165" s="222"/>
      <c r="B165" s="222"/>
      <c r="C165" s="222"/>
      <c r="D165" s="222"/>
      <c r="E165" s="219"/>
      <c r="F165" s="243" t="s">
        <v>760</v>
      </c>
      <c r="G165" s="224"/>
      <c r="H165" s="224"/>
      <c r="I165" s="224"/>
      <c r="J165" s="109">
        <f t="shared" si="61"/>
        <v>0</v>
      </c>
      <c r="K165" s="224"/>
      <c r="L165" s="224"/>
      <c r="M165" s="109">
        <f t="shared" si="95"/>
        <v>0</v>
      </c>
      <c r="N165" s="224"/>
      <c r="O165" s="224"/>
      <c r="P165" s="109">
        <f t="shared" si="96"/>
        <v>0</v>
      </c>
      <c r="Q165" s="224"/>
      <c r="R165" s="224"/>
      <c r="S165" s="109">
        <f t="shared" si="97"/>
        <v>0</v>
      </c>
      <c r="T165" s="224">
        <v>2678670</v>
      </c>
      <c r="U165" s="224"/>
      <c r="V165" s="242"/>
      <c r="W165" s="242"/>
      <c r="X165" s="242"/>
      <c r="AA165" s="242"/>
    </row>
    <row r="166" spans="1:27" s="225" customFormat="1" ht="25.5">
      <c r="A166" s="222"/>
      <c r="B166" s="222"/>
      <c r="C166" s="222"/>
      <c r="D166" s="222"/>
      <c r="E166" s="219"/>
      <c r="F166" s="243" t="s">
        <v>761</v>
      </c>
      <c r="G166" s="224"/>
      <c r="H166" s="224"/>
      <c r="I166" s="224"/>
      <c r="J166" s="109">
        <f t="shared" si="61"/>
        <v>0</v>
      </c>
      <c r="K166" s="224"/>
      <c r="L166" s="224"/>
      <c r="M166" s="109">
        <f t="shared" si="95"/>
        <v>0</v>
      </c>
      <c r="N166" s="224"/>
      <c r="O166" s="224"/>
      <c r="P166" s="109">
        <f t="shared" si="96"/>
        <v>0</v>
      </c>
      <c r="Q166" s="224"/>
      <c r="R166" s="224"/>
      <c r="S166" s="109">
        <f t="shared" si="97"/>
        <v>0</v>
      </c>
      <c r="T166" s="224">
        <v>2590020</v>
      </c>
      <c r="U166" s="224"/>
      <c r="V166" s="242"/>
      <c r="W166" s="242"/>
      <c r="X166" s="242"/>
      <c r="AA166" s="242"/>
    </row>
    <row r="167" spans="1:27" s="225" customFormat="1" ht="25.5">
      <c r="A167" s="222"/>
      <c r="B167" s="222"/>
      <c r="C167" s="222"/>
      <c r="D167" s="222"/>
      <c r="E167" s="219"/>
      <c r="F167" s="243" t="s">
        <v>762</v>
      </c>
      <c r="G167" s="224"/>
      <c r="H167" s="224"/>
      <c r="I167" s="224"/>
      <c r="J167" s="109">
        <f t="shared" si="61"/>
        <v>0</v>
      </c>
      <c r="K167" s="224"/>
      <c r="L167" s="224"/>
      <c r="M167" s="109">
        <f t="shared" si="95"/>
        <v>0</v>
      </c>
      <c r="N167" s="224"/>
      <c r="O167" s="224"/>
      <c r="P167" s="109">
        <f t="shared" si="96"/>
        <v>0</v>
      </c>
      <c r="Q167" s="224"/>
      <c r="R167" s="224"/>
      <c r="S167" s="109">
        <f t="shared" si="97"/>
        <v>0</v>
      </c>
      <c r="T167" s="224">
        <v>2678670</v>
      </c>
      <c r="U167" s="224"/>
      <c r="V167" s="242"/>
      <c r="W167" s="242"/>
      <c r="X167" s="242"/>
      <c r="AA167" s="242"/>
    </row>
    <row r="168" spans="1:27" s="225" customFormat="1" ht="29.25" customHeight="1">
      <c r="A168" s="222"/>
      <c r="B168" s="222"/>
      <c r="C168" s="222"/>
      <c r="D168" s="222"/>
      <c r="E168" s="219"/>
      <c r="F168" s="243" t="s">
        <v>759</v>
      </c>
      <c r="G168" s="224"/>
      <c r="H168" s="224"/>
      <c r="I168" s="224"/>
      <c r="J168" s="109">
        <f t="shared" si="61"/>
        <v>0</v>
      </c>
      <c r="K168" s="224"/>
      <c r="L168" s="224"/>
      <c r="M168" s="109">
        <f t="shared" si="95"/>
        <v>0</v>
      </c>
      <c r="N168" s="224"/>
      <c r="O168" s="224"/>
      <c r="P168" s="109">
        <f t="shared" si="96"/>
        <v>0</v>
      </c>
      <c r="Q168" s="224"/>
      <c r="R168" s="224"/>
      <c r="S168" s="109">
        <f t="shared" si="97"/>
        <v>0</v>
      </c>
      <c r="T168" s="224">
        <v>1315289</v>
      </c>
      <c r="U168" s="224"/>
      <c r="V168" s="242"/>
      <c r="W168" s="242"/>
      <c r="X168" s="242"/>
      <c r="AA168" s="242"/>
    </row>
    <row r="169" spans="1:27" s="225" customFormat="1" ht="27.75" customHeight="1">
      <c r="A169" s="222"/>
      <c r="B169" s="222"/>
      <c r="C169" s="222"/>
      <c r="D169" s="222"/>
      <c r="E169" s="219"/>
      <c r="F169" s="243" t="s">
        <v>760</v>
      </c>
      <c r="G169" s="224"/>
      <c r="H169" s="224"/>
      <c r="I169" s="224"/>
      <c r="J169" s="109">
        <f t="shared" si="61"/>
        <v>0</v>
      </c>
      <c r="K169" s="224"/>
      <c r="L169" s="224"/>
      <c r="M169" s="109">
        <f t="shared" si="95"/>
        <v>0</v>
      </c>
      <c r="N169" s="224"/>
      <c r="O169" s="224"/>
      <c r="P169" s="109">
        <f t="shared" si="96"/>
        <v>0</v>
      </c>
      <c r="Q169" s="224"/>
      <c r="R169" s="224"/>
      <c r="S169" s="109">
        <f t="shared" si="97"/>
        <v>0</v>
      </c>
      <c r="T169" s="224">
        <v>657644.04153999989</v>
      </c>
      <c r="U169" s="224"/>
      <c r="V169" s="242"/>
      <c r="W169" s="242"/>
      <c r="X169" s="242"/>
      <c r="AA169" s="242"/>
    </row>
    <row r="170" spans="1:27" s="225" customFormat="1" ht="25.5">
      <c r="A170" s="222"/>
      <c r="B170" s="222"/>
      <c r="C170" s="222"/>
      <c r="D170" s="222"/>
      <c r="E170" s="219"/>
      <c r="F170" s="243" t="s">
        <v>763</v>
      </c>
      <c r="G170" s="224"/>
      <c r="H170" s="224"/>
      <c r="I170" s="224"/>
      <c r="J170" s="109">
        <f t="shared" si="61"/>
        <v>0</v>
      </c>
      <c r="K170" s="224"/>
      <c r="L170" s="224"/>
      <c r="M170" s="109">
        <f t="shared" si="95"/>
        <v>0</v>
      </c>
      <c r="N170" s="224"/>
      <c r="O170" s="224"/>
      <c r="P170" s="109">
        <f t="shared" si="96"/>
        <v>0</v>
      </c>
      <c r="Q170" s="224"/>
      <c r="R170" s="224"/>
      <c r="S170" s="109">
        <f t="shared" si="97"/>
        <v>0</v>
      </c>
      <c r="T170" s="224"/>
      <c r="U170" s="224">
        <v>500000</v>
      </c>
      <c r="V170" s="242"/>
      <c r="W170" s="242"/>
      <c r="X170" s="242"/>
      <c r="AA170" s="242"/>
    </row>
    <row r="171" spans="1:27" s="225" customFormat="1" ht="25.5">
      <c r="A171" s="222"/>
      <c r="B171" s="222"/>
      <c r="C171" s="222"/>
      <c r="D171" s="222"/>
      <c r="E171" s="219"/>
      <c r="F171" s="243" t="s">
        <v>764</v>
      </c>
      <c r="G171" s="224"/>
      <c r="H171" s="224"/>
      <c r="I171" s="224"/>
      <c r="J171" s="109">
        <f t="shared" si="61"/>
        <v>0</v>
      </c>
      <c r="K171" s="224"/>
      <c r="L171" s="224"/>
      <c r="M171" s="109">
        <f t="shared" si="95"/>
        <v>0</v>
      </c>
      <c r="N171" s="224"/>
      <c r="O171" s="224"/>
      <c r="P171" s="109">
        <f t="shared" si="96"/>
        <v>0</v>
      </c>
      <c r="Q171" s="224"/>
      <c r="R171" s="224"/>
      <c r="S171" s="109">
        <f t="shared" si="97"/>
        <v>0</v>
      </c>
      <c r="T171" s="224"/>
      <c r="U171" s="224">
        <v>500000</v>
      </c>
      <c r="V171" s="242"/>
      <c r="W171" s="242"/>
      <c r="X171" s="242"/>
      <c r="AA171" s="242"/>
    </row>
    <row r="172" spans="1:27" s="225" customFormat="1" ht="25.5">
      <c r="A172" s="222"/>
      <c r="B172" s="222"/>
      <c r="C172" s="222"/>
      <c r="D172" s="222"/>
      <c r="E172" s="219"/>
      <c r="F172" s="243" t="s">
        <v>765</v>
      </c>
      <c r="G172" s="224"/>
      <c r="H172" s="224"/>
      <c r="I172" s="224"/>
      <c r="J172" s="109">
        <f t="shared" si="61"/>
        <v>0</v>
      </c>
      <c r="K172" s="224"/>
      <c r="L172" s="224"/>
      <c r="M172" s="109">
        <f t="shared" si="95"/>
        <v>0</v>
      </c>
      <c r="N172" s="224"/>
      <c r="O172" s="224"/>
      <c r="P172" s="109">
        <f t="shared" si="96"/>
        <v>0</v>
      </c>
      <c r="Q172" s="224"/>
      <c r="R172" s="224"/>
      <c r="S172" s="109">
        <f t="shared" si="97"/>
        <v>0</v>
      </c>
      <c r="T172" s="224"/>
      <c r="U172" s="224">
        <v>500000</v>
      </c>
      <c r="V172" s="242"/>
      <c r="W172" s="242"/>
      <c r="X172" s="242"/>
      <c r="AA172" s="242"/>
    </row>
    <row r="173" spans="1:27" s="225" customFormat="1" ht="25.5">
      <c r="A173" s="222"/>
      <c r="B173" s="222"/>
      <c r="C173" s="222"/>
      <c r="D173" s="222"/>
      <c r="E173" s="219"/>
      <c r="F173" s="243" t="s">
        <v>766</v>
      </c>
      <c r="G173" s="224"/>
      <c r="H173" s="224"/>
      <c r="I173" s="224"/>
      <c r="J173" s="109">
        <f t="shared" si="61"/>
        <v>0</v>
      </c>
      <c r="K173" s="224"/>
      <c r="L173" s="224"/>
      <c r="M173" s="109">
        <f t="shared" si="95"/>
        <v>0</v>
      </c>
      <c r="N173" s="224"/>
      <c r="O173" s="224"/>
      <c r="P173" s="109">
        <f t="shared" si="96"/>
        <v>0</v>
      </c>
      <c r="Q173" s="224"/>
      <c r="R173" s="224"/>
      <c r="S173" s="109">
        <f t="shared" si="97"/>
        <v>0</v>
      </c>
      <c r="T173" s="224"/>
      <c r="U173" s="224">
        <v>500000</v>
      </c>
      <c r="V173" s="242"/>
      <c r="W173" s="242"/>
      <c r="X173" s="242"/>
      <c r="AA173" s="242"/>
    </row>
    <row r="174" spans="1:27" s="225" customFormat="1" ht="25.5">
      <c r="A174" s="222"/>
      <c r="B174" s="222"/>
      <c r="C174" s="222"/>
      <c r="D174" s="222"/>
      <c r="E174" s="219"/>
      <c r="F174" s="243" t="s">
        <v>767</v>
      </c>
      <c r="G174" s="224"/>
      <c r="H174" s="224"/>
      <c r="I174" s="224"/>
      <c r="J174" s="109">
        <f t="shared" si="61"/>
        <v>0</v>
      </c>
      <c r="K174" s="224"/>
      <c r="L174" s="224"/>
      <c r="M174" s="109">
        <f t="shared" si="95"/>
        <v>0</v>
      </c>
      <c r="N174" s="224"/>
      <c r="O174" s="224"/>
      <c r="P174" s="109">
        <f t="shared" si="96"/>
        <v>0</v>
      </c>
      <c r="Q174" s="224"/>
      <c r="R174" s="224"/>
      <c r="S174" s="109">
        <f t="shared" si="97"/>
        <v>0</v>
      </c>
      <c r="T174" s="224"/>
      <c r="U174" s="224">
        <v>500000</v>
      </c>
      <c r="V174" s="242"/>
      <c r="W174" s="242"/>
      <c r="X174" s="242"/>
      <c r="AA174" s="242"/>
    </row>
    <row r="175" spans="1:27" s="254" customFormat="1" ht="25.5">
      <c r="A175" s="252"/>
      <c r="B175" s="252"/>
      <c r="C175" s="252"/>
      <c r="D175" s="252"/>
      <c r="E175" s="253"/>
      <c r="F175" s="243" t="s">
        <v>768</v>
      </c>
      <c r="G175" s="211"/>
      <c r="H175" s="211"/>
      <c r="I175" s="211"/>
      <c r="J175" s="109">
        <f t="shared" si="61"/>
        <v>0</v>
      </c>
      <c r="K175" s="211"/>
      <c r="L175" s="211"/>
      <c r="M175" s="109">
        <f t="shared" si="95"/>
        <v>0</v>
      </c>
      <c r="N175" s="211"/>
      <c r="O175" s="211"/>
      <c r="P175" s="109">
        <f t="shared" si="96"/>
        <v>0</v>
      </c>
      <c r="Q175" s="211"/>
      <c r="R175" s="211"/>
      <c r="S175" s="109">
        <f t="shared" si="97"/>
        <v>0</v>
      </c>
      <c r="T175" s="221"/>
      <c r="U175" s="221">
        <v>500000</v>
      </c>
    </row>
    <row r="176" spans="1:27" s="254" customFormat="1" ht="25.5">
      <c r="A176" s="252"/>
      <c r="B176" s="252"/>
      <c r="C176" s="252"/>
      <c r="D176" s="252"/>
      <c r="E176" s="253"/>
      <c r="F176" s="243" t="s">
        <v>769</v>
      </c>
      <c r="G176" s="211"/>
      <c r="H176" s="211"/>
      <c r="I176" s="211"/>
      <c r="J176" s="109">
        <f t="shared" si="61"/>
        <v>0</v>
      </c>
      <c r="K176" s="211"/>
      <c r="L176" s="211"/>
      <c r="M176" s="109">
        <f t="shared" si="95"/>
        <v>0</v>
      </c>
      <c r="N176" s="211"/>
      <c r="O176" s="211"/>
      <c r="P176" s="109">
        <f t="shared" si="96"/>
        <v>0</v>
      </c>
      <c r="Q176" s="211"/>
      <c r="R176" s="211"/>
      <c r="S176" s="109">
        <f t="shared" si="97"/>
        <v>0</v>
      </c>
      <c r="T176" s="221"/>
      <c r="U176" s="221">
        <v>500000</v>
      </c>
    </row>
    <row r="177" spans="1:21" s="254" customFormat="1" ht="38.25">
      <c r="A177" s="252"/>
      <c r="B177" s="252"/>
      <c r="C177" s="252"/>
      <c r="D177" s="252"/>
      <c r="E177" s="253"/>
      <c r="F177" s="243" t="s">
        <v>770</v>
      </c>
      <c r="G177" s="211"/>
      <c r="H177" s="211"/>
      <c r="I177" s="211"/>
      <c r="J177" s="109">
        <f t="shared" si="61"/>
        <v>0</v>
      </c>
      <c r="K177" s="211"/>
      <c r="L177" s="211"/>
      <c r="M177" s="109">
        <f t="shared" si="95"/>
        <v>0</v>
      </c>
      <c r="N177" s="211"/>
      <c r="O177" s="211"/>
      <c r="P177" s="109">
        <f t="shared" si="96"/>
        <v>0</v>
      </c>
      <c r="Q177" s="211"/>
      <c r="R177" s="211"/>
      <c r="S177" s="109">
        <f t="shared" si="97"/>
        <v>0</v>
      </c>
      <c r="T177" s="221"/>
      <c r="U177" s="221">
        <v>500000</v>
      </c>
    </row>
    <row r="178" spans="1:21" s="254" customFormat="1" ht="38.25">
      <c r="A178" s="252"/>
      <c r="B178" s="252"/>
      <c r="C178" s="252"/>
      <c r="D178" s="252"/>
      <c r="E178" s="253"/>
      <c r="F178" s="243" t="s">
        <v>771</v>
      </c>
      <c r="G178" s="211"/>
      <c r="H178" s="211"/>
      <c r="I178" s="211"/>
      <c r="J178" s="109">
        <f t="shared" si="61"/>
        <v>0</v>
      </c>
      <c r="K178" s="211"/>
      <c r="L178" s="211"/>
      <c r="M178" s="109">
        <f t="shared" si="95"/>
        <v>0</v>
      </c>
      <c r="N178" s="211"/>
      <c r="O178" s="211"/>
      <c r="P178" s="109">
        <f t="shared" si="96"/>
        <v>0</v>
      </c>
      <c r="Q178" s="211"/>
      <c r="R178" s="211"/>
      <c r="S178" s="109">
        <f t="shared" si="97"/>
        <v>0</v>
      </c>
      <c r="T178" s="221">
        <v>1000000</v>
      </c>
      <c r="U178" s="221">
        <v>2000000</v>
      </c>
    </row>
    <row r="179" spans="1:21" s="254" customFormat="1" ht="25.5">
      <c r="A179" s="252"/>
      <c r="B179" s="252"/>
      <c r="C179" s="252"/>
      <c r="D179" s="252"/>
      <c r="E179" s="253"/>
      <c r="F179" s="243" t="s">
        <v>772</v>
      </c>
      <c r="G179" s="211"/>
      <c r="H179" s="211"/>
      <c r="I179" s="211"/>
      <c r="J179" s="109">
        <f t="shared" si="61"/>
        <v>0</v>
      </c>
      <c r="K179" s="211"/>
      <c r="L179" s="211"/>
      <c r="M179" s="109">
        <f t="shared" si="95"/>
        <v>0</v>
      </c>
      <c r="N179" s="211"/>
      <c r="O179" s="211"/>
      <c r="P179" s="109">
        <f t="shared" si="96"/>
        <v>0</v>
      </c>
      <c r="Q179" s="211"/>
      <c r="R179" s="211"/>
      <c r="S179" s="109">
        <f t="shared" si="97"/>
        <v>0</v>
      </c>
      <c r="T179" s="221">
        <v>1000000</v>
      </c>
      <c r="U179" s="221">
        <v>6000000</v>
      </c>
    </row>
    <row r="180" spans="1:21" s="254" customFormat="1" ht="13.5" customHeight="1">
      <c r="A180" s="252"/>
      <c r="B180" s="252"/>
      <c r="C180" s="252"/>
      <c r="D180" s="252"/>
      <c r="E180" s="253"/>
      <c r="F180" s="255" t="s">
        <v>773</v>
      </c>
      <c r="G180" s="211"/>
      <c r="H180" s="211"/>
      <c r="I180" s="211"/>
      <c r="J180" s="109">
        <f t="shared" si="61"/>
        <v>0</v>
      </c>
      <c r="K180" s="211"/>
      <c r="L180" s="211"/>
      <c r="M180" s="109">
        <f t="shared" si="95"/>
        <v>0</v>
      </c>
      <c r="N180" s="211"/>
      <c r="O180" s="211"/>
      <c r="P180" s="109">
        <f t="shared" si="96"/>
        <v>0</v>
      </c>
      <c r="Q180" s="211"/>
      <c r="R180" s="211"/>
      <c r="S180" s="109">
        <f t="shared" si="97"/>
        <v>0</v>
      </c>
      <c r="T180" s="221">
        <v>1000000</v>
      </c>
      <c r="U180" s="221">
        <v>12393606</v>
      </c>
    </row>
    <row r="181" spans="1:21" s="254" customFormat="1" ht="13.5" customHeight="1">
      <c r="A181" s="252"/>
      <c r="B181" s="252"/>
      <c r="C181" s="252"/>
      <c r="D181" s="252"/>
      <c r="E181" s="253"/>
      <c r="F181" s="255" t="s">
        <v>774</v>
      </c>
      <c r="G181" s="211"/>
      <c r="H181" s="211"/>
      <c r="I181" s="211"/>
      <c r="J181" s="109">
        <f t="shared" si="61"/>
        <v>0</v>
      </c>
      <c r="K181" s="211"/>
      <c r="L181" s="211"/>
      <c r="M181" s="109">
        <f t="shared" si="95"/>
        <v>0</v>
      </c>
      <c r="N181" s="211"/>
      <c r="O181" s="211"/>
      <c r="P181" s="109">
        <f t="shared" si="96"/>
        <v>0</v>
      </c>
      <c r="Q181" s="211"/>
      <c r="R181" s="211"/>
      <c r="S181" s="109">
        <f t="shared" si="97"/>
        <v>0</v>
      </c>
      <c r="T181" s="221">
        <v>1000000</v>
      </c>
      <c r="U181" s="221">
        <v>20000000</v>
      </c>
    </row>
    <row r="182" spans="1:21" s="254" customFormat="1" ht="21" customHeight="1">
      <c r="A182" s="252"/>
      <c r="B182" s="252"/>
      <c r="C182" s="252"/>
      <c r="D182" s="252"/>
      <c r="E182" s="253"/>
      <c r="F182" s="243" t="s">
        <v>775</v>
      </c>
      <c r="G182" s="211"/>
      <c r="H182" s="211"/>
      <c r="I182" s="211"/>
      <c r="J182" s="109">
        <f t="shared" si="61"/>
        <v>0</v>
      </c>
      <c r="K182" s="211"/>
      <c r="L182" s="211"/>
      <c r="M182" s="109">
        <f t="shared" si="95"/>
        <v>0</v>
      </c>
      <c r="N182" s="211"/>
      <c r="O182" s="211"/>
      <c r="P182" s="109">
        <f t="shared" si="96"/>
        <v>0</v>
      </c>
      <c r="Q182" s="211"/>
      <c r="R182" s="211"/>
      <c r="S182" s="109">
        <f t="shared" si="97"/>
        <v>0</v>
      </c>
      <c r="T182" s="221">
        <v>1000000</v>
      </c>
      <c r="U182" s="221">
        <v>4274220</v>
      </c>
    </row>
    <row r="183" spans="1:21" s="254" customFormat="1" ht="21" customHeight="1">
      <c r="A183" s="252"/>
      <c r="B183" s="252"/>
      <c r="C183" s="252"/>
      <c r="D183" s="252"/>
      <c r="E183" s="253"/>
      <c r="F183" s="243" t="s">
        <v>776</v>
      </c>
      <c r="G183" s="211"/>
      <c r="H183" s="211"/>
      <c r="I183" s="211"/>
      <c r="J183" s="109">
        <f t="shared" si="61"/>
        <v>0</v>
      </c>
      <c r="K183" s="211"/>
      <c r="L183" s="211"/>
      <c r="M183" s="109">
        <f t="shared" si="95"/>
        <v>0</v>
      </c>
      <c r="N183" s="211"/>
      <c r="O183" s="211"/>
      <c r="P183" s="109">
        <f t="shared" si="96"/>
        <v>0</v>
      </c>
      <c r="Q183" s="211"/>
      <c r="R183" s="211"/>
      <c r="S183" s="109">
        <f t="shared" si="97"/>
        <v>0</v>
      </c>
      <c r="T183" s="221">
        <v>1000000</v>
      </c>
      <c r="U183" s="221">
        <v>4274220</v>
      </c>
    </row>
    <row r="184" spans="1:21" s="254" customFormat="1" ht="21" customHeight="1">
      <c r="A184" s="252"/>
      <c r="B184" s="252"/>
      <c r="C184" s="252"/>
      <c r="D184" s="252"/>
      <c r="E184" s="253"/>
      <c r="F184" s="243" t="s">
        <v>777</v>
      </c>
      <c r="G184" s="211"/>
      <c r="H184" s="211"/>
      <c r="I184" s="211"/>
      <c r="J184" s="109">
        <f t="shared" si="61"/>
        <v>0</v>
      </c>
      <c r="K184" s="211"/>
      <c r="L184" s="211"/>
      <c r="M184" s="109">
        <f t="shared" si="95"/>
        <v>0</v>
      </c>
      <c r="N184" s="211"/>
      <c r="O184" s="211"/>
      <c r="P184" s="109">
        <f t="shared" si="96"/>
        <v>0</v>
      </c>
      <c r="Q184" s="211"/>
      <c r="R184" s="211"/>
      <c r="S184" s="109">
        <f t="shared" si="97"/>
        <v>0</v>
      </c>
      <c r="T184" s="221">
        <v>1000000</v>
      </c>
      <c r="U184" s="221">
        <v>5193580</v>
      </c>
    </row>
    <row r="185" spans="1:21" s="254" customFormat="1" ht="21" customHeight="1">
      <c r="A185" s="252"/>
      <c r="B185" s="252"/>
      <c r="C185" s="252"/>
      <c r="D185" s="252"/>
      <c r="E185" s="253"/>
      <c r="F185" s="243" t="s">
        <v>778</v>
      </c>
      <c r="G185" s="211"/>
      <c r="H185" s="211"/>
      <c r="I185" s="211"/>
      <c r="J185" s="109">
        <f t="shared" si="61"/>
        <v>0</v>
      </c>
      <c r="K185" s="211"/>
      <c r="L185" s="211"/>
      <c r="M185" s="109">
        <f t="shared" si="95"/>
        <v>0</v>
      </c>
      <c r="N185" s="211"/>
      <c r="O185" s="211"/>
      <c r="P185" s="109">
        <f t="shared" si="96"/>
        <v>0</v>
      </c>
      <c r="Q185" s="211"/>
      <c r="R185" s="211"/>
      <c r="S185" s="109">
        <f t="shared" si="97"/>
        <v>0</v>
      </c>
      <c r="T185" s="221">
        <v>3013560</v>
      </c>
      <c r="U185" s="221">
        <v>5365808</v>
      </c>
    </row>
    <row r="186" spans="1:21" s="289" customFormat="1" ht="12" customHeight="1">
      <c r="A186" s="252"/>
      <c r="B186" s="252"/>
      <c r="C186" s="252"/>
      <c r="D186" s="252"/>
      <c r="E186" s="288">
        <v>5</v>
      </c>
      <c r="F186" s="275" t="s">
        <v>779</v>
      </c>
      <c r="G186" s="285"/>
      <c r="H186" s="285"/>
      <c r="I186" s="285"/>
      <c r="J186" s="286"/>
      <c r="K186" s="285">
        <f>SUM(K187:K198)</f>
        <v>12860972</v>
      </c>
      <c r="L186" s="285">
        <f t="shared" ref="L186:M186" si="98">SUM(L187:L198)</f>
        <v>0</v>
      </c>
      <c r="M186" s="285">
        <f t="shared" si="98"/>
        <v>12860972</v>
      </c>
      <c r="N186" s="285">
        <f>SUM(N187:N198)</f>
        <v>0</v>
      </c>
      <c r="O186" s="285">
        <f t="shared" ref="O186:P186" si="99">SUM(O187:O198)</f>
        <v>0</v>
      </c>
      <c r="P186" s="285">
        <f t="shared" si="99"/>
        <v>12860972</v>
      </c>
      <c r="Q186" s="285">
        <f>SUM(Q187:Q198)</f>
        <v>0</v>
      </c>
      <c r="R186" s="285">
        <f t="shared" ref="R186:S186" si="100">SUM(R187:R198)</f>
        <v>0</v>
      </c>
      <c r="S186" s="109">
        <f t="shared" si="100"/>
        <v>12860972</v>
      </c>
      <c r="T186" s="287"/>
      <c r="U186" s="287"/>
    </row>
    <row r="187" spans="1:21" s="254" customFormat="1" ht="42.75" customHeight="1">
      <c r="A187" s="252"/>
      <c r="B187" s="252"/>
      <c r="C187" s="252"/>
      <c r="D187" s="252"/>
      <c r="E187" s="258"/>
      <c r="F187" s="256" t="s">
        <v>750</v>
      </c>
      <c r="G187" s="211"/>
      <c r="H187" s="211"/>
      <c r="I187" s="211"/>
      <c r="J187" s="109"/>
      <c r="K187" s="233">
        <v>2312296</v>
      </c>
      <c r="L187" s="211"/>
      <c r="M187" s="109">
        <f t="shared" si="95"/>
        <v>2312296</v>
      </c>
      <c r="N187" s="233"/>
      <c r="O187" s="211"/>
      <c r="P187" s="109">
        <f t="shared" ref="P187:P198" si="101">M187+N187-O187</f>
        <v>2312296</v>
      </c>
      <c r="Q187" s="233"/>
      <c r="R187" s="211"/>
      <c r="S187" s="109">
        <f t="shared" ref="S187:S198" si="102">P187+Q187-R187</f>
        <v>2312296</v>
      </c>
      <c r="T187" s="221"/>
      <c r="U187" s="221"/>
    </row>
    <row r="188" spans="1:21" s="254" customFormat="1" ht="25.5">
      <c r="A188" s="252"/>
      <c r="B188" s="252"/>
      <c r="C188" s="252"/>
      <c r="D188" s="252"/>
      <c r="E188" s="258"/>
      <c r="F188" s="256" t="s">
        <v>751</v>
      </c>
      <c r="G188" s="211"/>
      <c r="H188" s="211"/>
      <c r="I188" s="211"/>
      <c r="J188" s="109"/>
      <c r="K188" s="233">
        <v>615052</v>
      </c>
      <c r="L188" s="211"/>
      <c r="M188" s="109">
        <f t="shared" si="95"/>
        <v>615052</v>
      </c>
      <c r="N188" s="233"/>
      <c r="O188" s="211"/>
      <c r="P188" s="109">
        <f t="shared" si="101"/>
        <v>615052</v>
      </c>
      <c r="Q188" s="233"/>
      <c r="R188" s="211"/>
      <c r="S188" s="109">
        <f t="shared" si="102"/>
        <v>615052</v>
      </c>
      <c r="T188" s="221"/>
      <c r="U188" s="221"/>
    </row>
    <row r="189" spans="1:21" s="254" customFormat="1" ht="25.5">
      <c r="A189" s="252"/>
      <c r="B189" s="252"/>
      <c r="C189" s="252"/>
      <c r="D189" s="252"/>
      <c r="E189" s="258"/>
      <c r="F189" s="256" t="s">
        <v>752</v>
      </c>
      <c r="G189" s="211"/>
      <c r="H189" s="211"/>
      <c r="I189" s="211"/>
      <c r="J189" s="109"/>
      <c r="K189" s="233">
        <v>642119</v>
      </c>
      <c r="L189" s="211"/>
      <c r="M189" s="109">
        <f t="shared" si="95"/>
        <v>642119</v>
      </c>
      <c r="N189" s="233"/>
      <c r="O189" s="211"/>
      <c r="P189" s="109">
        <f t="shared" si="101"/>
        <v>642119</v>
      </c>
      <c r="Q189" s="233"/>
      <c r="R189" s="211"/>
      <c r="S189" s="109">
        <f t="shared" si="102"/>
        <v>642119</v>
      </c>
      <c r="T189" s="221"/>
      <c r="U189" s="221"/>
    </row>
    <row r="190" spans="1:21" s="254" customFormat="1" ht="25.5">
      <c r="A190" s="252"/>
      <c r="B190" s="252"/>
      <c r="C190" s="252"/>
      <c r="D190" s="252"/>
      <c r="E190" s="258"/>
      <c r="F190" s="256" t="s">
        <v>753</v>
      </c>
      <c r="G190" s="211"/>
      <c r="H190" s="211"/>
      <c r="I190" s="211"/>
      <c r="J190" s="109"/>
      <c r="K190" s="233">
        <v>642119</v>
      </c>
      <c r="L190" s="211"/>
      <c r="M190" s="109">
        <f t="shared" si="95"/>
        <v>642119</v>
      </c>
      <c r="N190" s="233"/>
      <c r="O190" s="211"/>
      <c r="P190" s="109">
        <f t="shared" si="101"/>
        <v>642119</v>
      </c>
      <c r="Q190" s="233"/>
      <c r="R190" s="211"/>
      <c r="S190" s="109">
        <f t="shared" si="102"/>
        <v>642119</v>
      </c>
      <c r="T190" s="221"/>
      <c r="U190" s="221"/>
    </row>
    <row r="191" spans="1:21" s="254" customFormat="1" ht="25.5">
      <c r="A191" s="252"/>
      <c r="B191" s="252"/>
      <c r="C191" s="252"/>
      <c r="D191" s="252"/>
      <c r="E191" s="258"/>
      <c r="F191" s="256" t="s">
        <v>754</v>
      </c>
      <c r="G191" s="211"/>
      <c r="H191" s="211"/>
      <c r="I191" s="211"/>
      <c r="J191" s="109"/>
      <c r="K191" s="233">
        <v>642119</v>
      </c>
      <c r="L191" s="211"/>
      <c r="M191" s="109">
        <f t="shared" si="95"/>
        <v>642119</v>
      </c>
      <c r="N191" s="233"/>
      <c r="O191" s="211"/>
      <c r="P191" s="109">
        <f t="shared" si="101"/>
        <v>642119</v>
      </c>
      <c r="Q191" s="233"/>
      <c r="R191" s="211"/>
      <c r="S191" s="109">
        <f t="shared" si="102"/>
        <v>642119</v>
      </c>
      <c r="T191" s="221"/>
      <c r="U191" s="221"/>
    </row>
    <row r="192" spans="1:21" s="254" customFormat="1" ht="25.5">
      <c r="A192" s="252"/>
      <c r="B192" s="252"/>
      <c r="C192" s="252"/>
      <c r="D192" s="252"/>
      <c r="E192" s="258"/>
      <c r="F192" s="256" t="s">
        <v>755</v>
      </c>
      <c r="G192" s="211"/>
      <c r="H192" s="211"/>
      <c r="I192" s="211"/>
      <c r="J192" s="109"/>
      <c r="K192" s="233">
        <v>642119</v>
      </c>
      <c r="L192" s="211"/>
      <c r="M192" s="109">
        <f t="shared" si="95"/>
        <v>642119</v>
      </c>
      <c r="N192" s="233"/>
      <c r="O192" s="211"/>
      <c r="P192" s="109">
        <f t="shared" si="101"/>
        <v>642119</v>
      </c>
      <c r="Q192" s="233"/>
      <c r="R192" s="211"/>
      <c r="S192" s="109">
        <f t="shared" si="102"/>
        <v>642119</v>
      </c>
      <c r="T192" s="221"/>
      <c r="U192" s="221"/>
    </row>
    <row r="193" spans="1:24" s="254" customFormat="1" ht="25.5">
      <c r="A193" s="252"/>
      <c r="B193" s="252"/>
      <c r="C193" s="252"/>
      <c r="D193" s="252"/>
      <c r="E193" s="258"/>
      <c r="F193" s="256" t="s">
        <v>756</v>
      </c>
      <c r="G193" s="211"/>
      <c r="H193" s="211"/>
      <c r="I193" s="211"/>
      <c r="J193" s="109"/>
      <c r="K193" s="233">
        <v>642119</v>
      </c>
      <c r="L193" s="211"/>
      <c r="M193" s="109">
        <f t="shared" si="95"/>
        <v>642119</v>
      </c>
      <c r="N193" s="233"/>
      <c r="O193" s="211"/>
      <c r="P193" s="109">
        <f t="shared" si="101"/>
        <v>642119</v>
      </c>
      <c r="Q193" s="233"/>
      <c r="R193" s="211"/>
      <c r="S193" s="109">
        <f t="shared" si="102"/>
        <v>642119</v>
      </c>
      <c r="T193" s="221"/>
      <c r="U193" s="221"/>
    </row>
    <row r="194" spans="1:24" s="254" customFormat="1" ht="25.5">
      <c r="A194" s="252"/>
      <c r="B194" s="252"/>
      <c r="C194" s="252"/>
      <c r="D194" s="252"/>
      <c r="E194" s="258"/>
      <c r="F194" s="256" t="s">
        <v>757</v>
      </c>
      <c r="G194" s="211"/>
      <c r="H194" s="211"/>
      <c r="I194" s="211"/>
      <c r="J194" s="109"/>
      <c r="K194" s="233">
        <v>642119</v>
      </c>
      <c r="L194" s="211"/>
      <c r="M194" s="109">
        <f t="shared" si="95"/>
        <v>642119</v>
      </c>
      <c r="N194" s="233"/>
      <c r="O194" s="211"/>
      <c r="P194" s="109">
        <f t="shared" si="101"/>
        <v>642119</v>
      </c>
      <c r="Q194" s="233"/>
      <c r="R194" s="211"/>
      <c r="S194" s="109">
        <f t="shared" si="102"/>
        <v>642119</v>
      </c>
      <c r="T194" s="221"/>
      <c r="U194" s="221"/>
    </row>
    <row r="195" spans="1:24" s="254" customFormat="1" ht="25.5">
      <c r="A195" s="252"/>
      <c r="B195" s="252"/>
      <c r="C195" s="252"/>
      <c r="D195" s="252"/>
      <c r="E195" s="258"/>
      <c r="F195" s="256" t="s">
        <v>758</v>
      </c>
      <c r="G195" s="211"/>
      <c r="H195" s="211"/>
      <c r="I195" s="211"/>
      <c r="J195" s="109"/>
      <c r="K195" s="233">
        <v>642119</v>
      </c>
      <c r="L195" s="211"/>
      <c r="M195" s="109">
        <f t="shared" si="95"/>
        <v>642119</v>
      </c>
      <c r="N195" s="233"/>
      <c r="O195" s="211"/>
      <c r="P195" s="109">
        <f t="shared" si="101"/>
        <v>642119</v>
      </c>
      <c r="Q195" s="233"/>
      <c r="R195" s="211"/>
      <c r="S195" s="109">
        <f t="shared" si="102"/>
        <v>642119</v>
      </c>
      <c r="T195" s="221"/>
      <c r="U195" s="221"/>
    </row>
    <row r="196" spans="1:24" s="254" customFormat="1" ht="29.25" customHeight="1">
      <c r="A196" s="252"/>
      <c r="B196" s="252"/>
      <c r="C196" s="252"/>
      <c r="D196" s="252"/>
      <c r="E196" s="258"/>
      <c r="F196" s="256" t="s">
        <v>759</v>
      </c>
      <c r="G196" s="211"/>
      <c r="H196" s="211"/>
      <c r="I196" s="211"/>
      <c r="J196" s="109"/>
      <c r="K196" s="233">
        <v>1315289</v>
      </c>
      <c r="L196" s="211"/>
      <c r="M196" s="109">
        <f t="shared" si="95"/>
        <v>1315289</v>
      </c>
      <c r="N196" s="233"/>
      <c r="O196" s="211"/>
      <c r="P196" s="109">
        <f t="shared" si="101"/>
        <v>1315289</v>
      </c>
      <c r="Q196" s="233"/>
      <c r="R196" s="211"/>
      <c r="S196" s="109">
        <f t="shared" si="102"/>
        <v>1315289</v>
      </c>
      <c r="T196" s="221"/>
      <c r="U196" s="221"/>
    </row>
    <row r="197" spans="1:24" s="254" customFormat="1" ht="29.25" customHeight="1">
      <c r="A197" s="252"/>
      <c r="B197" s="252"/>
      <c r="C197" s="252"/>
      <c r="D197" s="252"/>
      <c r="E197" s="258"/>
      <c r="F197" s="256" t="s">
        <v>760</v>
      </c>
      <c r="G197" s="211"/>
      <c r="H197" s="211"/>
      <c r="I197" s="211"/>
      <c r="J197" s="109"/>
      <c r="K197" s="233">
        <v>657644</v>
      </c>
      <c r="L197" s="211"/>
      <c r="M197" s="109">
        <f t="shared" si="95"/>
        <v>657644</v>
      </c>
      <c r="N197" s="233"/>
      <c r="O197" s="211"/>
      <c r="P197" s="109">
        <f t="shared" si="101"/>
        <v>657644</v>
      </c>
      <c r="Q197" s="233"/>
      <c r="R197" s="211"/>
      <c r="S197" s="109">
        <f t="shared" si="102"/>
        <v>657644</v>
      </c>
      <c r="T197" s="221"/>
      <c r="U197" s="221"/>
    </row>
    <row r="198" spans="1:24" s="254" customFormat="1" ht="38.25">
      <c r="A198" s="252"/>
      <c r="B198" s="252"/>
      <c r="C198" s="252"/>
      <c r="D198" s="252"/>
      <c r="E198" s="258"/>
      <c r="F198" s="256" t="s">
        <v>771</v>
      </c>
      <c r="G198" s="211"/>
      <c r="H198" s="211"/>
      <c r="I198" s="211"/>
      <c r="J198" s="109"/>
      <c r="K198" s="233">
        <v>3465858</v>
      </c>
      <c r="L198" s="211"/>
      <c r="M198" s="109">
        <f t="shared" si="95"/>
        <v>3465858</v>
      </c>
      <c r="N198" s="233"/>
      <c r="O198" s="211"/>
      <c r="P198" s="109">
        <f t="shared" si="101"/>
        <v>3465858</v>
      </c>
      <c r="Q198" s="233"/>
      <c r="R198" s="211"/>
      <c r="S198" s="109">
        <f t="shared" si="102"/>
        <v>3465858</v>
      </c>
      <c r="T198" s="221"/>
      <c r="U198" s="221"/>
    </row>
    <row r="199" spans="1:24" s="225" customFormat="1" ht="13.5" customHeight="1">
      <c r="A199" s="222"/>
      <c r="B199" s="222"/>
      <c r="C199" s="222"/>
      <c r="D199" s="218" t="s">
        <v>253</v>
      </c>
      <c r="E199" s="219"/>
      <c r="F199" s="243" t="s">
        <v>300</v>
      </c>
      <c r="G199" s="224">
        <f>G200</f>
        <v>2163155</v>
      </c>
      <c r="H199" s="224">
        <f t="shared" ref="H199:U199" si="103">H200</f>
        <v>0</v>
      </c>
      <c r="I199" s="224">
        <f t="shared" si="103"/>
        <v>0</v>
      </c>
      <c r="J199" s="224">
        <f t="shared" ref="J199:S199" si="104">J200+J213</f>
        <v>2163155</v>
      </c>
      <c r="K199" s="224">
        <f t="shared" si="104"/>
        <v>3218575</v>
      </c>
      <c r="L199" s="224">
        <f t="shared" si="104"/>
        <v>1946929</v>
      </c>
      <c r="M199" s="224">
        <f t="shared" si="104"/>
        <v>3434801</v>
      </c>
      <c r="N199" s="224">
        <f t="shared" si="104"/>
        <v>0</v>
      </c>
      <c r="O199" s="224">
        <f t="shared" si="104"/>
        <v>0</v>
      </c>
      <c r="P199" s="224">
        <f t="shared" si="104"/>
        <v>3434801</v>
      </c>
      <c r="Q199" s="224">
        <f t="shared" si="104"/>
        <v>216771</v>
      </c>
      <c r="R199" s="224">
        <f t="shared" si="104"/>
        <v>3251</v>
      </c>
      <c r="S199" s="224">
        <f t="shared" si="104"/>
        <v>3648321</v>
      </c>
      <c r="T199" s="224">
        <f t="shared" si="103"/>
        <v>4760613</v>
      </c>
      <c r="U199" s="224">
        <f t="shared" si="103"/>
        <v>3000000</v>
      </c>
    </row>
    <row r="200" spans="1:24" s="225" customFormat="1">
      <c r="A200" s="222"/>
      <c r="B200" s="222"/>
      <c r="C200" s="222"/>
      <c r="D200" s="222"/>
      <c r="E200" s="219" t="s">
        <v>113</v>
      </c>
      <c r="F200" s="220" t="s">
        <v>8</v>
      </c>
      <c r="G200" s="224">
        <f>SUM(G201:G207)</f>
        <v>2163155</v>
      </c>
      <c r="H200" s="224">
        <f t="shared" ref="H200:I200" si="105">SUM(H201:H207)</f>
        <v>0</v>
      </c>
      <c r="I200" s="224">
        <f t="shared" si="105"/>
        <v>0</v>
      </c>
      <c r="J200" s="224">
        <f>SUM(J201:J210)</f>
        <v>2163155</v>
      </c>
      <c r="K200" s="224">
        <f t="shared" ref="K200:U200" si="106">SUM(K201:K210)</f>
        <v>32534</v>
      </c>
      <c r="L200" s="224">
        <f t="shared" si="106"/>
        <v>1946929</v>
      </c>
      <c r="M200" s="224">
        <f t="shared" si="106"/>
        <v>248760</v>
      </c>
      <c r="N200" s="224">
        <f t="shared" si="106"/>
        <v>0</v>
      </c>
      <c r="O200" s="224">
        <f t="shared" si="106"/>
        <v>0</v>
      </c>
      <c r="P200" s="224">
        <f t="shared" si="106"/>
        <v>248760</v>
      </c>
      <c r="Q200" s="224">
        <f t="shared" si="106"/>
        <v>0</v>
      </c>
      <c r="R200" s="224">
        <f t="shared" si="106"/>
        <v>3251</v>
      </c>
      <c r="S200" s="224">
        <f t="shared" si="106"/>
        <v>245509</v>
      </c>
      <c r="T200" s="224">
        <f>SUM(T201:T210)</f>
        <v>4760613</v>
      </c>
      <c r="U200" s="224">
        <f t="shared" si="106"/>
        <v>3000000</v>
      </c>
      <c r="V200" s="242"/>
      <c r="W200" s="242"/>
      <c r="X200" s="242"/>
    </row>
    <row r="201" spans="1:24" s="225" customFormat="1" ht="25.5">
      <c r="A201" s="222"/>
      <c r="B201" s="222"/>
      <c r="C201" s="222"/>
      <c r="D201" s="222"/>
      <c r="E201" s="219"/>
      <c r="F201" s="243" t="s">
        <v>780</v>
      </c>
      <c r="G201" s="211">
        <v>800000</v>
      </c>
      <c r="H201" s="211"/>
      <c r="I201" s="211"/>
      <c r="J201" s="109">
        <f t="shared" si="61"/>
        <v>800000</v>
      </c>
      <c r="K201" s="211"/>
      <c r="L201" s="211">
        <v>714872</v>
      </c>
      <c r="M201" s="109">
        <f t="shared" ref="M201:M207" si="107">J201+K201-L201</f>
        <v>85128</v>
      </c>
      <c r="N201" s="211"/>
      <c r="O201" s="211"/>
      <c r="P201" s="109">
        <f t="shared" ref="P201:P207" si="108">M201+N201-O201</f>
        <v>85128</v>
      </c>
      <c r="Q201" s="211"/>
      <c r="R201" s="211"/>
      <c r="S201" s="109">
        <f t="shared" ref="S201:S207" si="109">P201+Q201-R201</f>
        <v>85128</v>
      </c>
      <c r="T201" s="224">
        <v>1711285</v>
      </c>
      <c r="U201" s="224"/>
    </row>
    <row r="202" spans="1:24" s="225" customFormat="1" ht="25.5">
      <c r="A202" s="222"/>
      <c r="B202" s="222"/>
      <c r="C202" s="222"/>
      <c r="D202" s="222"/>
      <c r="E202" s="219"/>
      <c r="F202" s="243" t="s">
        <v>781</v>
      </c>
      <c r="G202" s="211">
        <v>596084</v>
      </c>
      <c r="H202" s="211"/>
      <c r="I202" s="211"/>
      <c r="J202" s="109">
        <f t="shared" si="61"/>
        <v>596084</v>
      </c>
      <c r="K202" s="211"/>
      <c r="L202" s="211">
        <v>538896</v>
      </c>
      <c r="M202" s="109">
        <f t="shared" si="107"/>
        <v>57188</v>
      </c>
      <c r="N202" s="211"/>
      <c r="O202" s="211"/>
      <c r="P202" s="109">
        <f t="shared" si="108"/>
        <v>57188</v>
      </c>
      <c r="Q202" s="211"/>
      <c r="R202" s="211"/>
      <c r="S202" s="109">
        <f t="shared" si="109"/>
        <v>57188</v>
      </c>
      <c r="T202" s="224"/>
      <c r="U202" s="224"/>
    </row>
    <row r="203" spans="1:24" s="225" customFormat="1" ht="25.5">
      <c r="A203" s="222"/>
      <c r="B203" s="222"/>
      <c r="C203" s="222"/>
      <c r="D203" s="222"/>
      <c r="E203" s="219"/>
      <c r="F203" s="243" t="s">
        <v>782</v>
      </c>
      <c r="G203" s="211">
        <v>767071</v>
      </c>
      <c r="H203" s="211"/>
      <c r="I203" s="211"/>
      <c r="J203" s="109">
        <f t="shared" si="61"/>
        <v>767071</v>
      </c>
      <c r="K203" s="211"/>
      <c r="L203" s="211">
        <v>693161</v>
      </c>
      <c r="M203" s="109">
        <f t="shared" si="107"/>
        <v>73910</v>
      </c>
      <c r="N203" s="211"/>
      <c r="O203" s="211"/>
      <c r="P203" s="109">
        <f t="shared" si="108"/>
        <v>73910</v>
      </c>
      <c r="Q203" s="211"/>
      <c r="R203" s="211"/>
      <c r="S203" s="109">
        <f t="shared" si="109"/>
        <v>73910</v>
      </c>
      <c r="T203" s="224"/>
      <c r="U203" s="224"/>
    </row>
    <row r="204" spans="1:24" s="225" customFormat="1" ht="25.5">
      <c r="A204" s="222"/>
      <c r="B204" s="222"/>
      <c r="C204" s="222"/>
      <c r="D204" s="222"/>
      <c r="E204" s="219"/>
      <c r="F204" s="243" t="s">
        <v>783</v>
      </c>
      <c r="G204" s="211"/>
      <c r="H204" s="211"/>
      <c r="I204" s="211"/>
      <c r="J204" s="109">
        <f t="shared" ref="J204:J289" si="110">G204+H204-I204</f>
        <v>0</v>
      </c>
      <c r="K204" s="211"/>
      <c r="L204" s="211"/>
      <c r="M204" s="109">
        <f t="shared" si="107"/>
        <v>0</v>
      </c>
      <c r="N204" s="211"/>
      <c r="O204" s="211"/>
      <c r="P204" s="109">
        <f t="shared" si="108"/>
        <v>0</v>
      </c>
      <c r="Q204" s="211"/>
      <c r="R204" s="211"/>
      <c r="S204" s="109">
        <f t="shared" si="109"/>
        <v>0</v>
      </c>
      <c r="T204" s="224">
        <v>49328</v>
      </c>
      <c r="U204" s="224"/>
    </row>
    <row r="205" spans="1:24" s="225" customFormat="1">
      <c r="A205" s="222"/>
      <c r="B205" s="222"/>
      <c r="C205" s="222"/>
      <c r="D205" s="222"/>
      <c r="E205" s="219"/>
      <c r="F205" s="220" t="s">
        <v>784</v>
      </c>
      <c r="G205" s="211"/>
      <c r="H205" s="211"/>
      <c r="I205" s="211"/>
      <c r="J205" s="109">
        <f t="shared" si="110"/>
        <v>0</v>
      </c>
      <c r="K205" s="211"/>
      <c r="L205" s="211"/>
      <c r="M205" s="109">
        <f t="shared" si="107"/>
        <v>0</v>
      </c>
      <c r="N205" s="211"/>
      <c r="O205" s="211"/>
      <c r="P205" s="109">
        <f t="shared" si="108"/>
        <v>0</v>
      </c>
      <c r="Q205" s="211"/>
      <c r="R205" s="211"/>
      <c r="S205" s="109">
        <f t="shared" si="109"/>
        <v>0</v>
      </c>
      <c r="T205" s="224">
        <v>1000000</v>
      </c>
      <c r="U205" s="224">
        <v>1000000</v>
      </c>
    </row>
    <row r="206" spans="1:24" s="225" customFormat="1" ht="15" customHeight="1">
      <c r="A206" s="222"/>
      <c r="B206" s="222"/>
      <c r="C206" s="222"/>
      <c r="D206" s="222"/>
      <c r="E206" s="219"/>
      <c r="F206" s="220" t="s">
        <v>785</v>
      </c>
      <c r="G206" s="211"/>
      <c r="H206" s="211"/>
      <c r="I206" s="211"/>
      <c r="J206" s="109">
        <f t="shared" si="110"/>
        <v>0</v>
      </c>
      <c r="K206" s="211"/>
      <c r="L206" s="211"/>
      <c r="M206" s="109">
        <f t="shared" si="107"/>
        <v>0</v>
      </c>
      <c r="N206" s="211"/>
      <c r="O206" s="211"/>
      <c r="P206" s="109">
        <f t="shared" si="108"/>
        <v>0</v>
      </c>
      <c r="Q206" s="211"/>
      <c r="R206" s="211"/>
      <c r="S206" s="109">
        <f t="shared" si="109"/>
        <v>0</v>
      </c>
      <c r="T206" s="224">
        <v>500000</v>
      </c>
      <c r="U206" s="224">
        <v>500000</v>
      </c>
    </row>
    <row r="207" spans="1:24" s="225" customFormat="1" ht="25.5">
      <c r="A207" s="222"/>
      <c r="B207" s="222"/>
      <c r="C207" s="222"/>
      <c r="D207" s="222"/>
      <c r="E207" s="219"/>
      <c r="F207" s="220" t="s">
        <v>786</v>
      </c>
      <c r="G207" s="211"/>
      <c r="H207" s="211"/>
      <c r="I207" s="211"/>
      <c r="J207" s="109">
        <f t="shared" si="110"/>
        <v>0</v>
      </c>
      <c r="K207" s="211"/>
      <c r="L207" s="211"/>
      <c r="M207" s="109">
        <f t="shared" si="107"/>
        <v>0</v>
      </c>
      <c r="N207" s="211"/>
      <c r="O207" s="211"/>
      <c r="P207" s="109">
        <f t="shared" si="108"/>
        <v>0</v>
      </c>
      <c r="Q207" s="211"/>
      <c r="R207" s="211"/>
      <c r="S207" s="109">
        <f t="shared" si="109"/>
        <v>0</v>
      </c>
      <c r="T207" s="224">
        <v>500000</v>
      </c>
      <c r="U207" s="224">
        <v>500000</v>
      </c>
    </row>
    <row r="208" spans="1:24" s="225" customFormat="1" ht="38.25">
      <c r="A208" s="222"/>
      <c r="B208" s="222"/>
      <c r="C208" s="222"/>
      <c r="D208" s="222"/>
      <c r="E208" s="219"/>
      <c r="F208" s="220" t="s">
        <v>787</v>
      </c>
      <c r="G208" s="211"/>
      <c r="H208" s="211"/>
      <c r="I208" s="211"/>
      <c r="J208" s="109"/>
      <c r="K208" s="211"/>
      <c r="L208" s="211"/>
      <c r="M208" s="109"/>
      <c r="N208" s="211"/>
      <c r="O208" s="211"/>
      <c r="P208" s="109"/>
      <c r="Q208" s="211"/>
      <c r="R208" s="211"/>
      <c r="S208" s="109"/>
      <c r="T208" s="224">
        <v>500000</v>
      </c>
      <c r="U208" s="224">
        <v>500000</v>
      </c>
    </row>
    <row r="209" spans="1:21" s="225" customFormat="1" ht="38.25">
      <c r="A209" s="222"/>
      <c r="B209" s="222"/>
      <c r="C209" s="222"/>
      <c r="D209" s="222"/>
      <c r="E209" s="219"/>
      <c r="F209" s="220" t="s">
        <v>788</v>
      </c>
      <c r="G209" s="211"/>
      <c r="H209" s="211"/>
      <c r="I209" s="211"/>
      <c r="J209" s="109"/>
      <c r="K209" s="211"/>
      <c r="L209" s="211"/>
      <c r="M209" s="109"/>
      <c r="N209" s="211"/>
      <c r="O209" s="211"/>
      <c r="P209" s="109"/>
      <c r="Q209" s="211"/>
      <c r="R209" s="211"/>
      <c r="S209" s="109"/>
      <c r="T209" s="224">
        <v>500000</v>
      </c>
      <c r="U209" s="224">
        <v>500000</v>
      </c>
    </row>
    <row r="210" spans="1:21" s="231" customFormat="1">
      <c r="A210" s="226"/>
      <c r="B210" s="226"/>
      <c r="C210" s="226"/>
      <c r="D210" s="226"/>
      <c r="E210" s="244"/>
      <c r="F210" s="216" t="s">
        <v>676</v>
      </c>
      <c r="G210" s="217"/>
      <c r="H210" s="217"/>
      <c r="I210" s="217"/>
      <c r="J210" s="229">
        <f>SUM(J211:J212)</f>
        <v>0</v>
      </c>
      <c r="K210" s="229">
        <f t="shared" ref="K210:S210" si="111">SUM(K211:K212)</f>
        <v>32534</v>
      </c>
      <c r="L210" s="229">
        <f t="shared" si="111"/>
        <v>0</v>
      </c>
      <c r="M210" s="229">
        <f t="shared" si="111"/>
        <v>32534</v>
      </c>
      <c r="N210" s="229">
        <f t="shared" si="111"/>
        <v>0</v>
      </c>
      <c r="O210" s="229">
        <f t="shared" si="111"/>
        <v>0</v>
      </c>
      <c r="P210" s="229">
        <f t="shared" si="111"/>
        <v>32534</v>
      </c>
      <c r="Q210" s="229">
        <f t="shared" si="111"/>
        <v>0</v>
      </c>
      <c r="R210" s="229">
        <f t="shared" si="111"/>
        <v>3251</v>
      </c>
      <c r="S210" s="229">
        <f t="shared" si="111"/>
        <v>29283</v>
      </c>
      <c r="T210" s="230"/>
      <c r="U210" s="230"/>
    </row>
    <row r="211" spans="1:21" s="225" customFormat="1" ht="38.25">
      <c r="A211" s="222"/>
      <c r="B211" s="222"/>
      <c r="C211" s="222"/>
      <c r="D211" s="222"/>
      <c r="E211" s="219"/>
      <c r="F211" s="220" t="s">
        <v>789</v>
      </c>
      <c r="G211" s="211"/>
      <c r="H211" s="211"/>
      <c r="I211" s="211"/>
      <c r="J211" s="109"/>
      <c r="K211" s="211">
        <v>18121</v>
      </c>
      <c r="L211" s="211"/>
      <c r="M211" s="109">
        <f t="shared" ref="M211:M216" si="112">J211+K211-L211</f>
        <v>18121</v>
      </c>
      <c r="N211" s="211"/>
      <c r="O211" s="211"/>
      <c r="P211" s="109">
        <f t="shared" ref="P211:P212" si="113">M211+N211-O211</f>
        <v>18121</v>
      </c>
      <c r="Q211" s="211"/>
      <c r="R211" s="211">
        <v>1811</v>
      </c>
      <c r="S211" s="109">
        <f t="shared" ref="S211:S212" si="114">P211+Q211-R211</f>
        <v>16310</v>
      </c>
      <c r="T211" s="224"/>
      <c r="U211" s="224"/>
    </row>
    <row r="212" spans="1:21" s="225" customFormat="1" ht="37.5" customHeight="1">
      <c r="A212" s="222"/>
      <c r="B212" s="222"/>
      <c r="C212" s="222"/>
      <c r="D212" s="222"/>
      <c r="E212" s="219"/>
      <c r="F212" s="220" t="s">
        <v>790</v>
      </c>
      <c r="G212" s="211"/>
      <c r="H212" s="211"/>
      <c r="I212" s="211"/>
      <c r="J212" s="109"/>
      <c r="K212" s="211">
        <v>14413</v>
      </c>
      <c r="L212" s="211"/>
      <c r="M212" s="109">
        <f t="shared" si="112"/>
        <v>14413</v>
      </c>
      <c r="N212" s="211"/>
      <c r="O212" s="211"/>
      <c r="P212" s="109">
        <f t="shared" si="113"/>
        <v>14413</v>
      </c>
      <c r="Q212" s="211"/>
      <c r="R212" s="211">
        <v>1440</v>
      </c>
      <c r="S212" s="109">
        <f t="shared" si="114"/>
        <v>12973</v>
      </c>
      <c r="T212" s="224"/>
      <c r="U212" s="224"/>
    </row>
    <row r="213" spans="1:21" s="225" customFormat="1">
      <c r="A213" s="222"/>
      <c r="B213" s="222"/>
      <c r="C213" s="222"/>
      <c r="D213" s="222"/>
      <c r="E213" s="256" t="s">
        <v>214</v>
      </c>
      <c r="F213" s="257" t="s">
        <v>779</v>
      </c>
      <c r="G213" s="211"/>
      <c r="H213" s="211"/>
      <c r="I213" s="211"/>
      <c r="J213" s="109">
        <f>SUM(J214:J216)</f>
        <v>0</v>
      </c>
      <c r="K213" s="109">
        <f t="shared" ref="K213:S213" si="115">SUM(K214:K216)</f>
        <v>3186041</v>
      </c>
      <c r="L213" s="109">
        <f t="shared" si="115"/>
        <v>0</v>
      </c>
      <c r="M213" s="109">
        <f t="shared" si="115"/>
        <v>3186041</v>
      </c>
      <c r="N213" s="109">
        <f t="shared" si="115"/>
        <v>0</v>
      </c>
      <c r="O213" s="109">
        <f t="shared" si="115"/>
        <v>0</v>
      </c>
      <c r="P213" s="109">
        <f t="shared" si="115"/>
        <v>3186041</v>
      </c>
      <c r="Q213" s="109">
        <f t="shared" si="115"/>
        <v>216771</v>
      </c>
      <c r="R213" s="109">
        <f t="shared" si="115"/>
        <v>0</v>
      </c>
      <c r="S213" s="109">
        <f t="shared" si="115"/>
        <v>3402812</v>
      </c>
      <c r="T213" s="224"/>
      <c r="U213" s="224"/>
    </row>
    <row r="214" spans="1:21" s="225" customFormat="1" ht="25.5">
      <c r="A214" s="222"/>
      <c r="B214" s="222"/>
      <c r="C214" s="222"/>
      <c r="D214" s="222"/>
      <c r="E214" s="219"/>
      <c r="F214" s="243" t="s">
        <v>780</v>
      </c>
      <c r="G214" s="211"/>
      <c r="H214" s="211"/>
      <c r="I214" s="211"/>
      <c r="J214" s="109"/>
      <c r="K214" s="211">
        <v>304687</v>
      </c>
      <c r="L214" s="211"/>
      <c r="M214" s="109">
        <f t="shared" si="112"/>
        <v>304687</v>
      </c>
      <c r="N214" s="211"/>
      <c r="O214" s="211"/>
      <c r="P214" s="109">
        <f t="shared" ref="P214:P216" si="116">M214+N214-O214</f>
        <v>304687</v>
      </c>
      <c r="Q214" s="211">
        <v>85674</v>
      </c>
      <c r="R214" s="211"/>
      <c r="S214" s="109">
        <f t="shared" ref="S214:S216" si="117">P214+Q214-R214</f>
        <v>390361</v>
      </c>
      <c r="T214" s="224"/>
      <c r="U214" s="224"/>
    </row>
    <row r="215" spans="1:21" s="225" customFormat="1" ht="25.5">
      <c r="A215" s="222"/>
      <c r="B215" s="222"/>
      <c r="C215" s="222"/>
      <c r="D215" s="222"/>
      <c r="E215" s="219"/>
      <c r="F215" s="243" t="s">
        <v>781</v>
      </c>
      <c r="G215" s="211"/>
      <c r="H215" s="211"/>
      <c r="I215" s="211"/>
      <c r="J215" s="109"/>
      <c r="K215" s="211">
        <v>455197</v>
      </c>
      <c r="L215" s="211"/>
      <c r="M215" s="109">
        <f t="shared" si="112"/>
        <v>455197</v>
      </c>
      <c r="N215" s="211"/>
      <c r="O215" s="211"/>
      <c r="P215" s="109">
        <f t="shared" si="116"/>
        <v>455197</v>
      </c>
      <c r="Q215" s="211">
        <v>57187</v>
      </c>
      <c r="R215" s="211"/>
      <c r="S215" s="109">
        <f t="shared" si="117"/>
        <v>512384</v>
      </c>
      <c r="T215" s="224"/>
      <c r="U215" s="224"/>
    </row>
    <row r="216" spans="1:21" s="225" customFormat="1" ht="25.5">
      <c r="A216" s="222"/>
      <c r="B216" s="222"/>
      <c r="C216" s="222"/>
      <c r="D216" s="222"/>
      <c r="E216" s="219"/>
      <c r="F216" s="243" t="s">
        <v>782</v>
      </c>
      <c r="G216" s="211"/>
      <c r="H216" s="211"/>
      <c r="I216" s="211"/>
      <c r="J216" s="109"/>
      <c r="K216" s="211">
        <v>2426157</v>
      </c>
      <c r="L216" s="211"/>
      <c r="M216" s="109">
        <f t="shared" si="112"/>
        <v>2426157</v>
      </c>
      <c r="N216" s="211"/>
      <c r="O216" s="211"/>
      <c r="P216" s="109">
        <f t="shared" si="116"/>
        <v>2426157</v>
      </c>
      <c r="Q216" s="211">
        <v>73910</v>
      </c>
      <c r="R216" s="211"/>
      <c r="S216" s="109">
        <f t="shared" si="117"/>
        <v>2500067</v>
      </c>
      <c r="T216" s="224"/>
      <c r="U216" s="224"/>
    </row>
    <row r="217" spans="1:21" s="225" customFormat="1">
      <c r="A217" s="222"/>
      <c r="B217" s="222"/>
      <c r="C217" s="222"/>
      <c r="D217" s="235" t="s">
        <v>390</v>
      </c>
      <c r="E217" s="235"/>
      <c r="F217" s="256" t="s">
        <v>391</v>
      </c>
      <c r="G217" s="211"/>
      <c r="H217" s="211"/>
      <c r="I217" s="211"/>
      <c r="J217" s="109"/>
      <c r="K217" s="259">
        <f t="shared" ref="K217:S217" si="118">K218</f>
        <v>12950</v>
      </c>
      <c r="L217" s="259">
        <f t="shared" si="118"/>
        <v>0</v>
      </c>
      <c r="M217" s="259">
        <f t="shared" si="118"/>
        <v>12950</v>
      </c>
      <c r="N217" s="259">
        <f t="shared" si="118"/>
        <v>0</v>
      </c>
      <c r="O217" s="259">
        <f t="shared" si="118"/>
        <v>0</v>
      </c>
      <c r="P217" s="259">
        <f t="shared" si="118"/>
        <v>12950</v>
      </c>
      <c r="Q217" s="259">
        <f t="shared" si="118"/>
        <v>0</v>
      </c>
      <c r="R217" s="259">
        <f t="shared" si="118"/>
        <v>1295</v>
      </c>
      <c r="S217" s="259">
        <f t="shared" si="118"/>
        <v>11655</v>
      </c>
      <c r="T217" s="224"/>
      <c r="U217" s="224"/>
    </row>
    <row r="218" spans="1:21" s="225" customFormat="1">
      <c r="A218" s="222"/>
      <c r="B218" s="222"/>
      <c r="C218" s="222"/>
      <c r="D218" s="260"/>
      <c r="E218" s="235" t="s">
        <v>113</v>
      </c>
      <c r="F218" s="261" t="s">
        <v>8</v>
      </c>
      <c r="G218" s="211"/>
      <c r="H218" s="211"/>
      <c r="I218" s="211"/>
      <c r="J218" s="109"/>
      <c r="K218" s="259">
        <f t="shared" ref="K218:S218" si="119">SUM(K220:K224)</f>
        <v>12950</v>
      </c>
      <c r="L218" s="259">
        <f t="shared" si="119"/>
        <v>0</v>
      </c>
      <c r="M218" s="259">
        <f t="shared" si="119"/>
        <v>12950</v>
      </c>
      <c r="N218" s="259">
        <f t="shared" si="119"/>
        <v>0</v>
      </c>
      <c r="O218" s="259">
        <f t="shared" si="119"/>
        <v>0</v>
      </c>
      <c r="P218" s="259">
        <f t="shared" si="119"/>
        <v>12950</v>
      </c>
      <c r="Q218" s="259">
        <f t="shared" si="119"/>
        <v>0</v>
      </c>
      <c r="R218" s="259">
        <f t="shared" si="119"/>
        <v>1295</v>
      </c>
      <c r="S218" s="259">
        <f t="shared" si="119"/>
        <v>11655</v>
      </c>
      <c r="T218" s="224"/>
      <c r="U218" s="224"/>
    </row>
    <row r="219" spans="1:21" s="225" customFormat="1">
      <c r="A219" s="222"/>
      <c r="B219" s="222"/>
      <c r="C219" s="222"/>
      <c r="D219" s="262"/>
      <c r="E219" s="239"/>
      <c r="F219" s="216" t="s">
        <v>676</v>
      </c>
      <c r="G219" s="211"/>
      <c r="H219" s="211"/>
      <c r="I219" s="211"/>
      <c r="J219" s="109"/>
      <c r="K219" s="263">
        <f t="shared" ref="K219:S219" si="120">SUM(K220:K224)</f>
        <v>12950</v>
      </c>
      <c r="L219" s="263">
        <f t="shared" si="120"/>
        <v>0</v>
      </c>
      <c r="M219" s="263">
        <f t="shared" si="120"/>
        <v>12950</v>
      </c>
      <c r="N219" s="263">
        <f t="shared" si="120"/>
        <v>0</v>
      </c>
      <c r="O219" s="263">
        <f t="shared" si="120"/>
        <v>0</v>
      </c>
      <c r="P219" s="263">
        <f t="shared" si="120"/>
        <v>12950</v>
      </c>
      <c r="Q219" s="263">
        <f t="shared" si="120"/>
        <v>0</v>
      </c>
      <c r="R219" s="263">
        <f t="shared" si="120"/>
        <v>1295</v>
      </c>
      <c r="S219" s="263">
        <f t="shared" si="120"/>
        <v>11655</v>
      </c>
      <c r="T219" s="224"/>
      <c r="U219" s="224"/>
    </row>
    <row r="220" spans="1:21" s="225" customFormat="1" ht="38.25">
      <c r="A220" s="222"/>
      <c r="B220" s="222"/>
      <c r="C220" s="222"/>
      <c r="D220" s="260"/>
      <c r="E220" s="235"/>
      <c r="F220" s="236" t="s">
        <v>791</v>
      </c>
      <c r="G220" s="211"/>
      <c r="H220" s="211"/>
      <c r="I220" s="211"/>
      <c r="J220" s="109"/>
      <c r="K220" s="233">
        <v>2590</v>
      </c>
      <c r="L220" s="211"/>
      <c r="M220" s="109">
        <f t="shared" ref="M220:M224" si="121">J220+K220-L220</f>
        <v>2590</v>
      </c>
      <c r="N220" s="233"/>
      <c r="O220" s="211"/>
      <c r="P220" s="109">
        <f t="shared" ref="P220:P224" si="122">M220+N220-O220</f>
        <v>2590</v>
      </c>
      <c r="Q220" s="233"/>
      <c r="R220" s="211">
        <v>259</v>
      </c>
      <c r="S220" s="109">
        <f t="shared" ref="S220:S224" si="123">P220+Q220-R220</f>
        <v>2331</v>
      </c>
      <c r="T220" s="224"/>
      <c r="U220" s="224"/>
    </row>
    <row r="221" spans="1:21" s="225" customFormat="1" ht="38.25">
      <c r="A221" s="222"/>
      <c r="B221" s="222"/>
      <c r="C221" s="222"/>
      <c r="D221" s="260"/>
      <c r="E221" s="235"/>
      <c r="F221" s="236" t="s">
        <v>792</v>
      </c>
      <c r="G221" s="211"/>
      <c r="H221" s="211"/>
      <c r="I221" s="211"/>
      <c r="J221" s="109"/>
      <c r="K221" s="233">
        <v>2590</v>
      </c>
      <c r="L221" s="211"/>
      <c r="M221" s="109">
        <f t="shared" si="121"/>
        <v>2590</v>
      </c>
      <c r="N221" s="233"/>
      <c r="O221" s="211"/>
      <c r="P221" s="109">
        <f t="shared" si="122"/>
        <v>2590</v>
      </c>
      <c r="Q221" s="233"/>
      <c r="R221" s="211">
        <v>259</v>
      </c>
      <c r="S221" s="109">
        <f t="shared" si="123"/>
        <v>2331</v>
      </c>
      <c r="T221" s="224"/>
      <c r="U221" s="224"/>
    </row>
    <row r="222" spans="1:21" s="225" customFormat="1" ht="38.25">
      <c r="A222" s="222"/>
      <c r="B222" s="222"/>
      <c r="C222" s="222"/>
      <c r="D222" s="260"/>
      <c r="E222" s="235"/>
      <c r="F222" s="236" t="s">
        <v>793</v>
      </c>
      <c r="G222" s="211"/>
      <c r="H222" s="211"/>
      <c r="I222" s="211"/>
      <c r="J222" s="109"/>
      <c r="K222" s="233">
        <v>2590</v>
      </c>
      <c r="L222" s="211"/>
      <c r="M222" s="109">
        <f t="shared" si="121"/>
        <v>2590</v>
      </c>
      <c r="N222" s="233"/>
      <c r="O222" s="211"/>
      <c r="P222" s="109">
        <f t="shared" si="122"/>
        <v>2590</v>
      </c>
      <c r="Q222" s="233"/>
      <c r="R222" s="211">
        <v>259</v>
      </c>
      <c r="S222" s="109">
        <f t="shared" si="123"/>
        <v>2331</v>
      </c>
      <c r="T222" s="224"/>
      <c r="U222" s="224"/>
    </row>
    <row r="223" spans="1:21" s="225" customFormat="1" ht="38.25">
      <c r="A223" s="222"/>
      <c r="B223" s="222"/>
      <c r="C223" s="222"/>
      <c r="D223" s="260"/>
      <c r="E223" s="235"/>
      <c r="F223" s="236" t="s">
        <v>794</v>
      </c>
      <c r="G223" s="211"/>
      <c r="H223" s="211"/>
      <c r="I223" s="211"/>
      <c r="J223" s="109"/>
      <c r="K223" s="233">
        <v>2590</v>
      </c>
      <c r="L223" s="211"/>
      <c r="M223" s="109">
        <f t="shared" si="121"/>
        <v>2590</v>
      </c>
      <c r="N223" s="233"/>
      <c r="O223" s="211"/>
      <c r="P223" s="109">
        <f t="shared" si="122"/>
        <v>2590</v>
      </c>
      <c r="Q223" s="233"/>
      <c r="R223" s="211">
        <v>259</v>
      </c>
      <c r="S223" s="109">
        <f t="shared" si="123"/>
        <v>2331</v>
      </c>
      <c r="T223" s="224"/>
      <c r="U223" s="224"/>
    </row>
    <row r="224" spans="1:21" s="225" customFormat="1" ht="38.25">
      <c r="A224" s="222"/>
      <c r="B224" s="222"/>
      <c r="C224" s="222"/>
      <c r="D224" s="260"/>
      <c r="E224" s="235"/>
      <c r="F224" s="236" t="s">
        <v>795</v>
      </c>
      <c r="G224" s="211"/>
      <c r="H224" s="211"/>
      <c r="I224" s="211"/>
      <c r="J224" s="109"/>
      <c r="K224" s="233">
        <v>2590</v>
      </c>
      <c r="L224" s="211"/>
      <c r="M224" s="109">
        <f t="shared" si="121"/>
        <v>2590</v>
      </c>
      <c r="N224" s="233"/>
      <c r="O224" s="211"/>
      <c r="P224" s="109">
        <f t="shared" si="122"/>
        <v>2590</v>
      </c>
      <c r="Q224" s="233"/>
      <c r="R224" s="211">
        <v>259</v>
      </c>
      <c r="S224" s="109">
        <f t="shared" si="123"/>
        <v>2331</v>
      </c>
      <c r="T224" s="224"/>
      <c r="U224" s="224"/>
    </row>
    <row r="225" spans="1:24" s="241" customFormat="1">
      <c r="A225" s="237"/>
      <c r="B225" s="237">
        <v>2</v>
      </c>
      <c r="C225" s="237"/>
      <c r="D225" s="237"/>
      <c r="E225" s="244"/>
      <c r="F225" s="264" t="s">
        <v>73</v>
      </c>
      <c r="G225" s="240">
        <f>G229+G272</f>
        <v>3536742</v>
      </c>
      <c r="H225" s="240">
        <f t="shared" ref="H225:I225" si="124">H229+H272</f>
        <v>0</v>
      </c>
      <c r="I225" s="240">
        <f t="shared" si="124"/>
        <v>0</v>
      </c>
      <c r="J225" s="221">
        <f>J226+J229+J272</f>
        <v>3536742</v>
      </c>
      <c r="K225" s="221">
        <f t="shared" ref="K225:U225" si="125">K226+K229+K272</f>
        <v>3784239</v>
      </c>
      <c r="L225" s="221">
        <f t="shared" si="125"/>
        <v>0</v>
      </c>
      <c r="M225" s="221">
        <f t="shared" si="125"/>
        <v>7320981</v>
      </c>
      <c r="N225" s="221">
        <f t="shared" si="125"/>
        <v>0</v>
      </c>
      <c r="O225" s="221">
        <f t="shared" si="125"/>
        <v>0</v>
      </c>
      <c r="P225" s="221">
        <f t="shared" si="125"/>
        <v>7320981</v>
      </c>
      <c r="Q225" s="221">
        <f t="shared" si="125"/>
        <v>2715034</v>
      </c>
      <c r="R225" s="221">
        <f t="shared" si="125"/>
        <v>83984</v>
      </c>
      <c r="S225" s="221">
        <f t="shared" si="125"/>
        <v>9952031</v>
      </c>
      <c r="T225" s="221">
        <f t="shared" si="125"/>
        <v>38077426</v>
      </c>
      <c r="U225" s="221">
        <f t="shared" si="125"/>
        <v>25608445</v>
      </c>
    </row>
    <row r="226" spans="1:24" s="241" customFormat="1" ht="25.5">
      <c r="A226" s="237"/>
      <c r="B226" s="237"/>
      <c r="C226" s="22" t="s">
        <v>466</v>
      </c>
      <c r="D226" s="11"/>
      <c r="E226" s="11"/>
      <c r="F226" s="1" t="s">
        <v>465</v>
      </c>
      <c r="G226" s="240"/>
      <c r="H226" s="240"/>
      <c r="I226" s="240"/>
      <c r="J226" s="221">
        <f>J227</f>
        <v>0</v>
      </c>
      <c r="K226" s="221">
        <f t="shared" ref="K226:U227" si="126">K227</f>
        <v>1000000</v>
      </c>
      <c r="L226" s="221">
        <f t="shared" si="126"/>
        <v>0</v>
      </c>
      <c r="M226" s="221">
        <f t="shared" si="126"/>
        <v>1000000</v>
      </c>
      <c r="N226" s="221">
        <f t="shared" si="126"/>
        <v>0</v>
      </c>
      <c r="O226" s="221">
        <f t="shared" si="126"/>
        <v>0</v>
      </c>
      <c r="P226" s="221">
        <f t="shared" si="126"/>
        <v>1000000</v>
      </c>
      <c r="Q226" s="221">
        <f t="shared" si="126"/>
        <v>2198147</v>
      </c>
      <c r="R226" s="221">
        <f t="shared" si="126"/>
        <v>0</v>
      </c>
      <c r="S226" s="221">
        <f t="shared" si="126"/>
        <v>3198147</v>
      </c>
      <c r="T226" s="240">
        <f t="shared" si="126"/>
        <v>0</v>
      </c>
      <c r="U226" s="240">
        <f t="shared" si="126"/>
        <v>0</v>
      </c>
    </row>
    <row r="227" spans="1:24" s="241" customFormat="1">
      <c r="A227" s="237"/>
      <c r="B227" s="237"/>
      <c r="C227" s="265"/>
      <c r="D227" s="11" t="s">
        <v>253</v>
      </c>
      <c r="E227" s="11"/>
      <c r="F227" s="1" t="s">
        <v>324</v>
      </c>
      <c r="G227" s="240"/>
      <c r="H227" s="240"/>
      <c r="I227" s="240"/>
      <c r="J227" s="221">
        <f>J228</f>
        <v>0</v>
      </c>
      <c r="K227" s="221">
        <f t="shared" si="126"/>
        <v>1000000</v>
      </c>
      <c r="L227" s="221">
        <f t="shared" si="126"/>
        <v>0</v>
      </c>
      <c r="M227" s="221">
        <f t="shared" si="126"/>
        <v>1000000</v>
      </c>
      <c r="N227" s="221">
        <f t="shared" si="126"/>
        <v>0</v>
      </c>
      <c r="O227" s="221">
        <f t="shared" si="126"/>
        <v>0</v>
      </c>
      <c r="P227" s="221">
        <f t="shared" si="126"/>
        <v>1000000</v>
      </c>
      <c r="Q227" s="221">
        <f t="shared" si="126"/>
        <v>2198147</v>
      </c>
      <c r="R227" s="221">
        <f t="shared" si="126"/>
        <v>0</v>
      </c>
      <c r="S227" s="221">
        <f t="shared" si="126"/>
        <v>3198147</v>
      </c>
      <c r="T227" s="240">
        <f t="shared" si="126"/>
        <v>0</v>
      </c>
      <c r="U227" s="240">
        <f t="shared" si="126"/>
        <v>0</v>
      </c>
    </row>
    <row r="228" spans="1:24" s="241" customFormat="1" ht="25.5">
      <c r="A228" s="237"/>
      <c r="B228" s="237"/>
      <c r="C228" s="238"/>
      <c r="D228" s="238"/>
      <c r="E228" s="239"/>
      <c r="F228" s="266" t="s">
        <v>796</v>
      </c>
      <c r="G228" s="240"/>
      <c r="H228" s="240"/>
      <c r="I228" s="240"/>
      <c r="J228" s="240"/>
      <c r="K228" s="267">
        <v>1000000</v>
      </c>
      <c r="L228" s="240"/>
      <c r="M228" s="109">
        <f t="shared" ref="M228" si="127">J228+K228-L228</f>
        <v>1000000</v>
      </c>
      <c r="N228" s="267"/>
      <c r="O228" s="240"/>
      <c r="P228" s="109">
        <f t="shared" ref="P228" si="128">M228+N228-O228</f>
        <v>1000000</v>
      </c>
      <c r="Q228" s="267">
        <v>2198147</v>
      </c>
      <c r="R228" s="240"/>
      <c r="S228" s="109">
        <f t="shared" ref="S228" si="129">P228+Q228-R228</f>
        <v>3198147</v>
      </c>
      <c r="T228" s="240"/>
      <c r="U228" s="240"/>
    </row>
    <row r="229" spans="1:24" ht="25.5">
      <c r="A229" s="218"/>
      <c r="B229" s="218"/>
      <c r="C229" s="218">
        <v>309</v>
      </c>
      <c r="D229" s="218"/>
      <c r="E229" s="219"/>
      <c r="F229" s="243" t="s">
        <v>468</v>
      </c>
      <c r="G229" s="221">
        <f>G230+G237</f>
        <v>3536742</v>
      </c>
      <c r="H229" s="221">
        <f t="shared" ref="H229:S229" si="130">H230+H237</f>
        <v>0</v>
      </c>
      <c r="I229" s="221">
        <f t="shared" si="130"/>
        <v>0</v>
      </c>
      <c r="J229" s="221">
        <f t="shared" si="130"/>
        <v>3536742</v>
      </c>
      <c r="K229" s="221">
        <f t="shared" si="130"/>
        <v>1150000</v>
      </c>
      <c r="L229" s="221">
        <f t="shared" si="130"/>
        <v>0</v>
      </c>
      <c r="M229" s="221">
        <f t="shared" si="130"/>
        <v>4686742</v>
      </c>
      <c r="N229" s="221">
        <f t="shared" si="130"/>
        <v>0</v>
      </c>
      <c r="O229" s="221">
        <f t="shared" si="130"/>
        <v>0</v>
      </c>
      <c r="P229" s="221">
        <f t="shared" si="130"/>
        <v>4686742</v>
      </c>
      <c r="Q229" s="221">
        <f t="shared" si="130"/>
        <v>516887</v>
      </c>
      <c r="R229" s="221">
        <f t="shared" si="130"/>
        <v>83984</v>
      </c>
      <c r="S229" s="221">
        <f t="shared" si="130"/>
        <v>5119645</v>
      </c>
      <c r="T229" s="221">
        <f>T230+T237</f>
        <v>35077426</v>
      </c>
      <c r="U229" s="221">
        <f>U230+U237</f>
        <v>22608445</v>
      </c>
    </row>
    <row r="230" spans="1:24">
      <c r="A230" s="218"/>
      <c r="B230" s="218"/>
      <c r="C230" s="218"/>
      <c r="D230" s="218" t="s">
        <v>214</v>
      </c>
      <c r="E230" s="219"/>
      <c r="F230" s="220" t="s">
        <v>297</v>
      </c>
      <c r="G230" s="221">
        <f>G231</f>
        <v>2534258</v>
      </c>
      <c r="H230" s="221">
        <f t="shared" ref="H230:U230" si="131">H231</f>
        <v>0</v>
      </c>
      <c r="I230" s="221">
        <f t="shared" si="131"/>
        <v>0</v>
      </c>
      <c r="J230" s="221">
        <f t="shared" si="131"/>
        <v>2534258</v>
      </c>
      <c r="K230" s="221">
        <f t="shared" si="131"/>
        <v>300000</v>
      </c>
      <c r="L230" s="221">
        <f t="shared" si="131"/>
        <v>0</v>
      </c>
      <c r="M230" s="221">
        <f t="shared" si="131"/>
        <v>2834258</v>
      </c>
      <c r="N230" s="221">
        <f t="shared" si="131"/>
        <v>0</v>
      </c>
      <c r="O230" s="221">
        <f t="shared" si="131"/>
        <v>0</v>
      </c>
      <c r="P230" s="221">
        <f t="shared" si="131"/>
        <v>2834258</v>
      </c>
      <c r="Q230" s="221">
        <f t="shared" si="131"/>
        <v>415510</v>
      </c>
      <c r="R230" s="221">
        <f t="shared" si="131"/>
        <v>0</v>
      </c>
      <c r="S230" s="221">
        <f t="shared" si="131"/>
        <v>3249768</v>
      </c>
      <c r="T230" s="221">
        <f t="shared" si="131"/>
        <v>5836166</v>
      </c>
      <c r="U230" s="221">
        <f t="shared" si="131"/>
        <v>0</v>
      </c>
    </row>
    <row r="231" spans="1:24">
      <c r="A231" s="218"/>
      <c r="B231" s="218"/>
      <c r="C231" s="218"/>
      <c r="D231" s="218"/>
      <c r="E231" s="223" t="s">
        <v>113</v>
      </c>
      <c r="F231" s="261" t="s">
        <v>8</v>
      </c>
      <c r="G231" s="224">
        <f>SUM(G232:G236)</f>
        <v>2534258</v>
      </c>
      <c r="H231" s="224">
        <f t="shared" ref="H231:S231" si="132">SUM(H232:H236)</f>
        <v>0</v>
      </c>
      <c r="I231" s="224">
        <f t="shared" si="132"/>
        <v>0</v>
      </c>
      <c r="J231" s="224">
        <f t="shared" si="132"/>
        <v>2534258</v>
      </c>
      <c r="K231" s="224">
        <f t="shared" si="132"/>
        <v>300000</v>
      </c>
      <c r="L231" s="224">
        <f t="shared" si="132"/>
        <v>0</v>
      </c>
      <c r="M231" s="224">
        <f t="shared" si="132"/>
        <v>2834258</v>
      </c>
      <c r="N231" s="224">
        <f t="shared" si="132"/>
        <v>0</v>
      </c>
      <c r="O231" s="224">
        <f t="shared" si="132"/>
        <v>0</v>
      </c>
      <c r="P231" s="224">
        <f t="shared" si="132"/>
        <v>2834258</v>
      </c>
      <c r="Q231" s="224">
        <f t="shared" si="132"/>
        <v>415510</v>
      </c>
      <c r="R231" s="224">
        <f t="shared" si="132"/>
        <v>0</v>
      </c>
      <c r="S231" s="224">
        <f t="shared" si="132"/>
        <v>3249768</v>
      </c>
      <c r="T231" s="224">
        <f>SUM(T232:T236)</f>
        <v>5836166</v>
      </c>
      <c r="U231" s="224">
        <f>SUM(U232:U236)</f>
        <v>0</v>
      </c>
      <c r="V231" s="193"/>
      <c r="W231" s="193"/>
      <c r="X231" s="193"/>
    </row>
    <row r="232" spans="1:24" ht="26.25" customHeight="1">
      <c r="A232" s="218"/>
      <c r="B232" s="218"/>
      <c r="C232" s="218"/>
      <c r="D232" s="218"/>
      <c r="E232" s="223"/>
      <c r="F232" s="220" t="s">
        <v>797</v>
      </c>
      <c r="G232" s="211"/>
      <c r="H232" s="211"/>
      <c r="I232" s="211"/>
      <c r="J232" s="109">
        <f t="shared" si="110"/>
        <v>0</v>
      </c>
      <c r="K232" s="211"/>
      <c r="L232" s="211"/>
      <c r="M232" s="109">
        <f t="shared" ref="M232:M236" si="133">J232+K232-L232</f>
        <v>0</v>
      </c>
      <c r="N232" s="211"/>
      <c r="O232" s="211"/>
      <c r="P232" s="109">
        <f t="shared" ref="P232:P236" si="134">M232+N232-O232</f>
        <v>0</v>
      </c>
      <c r="Q232" s="211"/>
      <c r="R232" s="211"/>
      <c r="S232" s="109">
        <f t="shared" ref="S232:S236" si="135">P232+Q232-R232</f>
        <v>0</v>
      </c>
      <c r="T232" s="224">
        <v>1958211</v>
      </c>
      <c r="U232" s="224"/>
    </row>
    <row r="233" spans="1:24">
      <c r="A233" s="218"/>
      <c r="B233" s="218"/>
      <c r="C233" s="218"/>
      <c r="D233" s="218"/>
      <c r="E233" s="223"/>
      <c r="F233" s="261" t="s">
        <v>798</v>
      </c>
      <c r="G233" s="211">
        <v>1664301</v>
      </c>
      <c r="H233" s="211"/>
      <c r="I233" s="211"/>
      <c r="J233" s="109">
        <f t="shared" si="110"/>
        <v>1664301</v>
      </c>
      <c r="K233" s="211"/>
      <c r="L233" s="211"/>
      <c r="M233" s="109">
        <f t="shared" si="133"/>
        <v>1664301</v>
      </c>
      <c r="N233" s="211"/>
      <c r="O233" s="211"/>
      <c r="P233" s="109">
        <f t="shared" si="134"/>
        <v>1664301</v>
      </c>
      <c r="Q233" s="211">
        <v>59440</v>
      </c>
      <c r="R233" s="211"/>
      <c r="S233" s="109">
        <f t="shared" si="135"/>
        <v>1723741</v>
      </c>
      <c r="T233" s="224"/>
      <c r="U233" s="224"/>
    </row>
    <row r="234" spans="1:24" ht="38.25">
      <c r="A234" s="218"/>
      <c r="B234" s="218"/>
      <c r="C234" s="218"/>
      <c r="D234" s="218"/>
      <c r="E234" s="223"/>
      <c r="F234" s="268" t="s">
        <v>799</v>
      </c>
      <c r="G234" s="211">
        <v>169957</v>
      </c>
      <c r="H234" s="211"/>
      <c r="I234" s="211"/>
      <c r="J234" s="109">
        <f t="shared" si="110"/>
        <v>169957</v>
      </c>
      <c r="K234" s="211"/>
      <c r="L234" s="211"/>
      <c r="M234" s="109">
        <f t="shared" si="133"/>
        <v>169957</v>
      </c>
      <c r="N234" s="211"/>
      <c r="O234" s="211"/>
      <c r="P234" s="109">
        <f t="shared" si="134"/>
        <v>169957</v>
      </c>
      <c r="Q234" s="211">
        <v>6070</v>
      </c>
      <c r="R234" s="211"/>
      <c r="S234" s="109">
        <f t="shared" si="135"/>
        <v>176027</v>
      </c>
      <c r="T234" s="224"/>
      <c r="U234" s="224"/>
    </row>
    <row r="235" spans="1:24" ht="25.5">
      <c r="A235" s="218"/>
      <c r="B235" s="218"/>
      <c r="C235" s="218"/>
      <c r="D235" s="218"/>
      <c r="E235" s="223"/>
      <c r="F235" s="261" t="s">
        <v>800</v>
      </c>
      <c r="G235" s="211">
        <v>200000</v>
      </c>
      <c r="H235" s="211"/>
      <c r="I235" s="211"/>
      <c r="J235" s="109">
        <f t="shared" si="110"/>
        <v>200000</v>
      </c>
      <c r="K235" s="211">
        <v>300000</v>
      </c>
      <c r="L235" s="211"/>
      <c r="M235" s="109">
        <f t="shared" si="133"/>
        <v>500000</v>
      </c>
      <c r="N235" s="211"/>
      <c r="O235" s="211"/>
      <c r="P235" s="109">
        <f t="shared" si="134"/>
        <v>500000</v>
      </c>
      <c r="Q235" s="211">
        <v>150000</v>
      </c>
      <c r="R235" s="211"/>
      <c r="S235" s="109">
        <f t="shared" si="135"/>
        <v>650000</v>
      </c>
      <c r="T235" s="224">
        <v>3313352</v>
      </c>
      <c r="U235" s="224"/>
    </row>
    <row r="236" spans="1:24">
      <c r="A236" s="218"/>
      <c r="B236" s="218"/>
      <c r="C236" s="218"/>
      <c r="D236" s="218"/>
      <c r="E236" s="223"/>
      <c r="F236" s="261" t="s">
        <v>801</v>
      </c>
      <c r="G236" s="211">
        <v>500000</v>
      </c>
      <c r="H236" s="211"/>
      <c r="I236" s="211"/>
      <c r="J236" s="109">
        <f t="shared" si="110"/>
        <v>500000</v>
      </c>
      <c r="K236" s="211"/>
      <c r="L236" s="211"/>
      <c r="M236" s="109">
        <f t="shared" si="133"/>
        <v>500000</v>
      </c>
      <c r="N236" s="211"/>
      <c r="O236" s="211"/>
      <c r="P236" s="109">
        <f t="shared" si="134"/>
        <v>500000</v>
      </c>
      <c r="Q236" s="211">
        <v>200000</v>
      </c>
      <c r="R236" s="211"/>
      <c r="S236" s="109">
        <f t="shared" si="135"/>
        <v>700000</v>
      </c>
      <c r="T236" s="224">
        <v>564603</v>
      </c>
      <c r="U236" s="224"/>
    </row>
    <row r="237" spans="1:24">
      <c r="A237" s="222"/>
      <c r="B237" s="222"/>
      <c r="C237" s="222"/>
      <c r="D237" s="222" t="s">
        <v>215</v>
      </c>
      <c r="E237" s="223"/>
      <c r="F237" s="261" t="s">
        <v>298</v>
      </c>
      <c r="G237" s="224">
        <f>G238</f>
        <v>1002484</v>
      </c>
      <c r="H237" s="224">
        <f t="shared" ref="H237:U237" si="136">H238</f>
        <v>0</v>
      </c>
      <c r="I237" s="224">
        <f t="shared" si="136"/>
        <v>0</v>
      </c>
      <c r="J237" s="224">
        <f t="shared" si="136"/>
        <v>1002484</v>
      </c>
      <c r="K237" s="224">
        <f t="shared" si="136"/>
        <v>850000</v>
      </c>
      <c r="L237" s="224">
        <f t="shared" si="136"/>
        <v>0</v>
      </c>
      <c r="M237" s="224">
        <f t="shared" si="136"/>
        <v>1852484</v>
      </c>
      <c r="N237" s="224">
        <f t="shared" si="136"/>
        <v>0</v>
      </c>
      <c r="O237" s="224">
        <f t="shared" si="136"/>
        <v>0</v>
      </c>
      <c r="P237" s="224">
        <f t="shared" si="136"/>
        <v>1852484</v>
      </c>
      <c r="Q237" s="224">
        <f>Q238</f>
        <v>101377</v>
      </c>
      <c r="R237" s="224">
        <f t="shared" si="136"/>
        <v>83984</v>
      </c>
      <c r="S237" s="224">
        <f t="shared" si="136"/>
        <v>1869877</v>
      </c>
      <c r="T237" s="224">
        <f t="shared" si="136"/>
        <v>29241260</v>
      </c>
      <c r="U237" s="224">
        <f t="shared" si="136"/>
        <v>22608445</v>
      </c>
    </row>
    <row r="238" spans="1:24">
      <c r="A238" s="222"/>
      <c r="B238" s="222"/>
      <c r="C238" s="222"/>
      <c r="D238" s="222"/>
      <c r="E238" s="223" t="s">
        <v>113</v>
      </c>
      <c r="F238" s="13" t="s">
        <v>8</v>
      </c>
      <c r="G238" s="224">
        <f>G239+G245</f>
        <v>1002484</v>
      </c>
      <c r="H238" s="224">
        <f t="shared" ref="H238:S238" si="137">H239+H245</f>
        <v>0</v>
      </c>
      <c r="I238" s="224">
        <f t="shared" si="137"/>
        <v>0</v>
      </c>
      <c r="J238" s="224">
        <f t="shared" si="137"/>
        <v>1002484</v>
      </c>
      <c r="K238" s="224">
        <f t="shared" si="137"/>
        <v>850000</v>
      </c>
      <c r="L238" s="224">
        <f t="shared" si="137"/>
        <v>0</v>
      </c>
      <c r="M238" s="224">
        <f t="shared" si="137"/>
        <v>1852484</v>
      </c>
      <c r="N238" s="224">
        <f t="shared" si="137"/>
        <v>0</v>
      </c>
      <c r="O238" s="224">
        <f t="shared" si="137"/>
        <v>0</v>
      </c>
      <c r="P238" s="224">
        <f t="shared" si="137"/>
        <v>1852484</v>
      </c>
      <c r="Q238" s="224">
        <f t="shared" si="137"/>
        <v>101377</v>
      </c>
      <c r="R238" s="224">
        <f t="shared" si="137"/>
        <v>83984</v>
      </c>
      <c r="S238" s="224">
        <f t="shared" si="137"/>
        <v>1869877</v>
      </c>
      <c r="T238" s="224">
        <f>T239+T245</f>
        <v>29241260</v>
      </c>
      <c r="U238" s="224">
        <f>U239+U245</f>
        <v>22608445</v>
      </c>
      <c r="V238" s="193"/>
      <c r="W238" s="193"/>
      <c r="X238" s="193"/>
    </row>
    <row r="239" spans="1:24" s="273" customFormat="1" ht="13.5">
      <c r="A239" s="269"/>
      <c r="B239" s="269"/>
      <c r="C239" s="269"/>
      <c r="D239" s="269"/>
      <c r="E239" s="270"/>
      <c r="F239" s="271" t="s">
        <v>802</v>
      </c>
      <c r="G239" s="272">
        <f>SUM(G240:G243)</f>
        <v>0</v>
      </c>
      <c r="H239" s="272">
        <f t="shared" ref="H239:I239" si="138">SUM(H240:H243)</f>
        <v>0</v>
      </c>
      <c r="I239" s="272">
        <f t="shared" si="138"/>
        <v>0</v>
      </c>
      <c r="J239" s="272">
        <f>SUM(J240:J244)</f>
        <v>0</v>
      </c>
      <c r="K239" s="272">
        <f t="shared" ref="K239:U239" si="139">SUM(K240:K244)</f>
        <v>200000</v>
      </c>
      <c r="L239" s="272">
        <f t="shared" si="139"/>
        <v>0</v>
      </c>
      <c r="M239" s="272">
        <f t="shared" si="139"/>
        <v>200000</v>
      </c>
      <c r="N239" s="272">
        <f t="shared" si="139"/>
        <v>0</v>
      </c>
      <c r="O239" s="272">
        <f t="shared" si="139"/>
        <v>0</v>
      </c>
      <c r="P239" s="272">
        <f t="shared" si="139"/>
        <v>200000</v>
      </c>
      <c r="Q239" s="272">
        <f t="shared" si="139"/>
        <v>0</v>
      </c>
      <c r="R239" s="272">
        <f t="shared" si="139"/>
        <v>0</v>
      </c>
      <c r="S239" s="272">
        <f t="shared" si="139"/>
        <v>200000</v>
      </c>
      <c r="T239" s="272">
        <f t="shared" si="139"/>
        <v>4500000</v>
      </c>
      <c r="U239" s="272">
        <f t="shared" si="139"/>
        <v>4000000</v>
      </c>
    </row>
    <row r="240" spans="1:24" s="273" customFormat="1" ht="15.75" customHeight="1">
      <c r="A240" s="269"/>
      <c r="B240" s="269"/>
      <c r="C240" s="269"/>
      <c r="D240" s="269"/>
      <c r="E240" s="270"/>
      <c r="F240" s="261" t="s">
        <v>803</v>
      </c>
      <c r="G240" s="211"/>
      <c r="H240" s="211"/>
      <c r="I240" s="211"/>
      <c r="J240" s="109">
        <f t="shared" si="110"/>
        <v>0</v>
      </c>
      <c r="K240" s="211"/>
      <c r="L240" s="211"/>
      <c r="M240" s="109">
        <f t="shared" ref="M240:M244" si="140">J240+K240-L240</f>
        <v>0</v>
      </c>
      <c r="N240" s="211"/>
      <c r="O240" s="211"/>
      <c r="P240" s="109">
        <f t="shared" ref="P240:P244" si="141">M240+N240-O240</f>
        <v>0</v>
      </c>
      <c r="Q240" s="211"/>
      <c r="R240" s="211"/>
      <c r="S240" s="109">
        <f t="shared" ref="S240:S244" si="142">P240+Q240-R240</f>
        <v>0</v>
      </c>
      <c r="T240" s="224">
        <v>1500000</v>
      </c>
      <c r="U240" s="224">
        <v>1000000</v>
      </c>
    </row>
    <row r="241" spans="1:21" s="273" customFormat="1" ht="25.5">
      <c r="A241" s="269"/>
      <c r="B241" s="269"/>
      <c r="C241" s="269"/>
      <c r="D241" s="269"/>
      <c r="E241" s="270"/>
      <c r="F241" s="261" t="s">
        <v>804</v>
      </c>
      <c r="G241" s="211"/>
      <c r="H241" s="211"/>
      <c r="I241" s="211"/>
      <c r="J241" s="109">
        <f t="shared" si="110"/>
        <v>0</v>
      </c>
      <c r="K241" s="211"/>
      <c r="L241" s="211"/>
      <c r="M241" s="109">
        <f t="shared" si="140"/>
        <v>0</v>
      </c>
      <c r="N241" s="211"/>
      <c r="O241" s="211"/>
      <c r="P241" s="109">
        <f t="shared" si="141"/>
        <v>0</v>
      </c>
      <c r="Q241" s="211"/>
      <c r="R241" s="211"/>
      <c r="S241" s="109">
        <f t="shared" si="142"/>
        <v>0</v>
      </c>
      <c r="T241" s="224">
        <v>1500000</v>
      </c>
      <c r="U241" s="224">
        <v>1000000</v>
      </c>
    </row>
    <row r="242" spans="1:21" s="273" customFormat="1" ht="13.5">
      <c r="A242" s="269"/>
      <c r="B242" s="269"/>
      <c r="C242" s="269"/>
      <c r="D242" s="269"/>
      <c r="E242" s="270"/>
      <c r="F242" s="261" t="s">
        <v>805</v>
      </c>
      <c r="G242" s="211"/>
      <c r="H242" s="211"/>
      <c r="I242" s="211"/>
      <c r="J242" s="109">
        <f t="shared" si="110"/>
        <v>0</v>
      </c>
      <c r="K242" s="211"/>
      <c r="L242" s="211"/>
      <c r="M242" s="109">
        <f t="shared" si="140"/>
        <v>0</v>
      </c>
      <c r="N242" s="211"/>
      <c r="O242" s="211"/>
      <c r="P242" s="109">
        <f t="shared" si="141"/>
        <v>0</v>
      </c>
      <c r="Q242" s="211"/>
      <c r="R242" s="211"/>
      <c r="S242" s="109">
        <f t="shared" si="142"/>
        <v>0</v>
      </c>
      <c r="T242" s="224">
        <v>1500000</v>
      </c>
      <c r="U242" s="224">
        <v>1000000</v>
      </c>
    </row>
    <row r="243" spans="1:21" s="273" customFormat="1" ht="13.5">
      <c r="A243" s="269"/>
      <c r="B243" s="269"/>
      <c r="C243" s="269"/>
      <c r="D243" s="269"/>
      <c r="E243" s="270"/>
      <c r="F243" s="261" t="s">
        <v>806</v>
      </c>
      <c r="G243" s="211"/>
      <c r="H243" s="211"/>
      <c r="I243" s="211"/>
      <c r="J243" s="109">
        <f t="shared" si="110"/>
        <v>0</v>
      </c>
      <c r="K243" s="211"/>
      <c r="L243" s="211"/>
      <c r="M243" s="109">
        <f t="shared" si="140"/>
        <v>0</v>
      </c>
      <c r="N243" s="211"/>
      <c r="O243" s="211"/>
      <c r="P243" s="109">
        <f t="shared" si="141"/>
        <v>0</v>
      </c>
      <c r="Q243" s="211"/>
      <c r="R243" s="211"/>
      <c r="S243" s="109">
        <f t="shared" si="142"/>
        <v>0</v>
      </c>
      <c r="T243" s="224"/>
      <c r="U243" s="224">
        <v>1000000</v>
      </c>
    </row>
    <row r="244" spans="1:21" s="273" customFormat="1" ht="25.5">
      <c r="A244" s="269"/>
      <c r="B244" s="269"/>
      <c r="C244" s="269"/>
      <c r="D244" s="269"/>
      <c r="E244" s="270"/>
      <c r="F244" s="261" t="s">
        <v>807</v>
      </c>
      <c r="G244" s="211"/>
      <c r="H244" s="211"/>
      <c r="I244" s="211"/>
      <c r="J244" s="109"/>
      <c r="K244" s="211">
        <v>200000</v>
      </c>
      <c r="L244" s="211"/>
      <c r="M244" s="109">
        <f t="shared" si="140"/>
        <v>200000</v>
      </c>
      <c r="N244" s="211"/>
      <c r="O244" s="211"/>
      <c r="P244" s="109">
        <f t="shared" si="141"/>
        <v>200000</v>
      </c>
      <c r="Q244" s="211"/>
      <c r="R244" s="211"/>
      <c r="S244" s="109">
        <f t="shared" si="142"/>
        <v>200000</v>
      </c>
      <c r="T244" s="224"/>
      <c r="U244" s="224"/>
    </row>
    <row r="245" spans="1:21" s="273" customFormat="1" ht="13.5">
      <c r="A245" s="269"/>
      <c r="B245" s="269"/>
      <c r="C245" s="269"/>
      <c r="D245" s="269"/>
      <c r="E245" s="270"/>
      <c r="F245" s="274" t="s">
        <v>808</v>
      </c>
      <c r="G245" s="272">
        <f>SUM(G246:G270)</f>
        <v>1002484</v>
      </c>
      <c r="H245" s="272">
        <f t="shared" ref="H245:U245" si="143">SUM(H246:H270)</f>
        <v>0</v>
      </c>
      <c r="I245" s="272">
        <f t="shared" si="143"/>
        <v>0</v>
      </c>
      <c r="J245" s="272">
        <f t="shared" si="143"/>
        <v>1002484</v>
      </c>
      <c r="K245" s="272">
        <f t="shared" si="143"/>
        <v>650000</v>
      </c>
      <c r="L245" s="272">
        <f t="shared" si="143"/>
        <v>0</v>
      </c>
      <c r="M245" s="272">
        <f t="shared" si="143"/>
        <v>1652484</v>
      </c>
      <c r="N245" s="272">
        <f t="shared" si="143"/>
        <v>0</v>
      </c>
      <c r="O245" s="272">
        <f t="shared" si="143"/>
        <v>0</v>
      </c>
      <c r="P245" s="272">
        <f t="shared" si="143"/>
        <v>1652484</v>
      </c>
      <c r="Q245" s="272">
        <f t="shared" si="143"/>
        <v>101377</v>
      </c>
      <c r="R245" s="272">
        <f t="shared" si="143"/>
        <v>83984</v>
      </c>
      <c r="S245" s="272">
        <f t="shared" si="143"/>
        <v>1669877</v>
      </c>
      <c r="T245" s="272">
        <f t="shared" si="143"/>
        <v>24741260</v>
      </c>
      <c r="U245" s="272">
        <f t="shared" si="143"/>
        <v>18608445</v>
      </c>
    </row>
    <row r="246" spans="1:21" s="273" customFormat="1" ht="25.5">
      <c r="A246" s="269"/>
      <c r="B246" s="269"/>
      <c r="C246" s="269"/>
      <c r="D246" s="269"/>
      <c r="E246" s="270"/>
      <c r="F246" s="268" t="s">
        <v>809</v>
      </c>
      <c r="G246" s="211">
        <v>115000</v>
      </c>
      <c r="H246" s="211"/>
      <c r="I246" s="211"/>
      <c r="J246" s="109">
        <f t="shared" si="110"/>
        <v>115000</v>
      </c>
      <c r="K246" s="211"/>
      <c r="L246" s="211"/>
      <c r="M246" s="109">
        <f t="shared" ref="M246:M269" si="144">J246+K246-L246</f>
        <v>115000</v>
      </c>
      <c r="N246" s="211"/>
      <c r="O246" s="211"/>
      <c r="P246" s="109">
        <f t="shared" ref="P246:P269" si="145">M246+N246-O246</f>
        <v>115000</v>
      </c>
      <c r="Q246" s="211">
        <v>1377</v>
      </c>
      <c r="R246" s="211"/>
      <c r="S246" s="109">
        <f t="shared" ref="S246:S269" si="146">P246+Q246-R246</f>
        <v>116377</v>
      </c>
      <c r="T246" s="272"/>
      <c r="U246" s="272"/>
    </row>
    <row r="247" spans="1:21" s="273" customFormat="1" ht="38.25">
      <c r="A247" s="222"/>
      <c r="B247" s="222"/>
      <c r="C247" s="222"/>
      <c r="D247" s="222"/>
      <c r="E247" s="223"/>
      <c r="F247" s="261" t="s">
        <v>810</v>
      </c>
      <c r="G247" s="211"/>
      <c r="H247" s="211"/>
      <c r="I247" s="211"/>
      <c r="J247" s="109">
        <f t="shared" si="110"/>
        <v>0</v>
      </c>
      <c r="K247" s="211"/>
      <c r="L247" s="211"/>
      <c r="M247" s="109">
        <f t="shared" si="144"/>
        <v>0</v>
      </c>
      <c r="N247" s="211"/>
      <c r="O247" s="211"/>
      <c r="P247" s="109">
        <f t="shared" si="145"/>
        <v>0</v>
      </c>
      <c r="Q247" s="211"/>
      <c r="R247" s="211"/>
      <c r="S247" s="109">
        <f t="shared" si="146"/>
        <v>0</v>
      </c>
      <c r="T247" s="224">
        <v>3241864</v>
      </c>
      <c r="U247" s="224">
        <v>100000</v>
      </c>
    </row>
    <row r="248" spans="1:21" s="273" customFormat="1" ht="13.5">
      <c r="A248" s="222"/>
      <c r="B248" s="222"/>
      <c r="C248" s="222"/>
      <c r="D248" s="222"/>
      <c r="E248" s="223"/>
      <c r="F248" s="261" t="s">
        <v>811</v>
      </c>
      <c r="G248" s="211">
        <v>177484</v>
      </c>
      <c r="H248" s="211"/>
      <c r="I248" s="211"/>
      <c r="J248" s="109">
        <f t="shared" si="110"/>
        <v>177484</v>
      </c>
      <c r="K248" s="211"/>
      <c r="L248" s="211"/>
      <c r="M248" s="109">
        <f t="shared" si="144"/>
        <v>177484</v>
      </c>
      <c r="N248" s="211"/>
      <c r="O248" s="211"/>
      <c r="P248" s="109">
        <f t="shared" si="145"/>
        <v>177484</v>
      </c>
      <c r="Q248" s="211"/>
      <c r="R248" s="211">
        <v>83984</v>
      </c>
      <c r="S248" s="109">
        <f t="shared" si="146"/>
        <v>93500</v>
      </c>
      <c r="T248" s="224"/>
      <c r="U248" s="224"/>
    </row>
    <row r="249" spans="1:21" s="273" customFormat="1" ht="13.5">
      <c r="A249" s="222"/>
      <c r="B249" s="222"/>
      <c r="C249" s="222"/>
      <c r="D249" s="222"/>
      <c r="E249" s="223"/>
      <c r="F249" s="261" t="s">
        <v>812</v>
      </c>
      <c r="G249" s="211"/>
      <c r="H249" s="211"/>
      <c r="I249" s="211"/>
      <c r="J249" s="109">
        <f t="shared" si="110"/>
        <v>0</v>
      </c>
      <c r="K249" s="211"/>
      <c r="L249" s="211"/>
      <c r="M249" s="109">
        <f t="shared" si="144"/>
        <v>0</v>
      </c>
      <c r="N249" s="211"/>
      <c r="O249" s="211"/>
      <c r="P249" s="109">
        <f t="shared" si="145"/>
        <v>0</v>
      </c>
      <c r="Q249" s="211"/>
      <c r="R249" s="211"/>
      <c r="S249" s="109">
        <f t="shared" si="146"/>
        <v>0</v>
      </c>
      <c r="T249" s="224"/>
      <c r="U249" s="224">
        <v>508445</v>
      </c>
    </row>
    <row r="250" spans="1:21" s="273" customFormat="1" ht="13.5">
      <c r="A250" s="222"/>
      <c r="B250" s="222"/>
      <c r="C250" s="222"/>
      <c r="D250" s="222"/>
      <c r="E250" s="223"/>
      <c r="F250" s="261" t="s">
        <v>813</v>
      </c>
      <c r="G250" s="211"/>
      <c r="H250" s="211"/>
      <c r="I250" s="211"/>
      <c r="J250" s="109">
        <f t="shared" si="110"/>
        <v>0</v>
      </c>
      <c r="K250" s="211">
        <v>150000</v>
      </c>
      <c r="L250" s="211"/>
      <c r="M250" s="109">
        <f t="shared" si="144"/>
        <v>150000</v>
      </c>
      <c r="N250" s="211"/>
      <c r="O250" s="211"/>
      <c r="P250" s="109">
        <f t="shared" si="145"/>
        <v>150000</v>
      </c>
      <c r="Q250" s="211">
        <v>100000</v>
      </c>
      <c r="R250" s="211"/>
      <c r="S250" s="109">
        <f t="shared" si="146"/>
        <v>250000</v>
      </c>
      <c r="T250" s="224">
        <v>986145</v>
      </c>
      <c r="U250" s="224"/>
    </row>
    <row r="251" spans="1:21" s="273" customFormat="1" ht="25.5">
      <c r="A251" s="222"/>
      <c r="B251" s="222"/>
      <c r="C251" s="222"/>
      <c r="D251" s="222"/>
      <c r="E251" s="223"/>
      <c r="F251" s="261" t="s">
        <v>814</v>
      </c>
      <c r="G251" s="211"/>
      <c r="H251" s="211"/>
      <c r="I251" s="211"/>
      <c r="J251" s="109">
        <f t="shared" si="110"/>
        <v>0</v>
      </c>
      <c r="K251" s="211">
        <v>100000</v>
      </c>
      <c r="L251" s="211"/>
      <c r="M251" s="109">
        <f t="shared" si="144"/>
        <v>100000</v>
      </c>
      <c r="N251" s="211"/>
      <c r="O251" s="211"/>
      <c r="P251" s="109">
        <f t="shared" si="145"/>
        <v>100000</v>
      </c>
      <c r="Q251" s="211"/>
      <c r="R251" s="211"/>
      <c r="S251" s="109">
        <f t="shared" si="146"/>
        <v>100000</v>
      </c>
      <c r="T251" s="224">
        <v>534189</v>
      </c>
      <c r="U251" s="224"/>
    </row>
    <row r="252" spans="1:21" s="273" customFormat="1" ht="25.5">
      <c r="A252" s="222"/>
      <c r="B252" s="222"/>
      <c r="C252" s="222"/>
      <c r="D252" s="222"/>
      <c r="E252" s="223"/>
      <c r="F252" s="261" t="s">
        <v>815</v>
      </c>
      <c r="G252" s="211"/>
      <c r="H252" s="211"/>
      <c r="I252" s="211"/>
      <c r="J252" s="109">
        <f t="shared" si="110"/>
        <v>0</v>
      </c>
      <c r="K252" s="211">
        <v>200000</v>
      </c>
      <c r="L252" s="211"/>
      <c r="M252" s="109">
        <f t="shared" si="144"/>
        <v>200000</v>
      </c>
      <c r="N252" s="211"/>
      <c r="O252" s="211"/>
      <c r="P252" s="109">
        <f t="shared" si="145"/>
        <v>200000</v>
      </c>
      <c r="Q252" s="211"/>
      <c r="R252" s="211"/>
      <c r="S252" s="109">
        <f t="shared" si="146"/>
        <v>200000</v>
      </c>
      <c r="T252" s="224">
        <v>589840</v>
      </c>
      <c r="U252" s="224"/>
    </row>
    <row r="253" spans="1:21" s="273" customFormat="1" ht="25.5">
      <c r="A253" s="222"/>
      <c r="B253" s="222"/>
      <c r="C253" s="222"/>
      <c r="D253" s="222"/>
      <c r="E253" s="223"/>
      <c r="F253" s="261" t="s">
        <v>816</v>
      </c>
      <c r="G253" s="211">
        <v>700000</v>
      </c>
      <c r="H253" s="211"/>
      <c r="I253" s="211"/>
      <c r="J253" s="109">
        <f t="shared" si="110"/>
        <v>700000</v>
      </c>
      <c r="K253" s="211"/>
      <c r="L253" s="211"/>
      <c r="M253" s="109">
        <f t="shared" si="144"/>
        <v>700000</v>
      </c>
      <c r="N253" s="211"/>
      <c r="O253" s="211"/>
      <c r="P253" s="109">
        <f t="shared" si="145"/>
        <v>700000</v>
      </c>
      <c r="Q253" s="211"/>
      <c r="R253" s="211"/>
      <c r="S253" s="109">
        <f t="shared" si="146"/>
        <v>700000</v>
      </c>
      <c r="T253" s="224">
        <v>1355415</v>
      </c>
      <c r="U253" s="224"/>
    </row>
    <row r="254" spans="1:21" s="273" customFormat="1" ht="25.5">
      <c r="A254" s="222"/>
      <c r="B254" s="222"/>
      <c r="C254" s="222"/>
      <c r="D254" s="222"/>
      <c r="E254" s="223"/>
      <c r="F254" s="261" t="s">
        <v>817</v>
      </c>
      <c r="G254" s="211"/>
      <c r="H254" s="211"/>
      <c r="I254" s="211"/>
      <c r="J254" s="109">
        <f t="shared" si="110"/>
        <v>0</v>
      </c>
      <c r="K254" s="211">
        <v>200000</v>
      </c>
      <c r="L254" s="211"/>
      <c r="M254" s="109">
        <f t="shared" si="144"/>
        <v>200000</v>
      </c>
      <c r="N254" s="211"/>
      <c r="O254" s="211"/>
      <c r="P254" s="109">
        <f t="shared" si="145"/>
        <v>200000</v>
      </c>
      <c r="Q254" s="211"/>
      <c r="R254" s="211"/>
      <c r="S254" s="109">
        <f t="shared" si="146"/>
        <v>200000</v>
      </c>
      <c r="T254" s="224">
        <v>1033807</v>
      </c>
      <c r="U254" s="224"/>
    </row>
    <row r="255" spans="1:21" s="273" customFormat="1" ht="25.5">
      <c r="A255" s="222"/>
      <c r="B255" s="222"/>
      <c r="C255" s="222"/>
      <c r="D255" s="222"/>
      <c r="E255" s="223"/>
      <c r="F255" s="261" t="s">
        <v>818</v>
      </c>
      <c r="G255" s="211"/>
      <c r="H255" s="211"/>
      <c r="I255" s="211"/>
      <c r="J255" s="109">
        <f t="shared" si="110"/>
        <v>0</v>
      </c>
      <c r="K255" s="211"/>
      <c r="L255" s="211"/>
      <c r="M255" s="109">
        <f t="shared" si="144"/>
        <v>0</v>
      </c>
      <c r="N255" s="211"/>
      <c r="O255" s="211"/>
      <c r="P255" s="109">
        <f t="shared" si="145"/>
        <v>0</v>
      </c>
      <c r="Q255" s="211"/>
      <c r="R255" s="211"/>
      <c r="S255" s="109">
        <f t="shared" si="146"/>
        <v>0</v>
      </c>
      <c r="T255" s="224">
        <v>1500000</v>
      </c>
      <c r="U255" s="224">
        <v>1000000</v>
      </c>
    </row>
    <row r="256" spans="1:21" s="273" customFormat="1" ht="13.5">
      <c r="A256" s="222"/>
      <c r="B256" s="222"/>
      <c r="C256" s="222"/>
      <c r="D256" s="222"/>
      <c r="E256" s="223"/>
      <c r="F256" s="261" t="s">
        <v>819</v>
      </c>
      <c r="G256" s="211"/>
      <c r="H256" s="211"/>
      <c r="I256" s="211"/>
      <c r="J256" s="109">
        <f t="shared" si="110"/>
        <v>0</v>
      </c>
      <c r="K256" s="211"/>
      <c r="L256" s="211"/>
      <c r="M256" s="109">
        <f t="shared" si="144"/>
        <v>0</v>
      </c>
      <c r="N256" s="211"/>
      <c r="O256" s="211"/>
      <c r="P256" s="109">
        <f t="shared" si="145"/>
        <v>0</v>
      </c>
      <c r="Q256" s="211"/>
      <c r="R256" s="211"/>
      <c r="S256" s="109">
        <f t="shared" si="146"/>
        <v>0</v>
      </c>
      <c r="T256" s="224">
        <v>1500000</v>
      </c>
      <c r="U256" s="224">
        <v>1000000</v>
      </c>
    </row>
    <row r="257" spans="1:21" s="273" customFormat="1" ht="13.5">
      <c r="A257" s="222"/>
      <c r="B257" s="222"/>
      <c r="C257" s="222"/>
      <c r="D257" s="222"/>
      <c r="E257" s="223"/>
      <c r="F257" s="261" t="s">
        <v>820</v>
      </c>
      <c r="G257" s="211"/>
      <c r="H257" s="211"/>
      <c r="I257" s="211"/>
      <c r="J257" s="109">
        <f t="shared" si="110"/>
        <v>0</v>
      </c>
      <c r="K257" s="211"/>
      <c r="L257" s="211"/>
      <c r="M257" s="109">
        <f t="shared" si="144"/>
        <v>0</v>
      </c>
      <c r="N257" s="211"/>
      <c r="O257" s="211"/>
      <c r="P257" s="109">
        <f t="shared" si="145"/>
        <v>0</v>
      </c>
      <c r="Q257" s="211"/>
      <c r="R257" s="211"/>
      <c r="S257" s="109">
        <f t="shared" si="146"/>
        <v>0</v>
      </c>
      <c r="T257" s="224"/>
      <c r="U257" s="224">
        <v>1000000</v>
      </c>
    </row>
    <row r="258" spans="1:21" s="273" customFormat="1" ht="13.5">
      <c r="A258" s="222"/>
      <c r="B258" s="222"/>
      <c r="C258" s="222"/>
      <c r="D258" s="222"/>
      <c r="E258" s="223"/>
      <c r="F258" s="261" t="s">
        <v>821</v>
      </c>
      <c r="G258" s="211"/>
      <c r="H258" s="211"/>
      <c r="I258" s="211"/>
      <c r="J258" s="109">
        <f t="shared" si="110"/>
        <v>0</v>
      </c>
      <c r="K258" s="211"/>
      <c r="L258" s="211"/>
      <c r="M258" s="109">
        <f t="shared" si="144"/>
        <v>0</v>
      </c>
      <c r="N258" s="211"/>
      <c r="O258" s="211"/>
      <c r="P258" s="109">
        <f t="shared" si="145"/>
        <v>0</v>
      </c>
      <c r="Q258" s="211"/>
      <c r="R258" s="211"/>
      <c r="S258" s="109">
        <f t="shared" si="146"/>
        <v>0</v>
      </c>
      <c r="T258" s="224">
        <v>1500000</v>
      </c>
      <c r="U258" s="224">
        <v>1000000</v>
      </c>
    </row>
    <row r="259" spans="1:21" s="273" customFormat="1" ht="25.5">
      <c r="A259" s="222"/>
      <c r="B259" s="222"/>
      <c r="C259" s="222"/>
      <c r="D259" s="222"/>
      <c r="E259" s="223"/>
      <c r="F259" s="261" t="s">
        <v>822</v>
      </c>
      <c r="G259" s="211"/>
      <c r="H259" s="211"/>
      <c r="I259" s="211"/>
      <c r="J259" s="109">
        <f t="shared" si="110"/>
        <v>0</v>
      </c>
      <c r="K259" s="211"/>
      <c r="L259" s="211"/>
      <c r="M259" s="109">
        <f t="shared" si="144"/>
        <v>0</v>
      </c>
      <c r="N259" s="211"/>
      <c r="O259" s="211"/>
      <c r="P259" s="109">
        <f t="shared" si="145"/>
        <v>0</v>
      </c>
      <c r="Q259" s="211"/>
      <c r="R259" s="211"/>
      <c r="S259" s="109">
        <f t="shared" si="146"/>
        <v>0</v>
      </c>
      <c r="T259" s="224"/>
      <c r="U259" s="224">
        <v>1000000</v>
      </c>
    </row>
    <row r="260" spans="1:21" s="273" customFormat="1" ht="13.5">
      <c r="A260" s="222"/>
      <c r="B260" s="222"/>
      <c r="C260" s="222"/>
      <c r="D260" s="222"/>
      <c r="E260" s="223"/>
      <c r="F260" s="261" t="s">
        <v>823</v>
      </c>
      <c r="G260" s="211"/>
      <c r="H260" s="211"/>
      <c r="I260" s="211"/>
      <c r="J260" s="109">
        <f t="shared" si="110"/>
        <v>0</v>
      </c>
      <c r="K260" s="211"/>
      <c r="L260" s="211"/>
      <c r="M260" s="109">
        <f t="shared" si="144"/>
        <v>0</v>
      </c>
      <c r="N260" s="211"/>
      <c r="O260" s="211"/>
      <c r="P260" s="109">
        <f t="shared" si="145"/>
        <v>0</v>
      </c>
      <c r="Q260" s="211"/>
      <c r="R260" s="211"/>
      <c r="S260" s="109">
        <f t="shared" si="146"/>
        <v>0</v>
      </c>
      <c r="T260" s="224">
        <v>1500000</v>
      </c>
      <c r="U260" s="224">
        <v>1500000</v>
      </c>
    </row>
    <row r="261" spans="1:21" s="273" customFormat="1" ht="13.5">
      <c r="A261" s="222"/>
      <c r="B261" s="222"/>
      <c r="C261" s="222"/>
      <c r="D261" s="222"/>
      <c r="E261" s="223"/>
      <c r="F261" s="261" t="s">
        <v>824</v>
      </c>
      <c r="G261" s="211"/>
      <c r="H261" s="211"/>
      <c r="I261" s="211"/>
      <c r="J261" s="109">
        <f t="shared" si="110"/>
        <v>0</v>
      </c>
      <c r="K261" s="211"/>
      <c r="L261" s="211"/>
      <c r="M261" s="109">
        <f t="shared" si="144"/>
        <v>0</v>
      </c>
      <c r="N261" s="211"/>
      <c r="O261" s="211"/>
      <c r="P261" s="109">
        <f t="shared" si="145"/>
        <v>0</v>
      </c>
      <c r="Q261" s="211"/>
      <c r="R261" s="211"/>
      <c r="S261" s="109">
        <f t="shared" si="146"/>
        <v>0</v>
      </c>
      <c r="T261" s="224"/>
      <c r="U261" s="224">
        <v>500000</v>
      </c>
    </row>
    <row r="262" spans="1:21" s="273" customFormat="1" ht="13.5">
      <c r="A262" s="222"/>
      <c r="B262" s="222"/>
      <c r="C262" s="222"/>
      <c r="D262" s="222"/>
      <c r="E262" s="223"/>
      <c r="F262" s="261" t="s">
        <v>825</v>
      </c>
      <c r="G262" s="211"/>
      <c r="H262" s="211"/>
      <c r="I262" s="211"/>
      <c r="J262" s="109">
        <f t="shared" si="110"/>
        <v>0</v>
      </c>
      <c r="K262" s="211"/>
      <c r="L262" s="211"/>
      <c r="M262" s="109">
        <f t="shared" si="144"/>
        <v>0</v>
      </c>
      <c r="N262" s="211"/>
      <c r="O262" s="211"/>
      <c r="P262" s="109">
        <f t="shared" si="145"/>
        <v>0</v>
      </c>
      <c r="Q262" s="211"/>
      <c r="R262" s="211"/>
      <c r="S262" s="109">
        <f t="shared" si="146"/>
        <v>0</v>
      </c>
      <c r="T262" s="224">
        <v>1500000</v>
      </c>
      <c r="U262" s="224">
        <v>1000000</v>
      </c>
    </row>
    <row r="263" spans="1:21" s="273" customFormat="1" ht="25.5">
      <c r="A263" s="222"/>
      <c r="B263" s="222"/>
      <c r="C263" s="222"/>
      <c r="D263" s="222"/>
      <c r="E263" s="223"/>
      <c r="F263" s="261" t="s">
        <v>826</v>
      </c>
      <c r="G263" s="211"/>
      <c r="H263" s="211"/>
      <c r="I263" s="211"/>
      <c r="J263" s="109">
        <f t="shared" si="110"/>
        <v>0</v>
      </c>
      <c r="K263" s="211"/>
      <c r="L263" s="211"/>
      <c r="M263" s="109">
        <f t="shared" si="144"/>
        <v>0</v>
      </c>
      <c r="N263" s="211"/>
      <c r="O263" s="211"/>
      <c r="P263" s="109">
        <f t="shared" si="145"/>
        <v>0</v>
      </c>
      <c r="Q263" s="211"/>
      <c r="R263" s="211"/>
      <c r="S263" s="109">
        <f t="shared" si="146"/>
        <v>0</v>
      </c>
      <c r="T263" s="224">
        <v>2500000</v>
      </c>
      <c r="U263" s="224">
        <v>1000000</v>
      </c>
    </row>
    <row r="264" spans="1:21" s="273" customFormat="1" ht="16.5" customHeight="1">
      <c r="A264" s="222"/>
      <c r="B264" s="222"/>
      <c r="C264" s="222"/>
      <c r="D264" s="222"/>
      <c r="E264" s="223"/>
      <c r="F264" s="261" t="s">
        <v>827</v>
      </c>
      <c r="G264" s="211"/>
      <c r="H264" s="211"/>
      <c r="I264" s="211"/>
      <c r="J264" s="109">
        <f t="shared" si="110"/>
        <v>0</v>
      </c>
      <c r="K264" s="211"/>
      <c r="L264" s="211"/>
      <c r="M264" s="109">
        <f t="shared" si="144"/>
        <v>0</v>
      </c>
      <c r="N264" s="211"/>
      <c r="O264" s="211"/>
      <c r="P264" s="109">
        <f t="shared" si="145"/>
        <v>0</v>
      </c>
      <c r="Q264" s="211"/>
      <c r="R264" s="211"/>
      <c r="S264" s="109">
        <f t="shared" si="146"/>
        <v>0</v>
      </c>
      <c r="T264" s="224"/>
      <c r="U264" s="224">
        <v>500000</v>
      </c>
    </row>
    <row r="265" spans="1:21" s="273" customFormat="1" ht="25.5">
      <c r="A265" s="222"/>
      <c r="B265" s="222"/>
      <c r="C265" s="222"/>
      <c r="D265" s="222"/>
      <c r="E265" s="223"/>
      <c r="F265" s="261" t="s">
        <v>828</v>
      </c>
      <c r="G265" s="211"/>
      <c r="H265" s="211"/>
      <c r="I265" s="211"/>
      <c r="J265" s="109">
        <f t="shared" si="110"/>
        <v>0</v>
      </c>
      <c r="K265" s="211"/>
      <c r="L265" s="211"/>
      <c r="M265" s="109">
        <f t="shared" si="144"/>
        <v>0</v>
      </c>
      <c r="N265" s="211"/>
      <c r="O265" s="211"/>
      <c r="P265" s="109">
        <f t="shared" si="145"/>
        <v>0</v>
      </c>
      <c r="Q265" s="211"/>
      <c r="R265" s="211"/>
      <c r="S265" s="109">
        <f t="shared" si="146"/>
        <v>0</v>
      </c>
      <c r="T265" s="224">
        <v>3500000</v>
      </c>
      <c r="U265" s="224">
        <v>2000000</v>
      </c>
    </row>
    <row r="266" spans="1:21" s="273" customFormat="1" ht="25.5">
      <c r="A266" s="222"/>
      <c r="B266" s="222"/>
      <c r="C266" s="222"/>
      <c r="D266" s="222"/>
      <c r="E266" s="223"/>
      <c r="F266" s="261" t="s">
        <v>829</v>
      </c>
      <c r="G266" s="211"/>
      <c r="H266" s="211"/>
      <c r="I266" s="211"/>
      <c r="J266" s="109">
        <f t="shared" si="110"/>
        <v>0</v>
      </c>
      <c r="K266" s="211"/>
      <c r="L266" s="211"/>
      <c r="M266" s="109">
        <f t="shared" si="144"/>
        <v>0</v>
      </c>
      <c r="N266" s="211"/>
      <c r="O266" s="211"/>
      <c r="P266" s="109">
        <f t="shared" si="145"/>
        <v>0</v>
      </c>
      <c r="Q266" s="211"/>
      <c r="R266" s="211"/>
      <c r="S266" s="109">
        <f t="shared" si="146"/>
        <v>0</v>
      </c>
      <c r="T266" s="224">
        <v>3444264</v>
      </c>
      <c r="U266" s="224">
        <v>2000000</v>
      </c>
    </row>
    <row r="267" spans="1:21" s="273" customFormat="1" ht="38.25">
      <c r="A267" s="222"/>
      <c r="B267" s="222"/>
      <c r="C267" s="222"/>
      <c r="D267" s="222"/>
      <c r="E267" s="223"/>
      <c r="F267" s="261" t="s">
        <v>830</v>
      </c>
      <c r="G267" s="211"/>
      <c r="H267" s="211"/>
      <c r="I267" s="211"/>
      <c r="J267" s="109">
        <f t="shared" si="110"/>
        <v>0</v>
      </c>
      <c r="K267" s="211"/>
      <c r="L267" s="211"/>
      <c r="M267" s="109">
        <f t="shared" si="144"/>
        <v>0</v>
      </c>
      <c r="N267" s="211"/>
      <c r="O267" s="211"/>
      <c r="P267" s="109">
        <f t="shared" si="145"/>
        <v>0</v>
      </c>
      <c r="Q267" s="211"/>
      <c r="R267" s="211"/>
      <c r="S267" s="109">
        <f t="shared" si="146"/>
        <v>0</v>
      </c>
      <c r="T267" s="224"/>
      <c r="U267" s="224">
        <v>1500000</v>
      </c>
    </row>
    <row r="268" spans="1:21" s="273" customFormat="1" ht="38.25">
      <c r="A268" s="222"/>
      <c r="B268" s="222"/>
      <c r="C268" s="222"/>
      <c r="D268" s="222"/>
      <c r="E268" s="223"/>
      <c r="F268" s="261" t="s">
        <v>831</v>
      </c>
      <c r="G268" s="211"/>
      <c r="H268" s="211"/>
      <c r="I268" s="211"/>
      <c r="J268" s="109">
        <f t="shared" si="110"/>
        <v>0</v>
      </c>
      <c r="K268" s="211"/>
      <c r="L268" s="211"/>
      <c r="M268" s="109">
        <f t="shared" si="144"/>
        <v>0</v>
      </c>
      <c r="N268" s="211"/>
      <c r="O268" s="211"/>
      <c r="P268" s="109">
        <f t="shared" si="145"/>
        <v>0</v>
      </c>
      <c r="Q268" s="211"/>
      <c r="R268" s="211"/>
      <c r="S268" s="109">
        <f t="shared" si="146"/>
        <v>0</v>
      </c>
      <c r="T268" s="224"/>
      <c r="U268" s="224">
        <v>1500000</v>
      </c>
    </row>
    <row r="269" spans="1:21" s="273" customFormat="1" ht="25.5">
      <c r="A269" s="222"/>
      <c r="B269" s="222"/>
      <c r="C269" s="222"/>
      <c r="D269" s="222"/>
      <c r="E269" s="223"/>
      <c r="F269" s="261" t="s">
        <v>832</v>
      </c>
      <c r="G269" s="211"/>
      <c r="H269" s="211"/>
      <c r="I269" s="211"/>
      <c r="J269" s="109">
        <f t="shared" si="110"/>
        <v>0</v>
      </c>
      <c r="K269" s="211"/>
      <c r="L269" s="211"/>
      <c r="M269" s="109">
        <f t="shared" si="144"/>
        <v>0</v>
      </c>
      <c r="N269" s="211"/>
      <c r="O269" s="211"/>
      <c r="P269" s="109">
        <f t="shared" si="145"/>
        <v>0</v>
      </c>
      <c r="Q269" s="211"/>
      <c r="R269" s="211"/>
      <c r="S269" s="109">
        <f t="shared" si="146"/>
        <v>0</v>
      </c>
      <c r="T269" s="224"/>
      <c r="U269" s="224">
        <v>1500000</v>
      </c>
    </row>
    <row r="270" spans="1:21">
      <c r="A270" s="218"/>
      <c r="B270" s="218"/>
      <c r="C270" s="218"/>
      <c r="D270" s="218"/>
      <c r="E270" s="219"/>
      <c r="F270" s="216" t="s">
        <v>676</v>
      </c>
      <c r="G270" s="217">
        <f>SUM(G271)</f>
        <v>10000</v>
      </c>
      <c r="H270" s="217">
        <f t="shared" ref="H270:U270" si="147">SUM(H271)</f>
        <v>0</v>
      </c>
      <c r="I270" s="217">
        <f t="shared" si="147"/>
        <v>0</v>
      </c>
      <c r="J270" s="217">
        <f t="shared" si="147"/>
        <v>10000</v>
      </c>
      <c r="K270" s="217">
        <f t="shared" si="147"/>
        <v>0</v>
      </c>
      <c r="L270" s="217">
        <f t="shared" si="147"/>
        <v>0</v>
      </c>
      <c r="M270" s="217">
        <f t="shared" si="147"/>
        <v>10000</v>
      </c>
      <c r="N270" s="217">
        <f t="shared" si="147"/>
        <v>0</v>
      </c>
      <c r="O270" s="217">
        <f t="shared" si="147"/>
        <v>0</v>
      </c>
      <c r="P270" s="217">
        <f t="shared" si="147"/>
        <v>10000</v>
      </c>
      <c r="Q270" s="217">
        <f t="shared" si="147"/>
        <v>0</v>
      </c>
      <c r="R270" s="217">
        <f t="shared" si="147"/>
        <v>0</v>
      </c>
      <c r="S270" s="217">
        <f t="shared" si="147"/>
        <v>10000</v>
      </c>
      <c r="T270" s="217">
        <f t="shared" si="147"/>
        <v>55736</v>
      </c>
      <c r="U270" s="217">
        <f t="shared" si="147"/>
        <v>0</v>
      </c>
    </row>
    <row r="271" spans="1:21" ht="25.5">
      <c r="A271" s="218"/>
      <c r="B271" s="218"/>
      <c r="C271" s="218"/>
      <c r="D271" s="218"/>
      <c r="E271" s="219"/>
      <c r="F271" s="215" t="s">
        <v>833</v>
      </c>
      <c r="G271" s="211">
        <v>10000</v>
      </c>
      <c r="H271" s="211"/>
      <c r="I271" s="211"/>
      <c r="J271" s="109">
        <f t="shared" si="110"/>
        <v>10000</v>
      </c>
      <c r="K271" s="211"/>
      <c r="L271" s="211"/>
      <c r="M271" s="109">
        <f t="shared" ref="M271" si="148">J271+K271-L271</f>
        <v>10000</v>
      </c>
      <c r="N271" s="211"/>
      <c r="O271" s="211"/>
      <c r="P271" s="109">
        <f t="shared" ref="P271" si="149">M271+N271-O271</f>
        <v>10000</v>
      </c>
      <c r="Q271" s="211"/>
      <c r="R271" s="211"/>
      <c r="S271" s="109">
        <f t="shared" ref="S271" si="150">P271+Q271-R271</f>
        <v>10000</v>
      </c>
      <c r="T271" s="221">
        <v>55736</v>
      </c>
      <c r="U271" s="221"/>
    </row>
    <row r="272" spans="1:21">
      <c r="A272" s="218"/>
      <c r="B272" s="218"/>
      <c r="C272" s="218" t="s">
        <v>305</v>
      </c>
      <c r="D272" s="218"/>
      <c r="E272" s="219"/>
      <c r="F272" s="261" t="s">
        <v>288</v>
      </c>
      <c r="G272" s="221">
        <f>G273+G278</f>
        <v>0</v>
      </c>
      <c r="H272" s="221">
        <f t="shared" ref="H272:U272" si="151">H273+H278</f>
        <v>0</v>
      </c>
      <c r="I272" s="221">
        <f t="shared" si="151"/>
        <v>0</v>
      </c>
      <c r="J272" s="221">
        <f t="shared" si="151"/>
        <v>0</v>
      </c>
      <c r="K272" s="221">
        <f t="shared" si="151"/>
        <v>1634239</v>
      </c>
      <c r="L272" s="221">
        <f t="shared" si="151"/>
        <v>0</v>
      </c>
      <c r="M272" s="221">
        <f t="shared" si="151"/>
        <v>1634239</v>
      </c>
      <c r="N272" s="221">
        <f t="shared" si="151"/>
        <v>0</v>
      </c>
      <c r="O272" s="221">
        <f t="shared" si="151"/>
        <v>0</v>
      </c>
      <c r="P272" s="221">
        <f t="shared" si="151"/>
        <v>1634239</v>
      </c>
      <c r="Q272" s="221">
        <f t="shared" si="151"/>
        <v>0</v>
      </c>
      <c r="R272" s="221">
        <f t="shared" si="151"/>
        <v>0</v>
      </c>
      <c r="S272" s="221">
        <f t="shared" si="151"/>
        <v>1634239</v>
      </c>
      <c r="T272" s="221">
        <f t="shared" si="151"/>
        <v>3000000</v>
      </c>
      <c r="U272" s="221">
        <f t="shared" si="151"/>
        <v>3000000</v>
      </c>
    </row>
    <row r="273" spans="1:24" s="225" customFormat="1">
      <c r="A273" s="222"/>
      <c r="B273" s="222"/>
      <c r="C273" s="222"/>
      <c r="D273" s="222" t="s">
        <v>195</v>
      </c>
      <c r="E273" s="223"/>
      <c r="F273" s="220" t="s">
        <v>834</v>
      </c>
      <c r="G273" s="224">
        <f t="shared" ref="G273:U273" si="152">G274</f>
        <v>0</v>
      </c>
      <c r="H273" s="224">
        <f t="shared" si="152"/>
        <v>0</v>
      </c>
      <c r="I273" s="224">
        <f t="shared" si="152"/>
        <v>0</v>
      </c>
      <c r="J273" s="224">
        <f t="shared" si="152"/>
        <v>0</v>
      </c>
      <c r="K273" s="224">
        <f t="shared" si="152"/>
        <v>1634239</v>
      </c>
      <c r="L273" s="224">
        <f t="shared" si="152"/>
        <v>0</v>
      </c>
      <c r="M273" s="224">
        <f t="shared" si="152"/>
        <v>1634239</v>
      </c>
      <c r="N273" s="224">
        <f t="shared" si="152"/>
        <v>0</v>
      </c>
      <c r="O273" s="224">
        <f t="shared" si="152"/>
        <v>0</v>
      </c>
      <c r="P273" s="224">
        <f t="shared" si="152"/>
        <v>1634239</v>
      </c>
      <c r="Q273" s="224">
        <f t="shared" si="152"/>
        <v>0</v>
      </c>
      <c r="R273" s="224">
        <f t="shared" si="152"/>
        <v>0</v>
      </c>
      <c r="S273" s="224">
        <f t="shared" si="152"/>
        <v>1634239</v>
      </c>
      <c r="T273" s="224">
        <f t="shared" si="152"/>
        <v>2000000</v>
      </c>
      <c r="U273" s="224">
        <f t="shared" si="152"/>
        <v>2000000</v>
      </c>
    </row>
    <row r="274" spans="1:24" s="225" customFormat="1">
      <c r="A274" s="222"/>
      <c r="B274" s="222"/>
      <c r="C274" s="222"/>
      <c r="D274" s="222"/>
      <c r="E274" s="223" t="s">
        <v>113</v>
      </c>
      <c r="F274" s="220" t="s">
        <v>8</v>
      </c>
      <c r="G274" s="224">
        <f>SUM(G275:G277)</f>
        <v>0</v>
      </c>
      <c r="H274" s="224">
        <f t="shared" ref="H274:U274" si="153">SUM(H275:H277)</f>
        <v>0</v>
      </c>
      <c r="I274" s="224">
        <f t="shared" si="153"/>
        <v>0</v>
      </c>
      <c r="J274" s="224">
        <f t="shared" si="153"/>
        <v>0</v>
      </c>
      <c r="K274" s="224">
        <f t="shared" si="153"/>
        <v>1634239</v>
      </c>
      <c r="L274" s="224">
        <f t="shared" si="153"/>
        <v>0</v>
      </c>
      <c r="M274" s="224">
        <f t="shared" si="153"/>
        <v>1634239</v>
      </c>
      <c r="N274" s="224">
        <f t="shared" si="153"/>
        <v>0</v>
      </c>
      <c r="O274" s="224">
        <f t="shared" si="153"/>
        <v>0</v>
      </c>
      <c r="P274" s="224">
        <f t="shared" si="153"/>
        <v>1634239</v>
      </c>
      <c r="Q274" s="224">
        <f t="shared" si="153"/>
        <v>0</v>
      </c>
      <c r="R274" s="224">
        <f t="shared" si="153"/>
        <v>0</v>
      </c>
      <c r="S274" s="224">
        <f t="shared" si="153"/>
        <v>1634239</v>
      </c>
      <c r="T274" s="224">
        <f t="shared" si="153"/>
        <v>2000000</v>
      </c>
      <c r="U274" s="224">
        <f t="shared" si="153"/>
        <v>2000000</v>
      </c>
      <c r="V274" s="242"/>
      <c r="W274" s="242"/>
      <c r="X274" s="242"/>
    </row>
    <row r="275" spans="1:24" s="225" customFormat="1">
      <c r="A275" s="222"/>
      <c r="B275" s="222"/>
      <c r="C275" s="222"/>
      <c r="D275" s="222"/>
      <c r="E275" s="223"/>
      <c r="F275" s="220" t="s">
        <v>835</v>
      </c>
      <c r="G275" s="224"/>
      <c r="H275" s="224"/>
      <c r="I275" s="224"/>
      <c r="J275" s="109">
        <f t="shared" si="110"/>
        <v>0</v>
      </c>
      <c r="K275" s="224">
        <v>1459491</v>
      </c>
      <c r="L275" s="224"/>
      <c r="M275" s="109">
        <f t="shared" ref="M275:M277" si="154">J275+K275-L275</f>
        <v>1459491</v>
      </c>
      <c r="N275" s="224"/>
      <c r="O275" s="224"/>
      <c r="P275" s="109">
        <f t="shared" ref="P275:P277" si="155">M275+N275-O275</f>
        <v>1459491</v>
      </c>
      <c r="Q275" s="224"/>
      <c r="R275" s="224"/>
      <c r="S275" s="109">
        <f t="shared" ref="S275:S277" si="156">P275+Q275-R275</f>
        <v>1459491</v>
      </c>
      <c r="T275" s="224">
        <v>1000000</v>
      </c>
      <c r="U275" s="224">
        <v>1000000</v>
      </c>
      <c r="V275" s="242"/>
      <c r="W275" s="242"/>
      <c r="X275" s="242"/>
    </row>
    <row r="276" spans="1:24" s="225" customFormat="1">
      <c r="A276" s="222"/>
      <c r="B276" s="222"/>
      <c r="C276" s="222"/>
      <c r="D276" s="222"/>
      <c r="E276" s="223"/>
      <c r="F276" s="220" t="s">
        <v>836</v>
      </c>
      <c r="G276" s="224"/>
      <c r="H276" s="224"/>
      <c r="I276" s="224"/>
      <c r="J276" s="109"/>
      <c r="K276" s="224">
        <v>174748</v>
      </c>
      <c r="L276" s="224"/>
      <c r="M276" s="109">
        <f t="shared" si="154"/>
        <v>174748</v>
      </c>
      <c r="N276" s="224"/>
      <c r="O276" s="224"/>
      <c r="P276" s="109">
        <f t="shared" si="155"/>
        <v>174748</v>
      </c>
      <c r="Q276" s="224"/>
      <c r="R276" s="224"/>
      <c r="S276" s="109">
        <f t="shared" si="156"/>
        <v>174748</v>
      </c>
      <c r="T276" s="224"/>
      <c r="U276" s="224"/>
      <c r="V276" s="242"/>
      <c r="W276" s="242"/>
      <c r="X276" s="242"/>
    </row>
    <row r="277" spans="1:24" s="225" customFormat="1">
      <c r="A277" s="222"/>
      <c r="B277" s="222"/>
      <c r="C277" s="222"/>
      <c r="D277" s="222"/>
      <c r="E277" s="223"/>
      <c r="F277" s="243" t="s">
        <v>837</v>
      </c>
      <c r="G277" s="224"/>
      <c r="H277" s="224"/>
      <c r="I277" s="224"/>
      <c r="J277" s="109">
        <f t="shared" si="110"/>
        <v>0</v>
      </c>
      <c r="K277" s="224"/>
      <c r="L277" s="224"/>
      <c r="M277" s="109">
        <f t="shared" si="154"/>
        <v>0</v>
      </c>
      <c r="N277" s="224"/>
      <c r="O277" s="224"/>
      <c r="P277" s="109">
        <f t="shared" si="155"/>
        <v>0</v>
      </c>
      <c r="Q277" s="224"/>
      <c r="R277" s="224"/>
      <c r="S277" s="109">
        <f t="shared" si="156"/>
        <v>0</v>
      </c>
      <c r="T277" s="224">
        <v>1000000</v>
      </c>
      <c r="U277" s="224">
        <v>1000000</v>
      </c>
      <c r="V277" s="242"/>
      <c r="W277" s="242"/>
      <c r="X277" s="242"/>
    </row>
    <row r="278" spans="1:24" s="225" customFormat="1">
      <c r="A278" s="222"/>
      <c r="B278" s="222"/>
      <c r="C278" s="222"/>
      <c r="D278" s="11" t="s">
        <v>341</v>
      </c>
      <c r="E278" s="223"/>
      <c r="F278" s="220" t="s">
        <v>297</v>
      </c>
      <c r="G278" s="211">
        <f>G279</f>
        <v>0</v>
      </c>
      <c r="H278" s="211">
        <f t="shared" ref="H278:U279" si="157">H279</f>
        <v>0</v>
      </c>
      <c r="I278" s="211">
        <f t="shared" si="157"/>
        <v>0</v>
      </c>
      <c r="J278" s="211">
        <f t="shared" si="157"/>
        <v>0</v>
      </c>
      <c r="K278" s="211">
        <f t="shared" si="157"/>
        <v>0</v>
      </c>
      <c r="L278" s="211">
        <f t="shared" si="157"/>
        <v>0</v>
      </c>
      <c r="M278" s="211">
        <f t="shared" si="157"/>
        <v>0</v>
      </c>
      <c r="N278" s="211">
        <f t="shared" si="157"/>
        <v>0</v>
      </c>
      <c r="O278" s="211">
        <f t="shared" si="157"/>
        <v>0</v>
      </c>
      <c r="P278" s="211">
        <f t="shared" si="157"/>
        <v>0</v>
      </c>
      <c r="Q278" s="211">
        <f t="shared" si="157"/>
        <v>0</v>
      </c>
      <c r="R278" s="211">
        <f t="shared" si="157"/>
        <v>0</v>
      </c>
      <c r="S278" s="211">
        <f t="shared" si="157"/>
        <v>0</v>
      </c>
      <c r="T278" s="211">
        <f t="shared" si="157"/>
        <v>1000000</v>
      </c>
      <c r="U278" s="211">
        <f t="shared" si="157"/>
        <v>1000000</v>
      </c>
    </row>
    <row r="279" spans="1:24" s="225" customFormat="1">
      <c r="A279" s="222"/>
      <c r="B279" s="222"/>
      <c r="C279" s="222"/>
      <c r="D279" s="222"/>
      <c r="E279" s="223" t="s">
        <v>113</v>
      </c>
      <c r="F279" s="220" t="s">
        <v>8</v>
      </c>
      <c r="G279" s="211">
        <f>G280</f>
        <v>0</v>
      </c>
      <c r="H279" s="211">
        <f t="shared" si="157"/>
        <v>0</v>
      </c>
      <c r="I279" s="211">
        <f t="shared" si="157"/>
        <v>0</v>
      </c>
      <c r="J279" s="211">
        <f t="shared" si="157"/>
        <v>0</v>
      </c>
      <c r="K279" s="211">
        <f t="shared" si="157"/>
        <v>0</v>
      </c>
      <c r="L279" s="211">
        <f t="shared" si="157"/>
        <v>0</v>
      </c>
      <c r="M279" s="211">
        <f t="shared" si="157"/>
        <v>0</v>
      </c>
      <c r="N279" s="211">
        <f t="shared" si="157"/>
        <v>0</v>
      </c>
      <c r="O279" s="211">
        <f t="shared" si="157"/>
        <v>0</v>
      </c>
      <c r="P279" s="211">
        <f t="shared" si="157"/>
        <v>0</v>
      </c>
      <c r="Q279" s="211">
        <f t="shared" si="157"/>
        <v>0</v>
      </c>
      <c r="R279" s="211">
        <f t="shared" si="157"/>
        <v>0</v>
      </c>
      <c r="S279" s="211">
        <f t="shared" si="157"/>
        <v>0</v>
      </c>
      <c r="T279" s="211">
        <f t="shared" si="157"/>
        <v>1000000</v>
      </c>
      <c r="U279" s="211">
        <f t="shared" si="157"/>
        <v>1000000</v>
      </c>
    </row>
    <row r="280" spans="1:24" s="225" customFormat="1" ht="25.5">
      <c r="A280" s="222"/>
      <c r="B280" s="222"/>
      <c r="C280" s="222"/>
      <c r="D280" s="222"/>
      <c r="E280" s="223"/>
      <c r="F280" s="220" t="s">
        <v>838</v>
      </c>
      <c r="G280" s="211"/>
      <c r="H280" s="211"/>
      <c r="I280" s="211"/>
      <c r="J280" s="109">
        <f t="shared" si="110"/>
        <v>0</v>
      </c>
      <c r="K280" s="211"/>
      <c r="L280" s="211"/>
      <c r="M280" s="109">
        <f t="shared" ref="M280" si="158">J280+K280-L280</f>
        <v>0</v>
      </c>
      <c r="N280" s="211"/>
      <c r="O280" s="211"/>
      <c r="P280" s="109">
        <f t="shared" ref="P280" si="159">M280+N280-O280</f>
        <v>0</v>
      </c>
      <c r="Q280" s="211"/>
      <c r="R280" s="211"/>
      <c r="S280" s="109">
        <f t="shared" ref="S280" si="160">P280+Q280-R280</f>
        <v>0</v>
      </c>
      <c r="T280" s="211">
        <v>1000000</v>
      </c>
      <c r="U280" s="211">
        <v>1000000</v>
      </c>
    </row>
    <row r="281" spans="1:24">
      <c r="A281" s="218" t="s">
        <v>74</v>
      </c>
      <c r="B281" s="218"/>
      <c r="C281" s="218"/>
      <c r="D281" s="218"/>
      <c r="E281" s="219"/>
      <c r="F281" s="243" t="s">
        <v>75</v>
      </c>
      <c r="G281" s="221">
        <f>G282+G306</f>
        <v>1316207</v>
      </c>
      <c r="H281" s="221">
        <f t="shared" ref="H281:S281" si="161">H282+H306</f>
        <v>4698</v>
      </c>
      <c r="I281" s="221">
        <f t="shared" si="161"/>
        <v>0</v>
      </c>
      <c r="J281" s="221">
        <f t="shared" si="161"/>
        <v>1320905</v>
      </c>
      <c r="K281" s="221">
        <f t="shared" si="161"/>
        <v>300000</v>
      </c>
      <c r="L281" s="221">
        <f t="shared" si="161"/>
        <v>0</v>
      </c>
      <c r="M281" s="221">
        <f t="shared" si="161"/>
        <v>1620905</v>
      </c>
      <c r="N281" s="221">
        <f t="shared" si="161"/>
        <v>4201</v>
      </c>
      <c r="O281" s="221">
        <f t="shared" si="161"/>
        <v>0</v>
      </c>
      <c r="P281" s="221">
        <f t="shared" si="161"/>
        <v>1625106</v>
      </c>
      <c r="Q281" s="221">
        <f t="shared" si="161"/>
        <v>0</v>
      </c>
      <c r="R281" s="221">
        <f t="shared" si="161"/>
        <v>0</v>
      </c>
      <c r="S281" s="221">
        <f t="shared" si="161"/>
        <v>1625106</v>
      </c>
      <c r="T281" s="221">
        <f>T282+T306</f>
        <v>45500000</v>
      </c>
      <c r="U281" s="221">
        <f>U282+U306</f>
        <v>48700000</v>
      </c>
    </row>
    <row r="282" spans="1:24">
      <c r="A282" s="218"/>
      <c r="B282" s="218">
        <v>1</v>
      </c>
      <c r="C282" s="218"/>
      <c r="D282" s="218"/>
      <c r="E282" s="219"/>
      <c r="F282" s="220" t="s">
        <v>839</v>
      </c>
      <c r="G282" s="221">
        <f t="shared" ref="G282:U284" si="162">G283</f>
        <v>398644</v>
      </c>
      <c r="H282" s="221">
        <f t="shared" si="162"/>
        <v>0</v>
      </c>
      <c r="I282" s="221">
        <f t="shared" si="162"/>
        <v>0</v>
      </c>
      <c r="J282" s="221">
        <f t="shared" si="162"/>
        <v>398644</v>
      </c>
      <c r="K282" s="221">
        <f t="shared" si="162"/>
        <v>300000</v>
      </c>
      <c r="L282" s="221">
        <f t="shared" si="162"/>
        <v>0</v>
      </c>
      <c r="M282" s="221">
        <f t="shared" si="162"/>
        <v>698644</v>
      </c>
      <c r="N282" s="221">
        <f t="shared" si="162"/>
        <v>0</v>
      </c>
      <c r="O282" s="221">
        <f t="shared" si="162"/>
        <v>0</v>
      </c>
      <c r="P282" s="221">
        <f t="shared" si="162"/>
        <v>698644</v>
      </c>
      <c r="Q282" s="221">
        <f t="shared" si="162"/>
        <v>0</v>
      </c>
      <c r="R282" s="221">
        <f t="shared" si="162"/>
        <v>0</v>
      </c>
      <c r="S282" s="221">
        <f t="shared" si="162"/>
        <v>698644</v>
      </c>
      <c r="T282" s="221">
        <f t="shared" si="162"/>
        <v>3500000</v>
      </c>
      <c r="U282" s="221">
        <f t="shared" si="162"/>
        <v>10200000</v>
      </c>
    </row>
    <row r="283" spans="1:24">
      <c r="A283" s="218"/>
      <c r="B283" s="218"/>
      <c r="C283" s="218" t="s">
        <v>305</v>
      </c>
      <c r="D283" s="218"/>
      <c r="E283" s="219"/>
      <c r="F283" s="220" t="s">
        <v>288</v>
      </c>
      <c r="G283" s="221">
        <f t="shared" si="162"/>
        <v>398644</v>
      </c>
      <c r="H283" s="221">
        <f t="shared" si="162"/>
        <v>0</v>
      </c>
      <c r="I283" s="221">
        <f t="shared" si="162"/>
        <v>0</v>
      </c>
      <c r="J283" s="221">
        <f t="shared" si="162"/>
        <v>398644</v>
      </c>
      <c r="K283" s="221">
        <f t="shared" si="162"/>
        <v>300000</v>
      </c>
      <c r="L283" s="221">
        <f t="shared" si="162"/>
        <v>0</v>
      </c>
      <c r="M283" s="221">
        <f t="shared" si="162"/>
        <v>698644</v>
      </c>
      <c r="N283" s="221">
        <f t="shared" si="162"/>
        <v>0</v>
      </c>
      <c r="O283" s="221">
        <f t="shared" si="162"/>
        <v>0</v>
      </c>
      <c r="P283" s="221">
        <f t="shared" si="162"/>
        <v>698644</v>
      </c>
      <c r="Q283" s="221">
        <f t="shared" si="162"/>
        <v>0</v>
      </c>
      <c r="R283" s="221">
        <f t="shared" si="162"/>
        <v>0</v>
      </c>
      <c r="S283" s="221">
        <f t="shared" si="162"/>
        <v>698644</v>
      </c>
      <c r="T283" s="221">
        <f t="shared" si="162"/>
        <v>3500000</v>
      </c>
      <c r="U283" s="221">
        <f t="shared" si="162"/>
        <v>10200000</v>
      </c>
    </row>
    <row r="284" spans="1:24" s="225" customFormat="1">
      <c r="A284" s="222"/>
      <c r="B284" s="222"/>
      <c r="C284" s="222"/>
      <c r="D284" s="222" t="s">
        <v>116</v>
      </c>
      <c r="E284" s="223"/>
      <c r="F284" s="220" t="s">
        <v>304</v>
      </c>
      <c r="G284" s="224">
        <f t="shared" si="162"/>
        <v>398644</v>
      </c>
      <c r="H284" s="224">
        <f t="shared" si="162"/>
        <v>0</v>
      </c>
      <c r="I284" s="224">
        <f t="shared" si="162"/>
        <v>0</v>
      </c>
      <c r="J284" s="224">
        <f t="shared" si="162"/>
        <v>398644</v>
      </c>
      <c r="K284" s="224">
        <f t="shared" si="162"/>
        <v>300000</v>
      </c>
      <c r="L284" s="224">
        <f t="shared" si="162"/>
        <v>0</v>
      </c>
      <c r="M284" s="224">
        <f t="shared" si="162"/>
        <v>698644</v>
      </c>
      <c r="N284" s="224">
        <f t="shared" si="162"/>
        <v>0</v>
      </c>
      <c r="O284" s="224">
        <f t="shared" si="162"/>
        <v>0</v>
      </c>
      <c r="P284" s="224">
        <f t="shared" si="162"/>
        <v>698644</v>
      </c>
      <c r="Q284" s="224">
        <f t="shared" si="162"/>
        <v>0</v>
      </c>
      <c r="R284" s="224">
        <f t="shared" si="162"/>
        <v>0</v>
      </c>
      <c r="S284" s="224">
        <f t="shared" si="162"/>
        <v>698644</v>
      </c>
      <c r="T284" s="224">
        <f t="shared" si="162"/>
        <v>3500000</v>
      </c>
      <c r="U284" s="224">
        <f t="shared" si="162"/>
        <v>10200000</v>
      </c>
    </row>
    <row r="285" spans="1:24" s="225" customFormat="1">
      <c r="A285" s="222"/>
      <c r="B285" s="222"/>
      <c r="C285" s="222"/>
      <c r="D285" s="222"/>
      <c r="E285" s="223" t="s">
        <v>113</v>
      </c>
      <c r="F285" s="220" t="s">
        <v>8</v>
      </c>
      <c r="G285" s="224">
        <f>SUM(G286:G304)</f>
        <v>398644</v>
      </c>
      <c r="H285" s="224">
        <f t="shared" ref="H285:U285" si="163">SUM(H286:H304)</f>
        <v>0</v>
      </c>
      <c r="I285" s="224">
        <f t="shared" si="163"/>
        <v>0</v>
      </c>
      <c r="J285" s="224">
        <f t="shared" si="163"/>
        <v>398644</v>
      </c>
      <c r="K285" s="224">
        <f t="shared" si="163"/>
        <v>300000</v>
      </c>
      <c r="L285" s="224">
        <f t="shared" si="163"/>
        <v>0</v>
      </c>
      <c r="M285" s="224">
        <f t="shared" si="163"/>
        <v>698644</v>
      </c>
      <c r="N285" s="224">
        <f t="shared" si="163"/>
        <v>0</v>
      </c>
      <c r="O285" s="224">
        <f t="shared" si="163"/>
        <v>0</v>
      </c>
      <c r="P285" s="224">
        <f t="shared" si="163"/>
        <v>698644</v>
      </c>
      <c r="Q285" s="224">
        <f t="shared" si="163"/>
        <v>0</v>
      </c>
      <c r="R285" s="224">
        <f t="shared" si="163"/>
        <v>0</v>
      </c>
      <c r="S285" s="224">
        <f t="shared" si="163"/>
        <v>698644</v>
      </c>
      <c r="T285" s="224">
        <f t="shared" si="163"/>
        <v>3500000</v>
      </c>
      <c r="U285" s="224">
        <f t="shared" si="163"/>
        <v>10200000</v>
      </c>
      <c r="V285" s="242"/>
      <c r="W285" s="242"/>
      <c r="X285" s="242"/>
    </row>
    <row r="286" spans="1:24" s="225" customFormat="1">
      <c r="A286" s="222"/>
      <c r="B286" s="222"/>
      <c r="C286" s="222"/>
      <c r="D286" s="222"/>
      <c r="E286" s="223"/>
      <c r="F286" s="220" t="s">
        <v>840</v>
      </c>
      <c r="G286" s="224"/>
      <c r="H286" s="224"/>
      <c r="I286" s="224"/>
      <c r="J286" s="109">
        <f t="shared" si="110"/>
        <v>0</v>
      </c>
      <c r="K286" s="224"/>
      <c r="L286" s="224"/>
      <c r="M286" s="109">
        <f t="shared" ref="M286:M303" si="164">J286+K286-L286</f>
        <v>0</v>
      </c>
      <c r="N286" s="224"/>
      <c r="O286" s="224"/>
      <c r="P286" s="109">
        <f t="shared" ref="P286:P303" si="165">M286+N286-O286</f>
        <v>0</v>
      </c>
      <c r="Q286" s="224"/>
      <c r="R286" s="224"/>
      <c r="S286" s="109">
        <f t="shared" ref="S286:S303" si="166">P286+Q286-R286</f>
        <v>0</v>
      </c>
      <c r="T286" s="224">
        <v>2601000</v>
      </c>
      <c r="U286" s="224">
        <v>3000000</v>
      </c>
      <c r="V286" s="242"/>
      <c r="W286" s="242"/>
      <c r="X286" s="242"/>
    </row>
    <row r="287" spans="1:24" s="225" customFormat="1" ht="26.25" customHeight="1">
      <c r="A287" s="222"/>
      <c r="B287" s="222"/>
      <c r="C287" s="222"/>
      <c r="D287" s="222"/>
      <c r="E287" s="223"/>
      <c r="F287" s="220" t="s">
        <v>841</v>
      </c>
      <c r="G287" s="224"/>
      <c r="H287" s="224"/>
      <c r="I287" s="224"/>
      <c r="J287" s="109">
        <f t="shared" si="110"/>
        <v>0</v>
      </c>
      <c r="K287" s="224">
        <v>300000</v>
      </c>
      <c r="L287" s="224"/>
      <c r="M287" s="109">
        <f t="shared" si="164"/>
        <v>300000</v>
      </c>
      <c r="N287" s="224"/>
      <c r="O287" s="224"/>
      <c r="P287" s="109">
        <f t="shared" si="165"/>
        <v>300000</v>
      </c>
      <c r="Q287" s="224"/>
      <c r="R287" s="224"/>
      <c r="S287" s="109">
        <f t="shared" si="166"/>
        <v>300000</v>
      </c>
      <c r="T287" s="224"/>
      <c r="U287" s="224">
        <v>200000</v>
      </c>
      <c r="V287" s="242"/>
      <c r="W287" s="242"/>
      <c r="X287" s="242"/>
    </row>
    <row r="288" spans="1:24" s="225" customFormat="1">
      <c r="A288" s="222"/>
      <c r="B288" s="222"/>
      <c r="C288" s="222"/>
      <c r="D288" s="222"/>
      <c r="E288" s="223"/>
      <c r="F288" s="220" t="s">
        <v>842</v>
      </c>
      <c r="G288" s="224"/>
      <c r="H288" s="224"/>
      <c r="I288" s="224"/>
      <c r="J288" s="109">
        <f t="shared" si="110"/>
        <v>0</v>
      </c>
      <c r="K288" s="224"/>
      <c r="L288" s="224"/>
      <c r="M288" s="109">
        <f t="shared" si="164"/>
        <v>0</v>
      </c>
      <c r="N288" s="224"/>
      <c r="O288" s="224"/>
      <c r="P288" s="109">
        <f t="shared" si="165"/>
        <v>0</v>
      </c>
      <c r="Q288" s="224"/>
      <c r="R288" s="224"/>
      <c r="S288" s="109">
        <f t="shared" si="166"/>
        <v>0</v>
      </c>
      <c r="T288" s="224"/>
      <c r="U288" s="224">
        <v>300000</v>
      </c>
      <c r="V288" s="242"/>
      <c r="W288" s="242"/>
      <c r="X288" s="242"/>
    </row>
    <row r="289" spans="1:24" s="225" customFormat="1">
      <c r="A289" s="222"/>
      <c r="B289" s="222"/>
      <c r="C289" s="222"/>
      <c r="D289" s="222"/>
      <c r="E289" s="223"/>
      <c r="F289" s="220" t="s">
        <v>843</v>
      </c>
      <c r="G289" s="224"/>
      <c r="H289" s="224"/>
      <c r="I289" s="224"/>
      <c r="J289" s="109">
        <f t="shared" si="110"/>
        <v>0</v>
      </c>
      <c r="K289" s="224"/>
      <c r="L289" s="224"/>
      <c r="M289" s="109">
        <f t="shared" si="164"/>
        <v>0</v>
      </c>
      <c r="N289" s="224"/>
      <c r="O289" s="224"/>
      <c r="P289" s="109">
        <f t="shared" si="165"/>
        <v>0</v>
      </c>
      <c r="Q289" s="224"/>
      <c r="R289" s="224"/>
      <c r="S289" s="109">
        <f t="shared" si="166"/>
        <v>0</v>
      </c>
      <c r="T289" s="224"/>
      <c r="U289" s="224">
        <v>500000</v>
      </c>
      <c r="V289" s="242"/>
      <c r="W289" s="242"/>
      <c r="X289" s="242"/>
    </row>
    <row r="290" spans="1:24" s="225" customFormat="1">
      <c r="A290" s="222"/>
      <c r="B290" s="222"/>
      <c r="C290" s="222"/>
      <c r="D290" s="222"/>
      <c r="E290" s="223"/>
      <c r="F290" s="220" t="s">
        <v>844</v>
      </c>
      <c r="G290" s="224"/>
      <c r="H290" s="224"/>
      <c r="I290" s="224"/>
      <c r="J290" s="109">
        <f t="shared" ref="J290:J358" si="167">G290+H290-I290</f>
        <v>0</v>
      </c>
      <c r="K290" s="224"/>
      <c r="L290" s="224"/>
      <c r="M290" s="109">
        <f t="shared" si="164"/>
        <v>0</v>
      </c>
      <c r="N290" s="224"/>
      <c r="O290" s="224"/>
      <c r="P290" s="109">
        <f t="shared" si="165"/>
        <v>0</v>
      </c>
      <c r="Q290" s="224"/>
      <c r="R290" s="224"/>
      <c r="S290" s="109">
        <f t="shared" si="166"/>
        <v>0</v>
      </c>
      <c r="T290" s="224"/>
      <c r="U290" s="224">
        <v>500000</v>
      </c>
      <c r="V290" s="242"/>
      <c r="W290" s="242"/>
      <c r="X290" s="242"/>
    </row>
    <row r="291" spans="1:24" s="225" customFormat="1">
      <c r="A291" s="222"/>
      <c r="B291" s="222"/>
      <c r="C291" s="222"/>
      <c r="D291" s="222"/>
      <c r="E291" s="223"/>
      <c r="F291" s="220" t="s">
        <v>845</v>
      </c>
      <c r="G291" s="224"/>
      <c r="H291" s="224"/>
      <c r="I291" s="224"/>
      <c r="J291" s="109">
        <f t="shared" si="167"/>
        <v>0</v>
      </c>
      <c r="K291" s="224"/>
      <c r="L291" s="224"/>
      <c r="M291" s="109">
        <f t="shared" si="164"/>
        <v>0</v>
      </c>
      <c r="N291" s="224"/>
      <c r="O291" s="224"/>
      <c r="P291" s="109">
        <f t="shared" si="165"/>
        <v>0</v>
      </c>
      <c r="Q291" s="224"/>
      <c r="R291" s="224"/>
      <c r="S291" s="109">
        <f t="shared" si="166"/>
        <v>0</v>
      </c>
      <c r="T291" s="224"/>
      <c r="U291" s="224">
        <v>500000</v>
      </c>
      <c r="V291" s="242"/>
      <c r="W291" s="242"/>
      <c r="X291" s="242"/>
    </row>
    <row r="292" spans="1:24" s="225" customFormat="1">
      <c r="A292" s="222"/>
      <c r="B292" s="222"/>
      <c r="C292" s="222"/>
      <c r="D292" s="222"/>
      <c r="E292" s="223"/>
      <c r="F292" s="220" t="s">
        <v>846</v>
      </c>
      <c r="G292" s="224"/>
      <c r="H292" s="224"/>
      <c r="I292" s="224"/>
      <c r="J292" s="109">
        <f t="shared" si="167"/>
        <v>0</v>
      </c>
      <c r="K292" s="224"/>
      <c r="L292" s="224"/>
      <c r="M292" s="109">
        <f t="shared" si="164"/>
        <v>0</v>
      </c>
      <c r="N292" s="224"/>
      <c r="O292" s="224"/>
      <c r="P292" s="109">
        <f t="shared" si="165"/>
        <v>0</v>
      </c>
      <c r="Q292" s="224"/>
      <c r="R292" s="224"/>
      <c r="S292" s="109">
        <f t="shared" si="166"/>
        <v>0</v>
      </c>
      <c r="T292" s="224"/>
      <c r="U292" s="224">
        <v>500000</v>
      </c>
      <c r="V292" s="242"/>
      <c r="W292" s="242"/>
      <c r="X292" s="242"/>
    </row>
    <row r="293" spans="1:24" s="225" customFormat="1" ht="25.5">
      <c r="A293" s="222"/>
      <c r="B293" s="222"/>
      <c r="C293" s="222"/>
      <c r="D293" s="222"/>
      <c r="E293" s="223"/>
      <c r="F293" s="220" t="s">
        <v>847</v>
      </c>
      <c r="G293" s="224"/>
      <c r="H293" s="224"/>
      <c r="I293" s="224"/>
      <c r="J293" s="109">
        <f t="shared" si="167"/>
        <v>0</v>
      </c>
      <c r="K293" s="224"/>
      <c r="L293" s="224"/>
      <c r="M293" s="109">
        <f t="shared" si="164"/>
        <v>0</v>
      </c>
      <c r="N293" s="224"/>
      <c r="O293" s="224"/>
      <c r="P293" s="109">
        <f t="shared" si="165"/>
        <v>0</v>
      </c>
      <c r="Q293" s="224"/>
      <c r="R293" s="224"/>
      <c r="S293" s="109">
        <f t="shared" si="166"/>
        <v>0</v>
      </c>
      <c r="T293" s="224">
        <v>500000</v>
      </c>
      <c r="U293" s="224"/>
      <c r="V293" s="242"/>
      <c r="W293" s="242"/>
      <c r="X293" s="242"/>
    </row>
    <row r="294" spans="1:24" s="225" customFormat="1">
      <c r="A294" s="222"/>
      <c r="B294" s="222"/>
      <c r="C294" s="222"/>
      <c r="D294" s="222"/>
      <c r="E294" s="223"/>
      <c r="F294" s="220" t="s">
        <v>848</v>
      </c>
      <c r="G294" s="224"/>
      <c r="H294" s="224"/>
      <c r="I294" s="224"/>
      <c r="J294" s="109">
        <f t="shared" si="167"/>
        <v>0</v>
      </c>
      <c r="K294" s="224"/>
      <c r="L294" s="224"/>
      <c r="M294" s="109">
        <f t="shared" si="164"/>
        <v>0</v>
      </c>
      <c r="N294" s="224"/>
      <c r="O294" s="224"/>
      <c r="P294" s="109">
        <f t="shared" si="165"/>
        <v>0</v>
      </c>
      <c r="Q294" s="224"/>
      <c r="R294" s="224"/>
      <c r="S294" s="109">
        <f t="shared" si="166"/>
        <v>0</v>
      </c>
      <c r="T294" s="224"/>
      <c r="U294" s="224">
        <v>200000</v>
      </c>
      <c r="V294" s="242"/>
      <c r="W294" s="242"/>
      <c r="X294" s="242"/>
    </row>
    <row r="295" spans="1:24" s="225" customFormat="1">
      <c r="A295" s="222"/>
      <c r="B295" s="222"/>
      <c r="C295" s="222"/>
      <c r="D295" s="222"/>
      <c r="E295" s="223"/>
      <c r="F295" s="220" t="s">
        <v>849</v>
      </c>
      <c r="G295" s="224"/>
      <c r="H295" s="224"/>
      <c r="I295" s="224"/>
      <c r="J295" s="109">
        <f t="shared" si="167"/>
        <v>0</v>
      </c>
      <c r="K295" s="224"/>
      <c r="L295" s="224"/>
      <c r="M295" s="109">
        <f t="shared" si="164"/>
        <v>0</v>
      </c>
      <c r="N295" s="224"/>
      <c r="O295" s="224"/>
      <c r="P295" s="109">
        <f t="shared" si="165"/>
        <v>0</v>
      </c>
      <c r="Q295" s="224"/>
      <c r="R295" s="224"/>
      <c r="S295" s="109">
        <f t="shared" si="166"/>
        <v>0</v>
      </c>
      <c r="T295" s="224"/>
      <c r="U295" s="224">
        <v>500000</v>
      </c>
      <c r="V295" s="242"/>
      <c r="W295" s="242"/>
      <c r="X295" s="242"/>
    </row>
    <row r="296" spans="1:24" s="225" customFormat="1">
      <c r="A296" s="222"/>
      <c r="B296" s="222"/>
      <c r="C296" s="222"/>
      <c r="D296" s="222"/>
      <c r="E296" s="223"/>
      <c r="F296" s="220" t="s">
        <v>850</v>
      </c>
      <c r="G296" s="224"/>
      <c r="H296" s="224"/>
      <c r="I296" s="224"/>
      <c r="J296" s="109">
        <f t="shared" si="167"/>
        <v>0</v>
      </c>
      <c r="K296" s="224"/>
      <c r="L296" s="224"/>
      <c r="M296" s="109">
        <f t="shared" si="164"/>
        <v>0</v>
      </c>
      <c r="N296" s="224"/>
      <c r="O296" s="224"/>
      <c r="P296" s="109">
        <f t="shared" si="165"/>
        <v>0</v>
      </c>
      <c r="Q296" s="224"/>
      <c r="R296" s="224"/>
      <c r="S296" s="109">
        <f t="shared" si="166"/>
        <v>0</v>
      </c>
      <c r="T296" s="224"/>
      <c r="U296" s="224">
        <v>500000</v>
      </c>
      <c r="V296" s="242"/>
      <c r="W296" s="242"/>
      <c r="X296" s="242"/>
    </row>
    <row r="297" spans="1:24" s="225" customFormat="1" ht="25.5">
      <c r="A297" s="222"/>
      <c r="B297" s="222"/>
      <c r="C297" s="222"/>
      <c r="D297" s="222"/>
      <c r="E297" s="223"/>
      <c r="F297" s="220" t="s">
        <v>851</v>
      </c>
      <c r="G297" s="224"/>
      <c r="H297" s="224"/>
      <c r="I297" s="224"/>
      <c r="J297" s="109">
        <f t="shared" si="167"/>
        <v>0</v>
      </c>
      <c r="K297" s="224"/>
      <c r="L297" s="224"/>
      <c r="M297" s="109">
        <f t="shared" si="164"/>
        <v>0</v>
      </c>
      <c r="N297" s="224"/>
      <c r="O297" s="224"/>
      <c r="P297" s="109">
        <f t="shared" si="165"/>
        <v>0</v>
      </c>
      <c r="Q297" s="224"/>
      <c r="R297" s="224"/>
      <c r="S297" s="109">
        <f t="shared" si="166"/>
        <v>0</v>
      </c>
      <c r="T297" s="224"/>
      <c r="U297" s="224">
        <v>500000</v>
      </c>
      <c r="V297" s="242"/>
      <c r="W297" s="242"/>
      <c r="X297" s="242"/>
    </row>
    <row r="298" spans="1:24" s="225" customFormat="1">
      <c r="A298" s="222"/>
      <c r="B298" s="222"/>
      <c r="C298" s="222"/>
      <c r="D298" s="222"/>
      <c r="E298" s="223"/>
      <c r="F298" s="220" t="s">
        <v>852</v>
      </c>
      <c r="G298" s="224"/>
      <c r="H298" s="224"/>
      <c r="I298" s="224"/>
      <c r="J298" s="109">
        <f t="shared" si="167"/>
        <v>0</v>
      </c>
      <c r="K298" s="224"/>
      <c r="L298" s="224"/>
      <c r="M298" s="109">
        <f t="shared" si="164"/>
        <v>0</v>
      </c>
      <c r="N298" s="224"/>
      <c r="O298" s="224"/>
      <c r="P298" s="109">
        <f t="shared" si="165"/>
        <v>0</v>
      </c>
      <c r="Q298" s="224"/>
      <c r="R298" s="224"/>
      <c r="S298" s="109">
        <f t="shared" si="166"/>
        <v>0</v>
      </c>
      <c r="T298" s="224"/>
      <c r="U298" s="224">
        <v>500000</v>
      </c>
      <c r="V298" s="242"/>
      <c r="W298" s="242"/>
      <c r="X298" s="242"/>
    </row>
    <row r="299" spans="1:24" s="225" customFormat="1">
      <c r="A299" s="222"/>
      <c r="B299" s="222"/>
      <c r="C299" s="222"/>
      <c r="D299" s="222"/>
      <c r="E299" s="223"/>
      <c r="F299" s="220" t="s">
        <v>853</v>
      </c>
      <c r="G299" s="224"/>
      <c r="H299" s="224"/>
      <c r="I299" s="224"/>
      <c r="J299" s="109">
        <f t="shared" si="167"/>
        <v>0</v>
      </c>
      <c r="K299" s="224"/>
      <c r="L299" s="224"/>
      <c r="M299" s="109">
        <f t="shared" si="164"/>
        <v>0</v>
      </c>
      <c r="N299" s="224"/>
      <c r="O299" s="224"/>
      <c r="P299" s="109">
        <f t="shared" si="165"/>
        <v>0</v>
      </c>
      <c r="Q299" s="224"/>
      <c r="R299" s="224"/>
      <c r="S299" s="109">
        <f t="shared" si="166"/>
        <v>0</v>
      </c>
      <c r="T299" s="224"/>
      <c r="U299" s="224">
        <v>500000</v>
      </c>
      <c r="V299" s="242"/>
      <c r="W299" s="242"/>
      <c r="X299" s="242"/>
    </row>
    <row r="300" spans="1:24" s="225" customFormat="1">
      <c r="A300" s="222"/>
      <c r="B300" s="222"/>
      <c r="C300" s="222"/>
      <c r="D300" s="222"/>
      <c r="E300" s="223"/>
      <c r="F300" s="220" t="s">
        <v>854</v>
      </c>
      <c r="G300" s="224"/>
      <c r="H300" s="224"/>
      <c r="I300" s="224"/>
      <c r="J300" s="109">
        <f t="shared" si="167"/>
        <v>0</v>
      </c>
      <c r="K300" s="224"/>
      <c r="L300" s="224"/>
      <c r="M300" s="109">
        <f t="shared" si="164"/>
        <v>0</v>
      </c>
      <c r="N300" s="224"/>
      <c r="O300" s="224"/>
      <c r="P300" s="109">
        <f t="shared" si="165"/>
        <v>0</v>
      </c>
      <c r="Q300" s="224"/>
      <c r="R300" s="224"/>
      <c r="S300" s="109">
        <f t="shared" si="166"/>
        <v>0</v>
      </c>
      <c r="T300" s="224"/>
      <c r="U300" s="224">
        <v>500000</v>
      </c>
      <c r="V300" s="242"/>
      <c r="W300" s="242"/>
      <c r="X300" s="242"/>
    </row>
    <row r="301" spans="1:24" s="225" customFormat="1">
      <c r="A301" s="222"/>
      <c r="B301" s="222"/>
      <c r="C301" s="222"/>
      <c r="D301" s="222"/>
      <c r="E301" s="223"/>
      <c r="F301" s="220" t="s">
        <v>855</v>
      </c>
      <c r="G301" s="224"/>
      <c r="H301" s="224"/>
      <c r="I301" s="224"/>
      <c r="J301" s="109">
        <f t="shared" si="167"/>
        <v>0</v>
      </c>
      <c r="K301" s="224"/>
      <c r="L301" s="224"/>
      <c r="M301" s="109">
        <f t="shared" si="164"/>
        <v>0</v>
      </c>
      <c r="N301" s="224"/>
      <c r="O301" s="224"/>
      <c r="P301" s="109">
        <f t="shared" si="165"/>
        <v>0</v>
      </c>
      <c r="Q301" s="224"/>
      <c r="R301" s="224"/>
      <c r="S301" s="109">
        <f t="shared" si="166"/>
        <v>0</v>
      </c>
      <c r="T301" s="224"/>
      <c r="U301" s="224">
        <v>500000</v>
      </c>
      <c r="V301" s="242"/>
      <c r="W301" s="242"/>
      <c r="X301" s="242"/>
    </row>
    <row r="302" spans="1:24" s="225" customFormat="1">
      <c r="A302" s="222"/>
      <c r="B302" s="222"/>
      <c r="C302" s="222"/>
      <c r="D302" s="222"/>
      <c r="E302" s="223"/>
      <c r="F302" s="220" t="s">
        <v>856</v>
      </c>
      <c r="G302" s="224"/>
      <c r="H302" s="224"/>
      <c r="I302" s="224"/>
      <c r="J302" s="109">
        <f t="shared" si="167"/>
        <v>0</v>
      </c>
      <c r="K302" s="224"/>
      <c r="L302" s="224"/>
      <c r="M302" s="109">
        <f t="shared" si="164"/>
        <v>0</v>
      </c>
      <c r="N302" s="224"/>
      <c r="O302" s="224"/>
      <c r="P302" s="109">
        <f t="shared" si="165"/>
        <v>0</v>
      </c>
      <c r="Q302" s="224"/>
      <c r="R302" s="224"/>
      <c r="S302" s="109">
        <f t="shared" si="166"/>
        <v>0</v>
      </c>
      <c r="T302" s="224"/>
      <c r="U302" s="224">
        <v>500000</v>
      </c>
      <c r="V302" s="242"/>
      <c r="W302" s="242"/>
      <c r="X302" s="242"/>
    </row>
    <row r="303" spans="1:24" s="225" customFormat="1">
      <c r="A303" s="222"/>
      <c r="B303" s="222"/>
      <c r="C303" s="222"/>
      <c r="D303" s="222"/>
      <c r="E303" s="223"/>
      <c r="F303" s="220" t="s">
        <v>857</v>
      </c>
      <c r="G303" s="224"/>
      <c r="H303" s="224"/>
      <c r="I303" s="224"/>
      <c r="J303" s="109">
        <f t="shared" si="167"/>
        <v>0</v>
      </c>
      <c r="K303" s="224"/>
      <c r="L303" s="224"/>
      <c r="M303" s="109">
        <f t="shared" si="164"/>
        <v>0</v>
      </c>
      <c r="N303" s="224"/>
      <c r="O303" s="224"/>
      <c r="P303" s="109">
        <f t="shared" si="165"/>
        <v>0</v>
      </c>
      <c r="Q303" s="224"/>
      <c r="R303" s="224"/>
      <c r="S303" s="109">
        <f t="shared" si="166"/>
        <v>0</v>
      </c>
      <c r="T303" s="224"/>
      <c r="U303" s="224">
        <v>500000</v>
      </c>
      <c r="V303" s="242"/>
      <c r="W303" s="242"/>
      <c r="X303" s="242"/>
    </row>
    <row r="304" spans="1:24">
      <c r="A304" s="218"/>
      <c r="B304" s="218"/>
      <c r="C304" s="218"/>
      <c r="D304" s="218"/>
      <c r="E304" s="219"/>
      <c r="F304" s="216" t="s">
        <v>676</v>
      </c>
      <c r="G304" s="217">
        <f>SUM(G305)</f>
        <v>398644</v>
      </c>
      <c r="H304" s="217">
        <f t="shared" ref="H304:U304" si="168">SUM(H305)</f>
        <v>0</v>
      </c>
      <c r="I304" s="217">
        <f t="shared" si="168"/>
        <v>0</v>
      </c>
      <c r="J304" s="217">
        <f t="shared" si="168"/>
        <v>398644</v>
      </c>
      <c r="K304" s="217">
        <f t="shared" si="168"/>
        <v>0</v>
      </c>
      <c r="L304" s="217">
        <f t="shared" si="168"/>
        <v>0</v>
      </c>
      <c r="M304" s="217">
        <f t="shared" si="168"/>
        <v>398644</v>
      </c>
      <c r="N304" s="217">
        <f t="shared" si="168"/>
        <v>0</v>
      </c>
      <c r="O304" s="217">
        <f t="shared" si="168"/>
        <v>0</v>
      </c>
      <c r="P304" s="217">
        <f t="shared" si="168"/>
        <v>398644</v>
      </c>
      <c r="Q304" s="217">
        <f t="shared" si="168"/>
        <v>0</v>
      </c>
      <c r="R304" s="217">
        <f t="shared" si="168"/>
        <v>0</v>
      </c>
      <c r="S304" s="217">
        <f t="shared" si="168"/>
        <v>398644</v>
      </c>
      <c r="T304" s="217">
        <f t="shared" si="168"/>
        <v>399000</v>
      </c>
      <c r="U304" s="217">
        <f t="shared" si="168"/>
        <v>0</v>
      </c>
    </row>
    <row r="305" spans="1:24">
      <c r="A305" s="218"/>
      <c r="B305" s="218"/>
      <c r="C305" s="218"/>
      <c r="D305" s="218"/>
      <c r="E305" s="219"/>
      <c r="F305" s="275" t="s">
        <v>858</v>
      </c>
      <c r="G305" s="211">
        <v>398644</v>
      </c>
      <c r="H305" s="211"/>
      <c r="I305" s="211"/>
      <c r="J305" s="109">
        <f t="shared" si="167"/>
        <v>398644</v>
      </c>
      <c r="K305" s="211"/>
      <c r="L305" s="211"/>
      <c r="M305" s="109">
        <f t="shared" ref="M305" si="169">J305+K305-L305</f>
        <v>398644</v>
      </c>
      <c r="N305" s="211"/>
      <c r="O305" s="211"/>
      <c r="P305" s="109">
        <f t="shared" ref="P305" si="170">M305+N305-O305</f>
        <v>398644</v>
      </c>
      <c r="Q305" s="211"/>
      <c r="R305" s="211"/>
      <c r="S305" s="109">
        <f t="shared" ref="S305" si="171">P305+Q305-R305</f>
        <v>398644</v>
      </c>
      <c r="T305" s="221">
        <v>399000</v>
      </c>
      <c r="U305" s="221"/>
    </row>
    <row r="306" spans="1:24">
      <c r="A306" s="218"/>
      <c r="B306" s="218">
        <v>2</v>
      </c>
      <c r="C306" s="218"/>
      <c r="D306" s="218"/>
      <c r="E306" s="219"/>
      <c r="F306" s="261" t="s">
        <v>57</v>
      </c>
      <c r="G306" s="221">
        <f t="shared" ref="G306:U308" si="172">G307</f>
        <v>917563</v>
      </c>
      <c r="H306" s="221">
        <f t="shared" si="172"/>
        <v>4698</v>
      </c>
      <c r="I306" s="221">
        <f t="shared" si="172"/>
        <v>0</v>
      </c>
      <c r="J306" s="221">
        <f t="shared" si="172"/>
        <v>922261</v>
      </c>
      <c r="K306" s="221">
        <f t="shared" si="172"/>
        <v>0</v>
      </c>
      <c r="L306" s="221">
        <f t="shared" si="172"/>
        <v>0</v>
      </c>
      <c r="M306" s="221">
        <f t="shared" si="172"/>
        <v>922261</v>
      </c>
      <c r="N306" s="221">
        <f t="shared" si="172"/>
        <v>4201</v>
      </c>
      <c r="O306" s="221">
        <f t="shared" si="172"/>
        <v>0</v>
      </c>
      <c r="P306" s="221">
        <f t="shared" si="172"/>
        <v>926462</v>
      </c>
      <c r="Q306" s="221">
        <f t="shared" si="172"/>
        <v>0</v>
      </c>
      <c r="R306" s="221">
        <f t="shared" si="172"/>
        <v>0</v>
      </c>
      <c r="S306" s="221">
        <f t="shared" si="172"/>
        <v>926462</v>
      </c>
      <c r="T306" s="221">
        <f t="shared" si="172"/>
        <v>42000000</v>
      </c>
      <c r="U306" s="221">
        <f t="shared" si="172"/>
        <v>38500000</v>
      </c>
    </row>
    <row r="307" spans="1:24">
      <c r="A307" s="218"/>
      <c r="B307" s="218"/>
      <c r="C307" s="218" t="s">
        <v>305</v>
      </c>
      <c r="D307" s="218"/>
      <c r="E307" s="219"/>
      <c r="F307" s="220" t="s">
        <v>288</v>
      </c>
      <c r="G307" s="221">
        <f t="shared" si="172"/>
        <v>917563</v>
      </c>
      <c r="H307" s="221">
        <f t="shared" si="172"/>
        <v>4698</v>
      </c>
      <c r="I307" s="221">
        <f t="shared" si="172"/>
        <v>0</v>
      </c>
      <c r="J307" s="221">
        <f t="shared" si="172"/>
        <v>922261</v>
      </c>
      <c r="K307" s="221">
        <f t="shared" si="172"/>
        <v>0</v>
      </c>
      <c r="L307" s="221">
        <f t="shared" si="172"/>
        <v>0</v>
      </c>
      <c r="M307" s="221">
        <f t="shared" si="172"/>
        <v>922261</v>
      </c>
      <c r="N307" s="221">
        <f t="shared" si="172"/>
        <v>4201</v>
      </c>
      <c r="O307" s="221">
        <f t="shared" si="172"/>
        <v>0</v>
      </c>
      <c r="P307" s="221">
        <f t="shared" si="172"/>
        <v>926462</v>
      </c>
      <c r="Q307" s="221">
        <f t="shared" si="172"/>
        <v>0</v>
      </c>
      <c r="R307" s="221">
        <f t="shared" si="172"/>
        <v>0</v>
      </c>
      <c r="S307" s="221">
        <f t="shared" si="172"/>
        <v>926462</v>
      </c>
      <c r="T307" s="221">
        <f t="shared" si="172"/>
        <v>42000000</v>
      </c>
      <c r="U307" s="221">
        <f t="shared" si="172"/>
        <v>38500000</v>
      </c>
    </row>
    <row r="308" spans="1:24" s="225" customFormat="1">
      <c r="A308" s="222"/>
      <c r="B308" s="222"/>
      <c r="C308" s="222"/>
      <c r="D308" s="222" t="s">
        <v>113</v>
      </c>
      <c r="E308" s="223"/>
      <c r="F308" s="220" t="s">
        <v>325</v>
      </c>
      <c r="G308" s="224">
        <f t="shared" si="172"/>
        <v>917563</v>
      </c>
      <c r="H308" s="224">
        <f t="shared" si="172"/>
        <v>4698</v>
      </c>
      <c r="I308" s="224">
        <f t="shared" si="172"/>
        <v>0</v>
      </c>
      <c r="J308" s="224">
        <f t="shared" si="172"/>
        <v>922261</v>
      </c>
      <c r="K308" s="224">
        <f t="shared" si="172"/>
        <v>0</v>
      </c>
      <c r="L308" s="224">
        <f t="shared" si="172"/>
        <v>0</v>
      </c>
      <c r="M308" s="224">
        <f t="shared" si="172"/>
        <v>922261</v>
      </c>
      <c r="N308" s="224">
        <f t="shared" si="172"/>
        <v>4201</v>
      </c>
      <c r="O308" s="224">
        <f t="shared" si="172"/>
        <v>0</v>
      </c>
      <c r="P308" s="224">
        <f t="shared" si="172"/>
        <v>926462</v>
      </c>
      <c r="Q308" s="224">
        <f t="shared" si="172"/>
        <v>0</v>
      </c>
      <c r="R308" s="224">
        <f t="shared" si="172"/>
        <v>0</v>
      </c>
      <c r="S308" s="224">
        <f t="shared" si="172"/>
        <v>926462</v>
      </c>
      <c r="T308" s="224">
        <f t="shared" si="172"/>
        <v>42000000</v>
      </c>
      <c r="U308" s="224">
        <f t="shared" si="172"/>
        <v>38500000</v>
      </c>
    </row>
    <row r="309" spans="1:24" s="225" customFormat="1">
      <c r="A309" s="222"/>
      <c r="B309" s="222"/>
      <c r="C309" s="222"/>
      <c r="D309" s="222"/>
      <c r="E309" s="223" t="s">
        <v>113</v>
      </c>
      <c r="F309" s="220" t="s">
        <v>8</v>
      </c>
      <c r="G309" s="224">
        <f>SUM(G310:G317)</f>
        <v>917563</v>
      </c>
      <c r="H309" s="224">
        <f t="shared" ref="H309:U309" si="173">SUM(H310:H317)</f>
        <v>4698</v>
      </c>
      <c r="I309" s="224">
        <f t="shared" si="173"/>
        <v>0</v>
      </c>
      <c r="J309" s="224">
        <f t="shared" si="173"/>
        <v>922261</v>
      </c>
      <c r="K309" s="224">
        <f t="shared" si="173"/>
        <v>0</v>
      </c>
      <c r="L309" s="224">
        <f t="shared" si="173"/>
        <v>0</v>
      </c>
      <c r="M309" s="224">
        <f t="shared" si="173"/>
        <v>922261</v>
      </c>
      <c r="N309" s="224">
        <f t="shared" si="173"/>
        <v>4201</v>
      </c>
      <c r="O309" s="224">
        <f t="shared" si="173"/>
        <v>0</v>
      </c>
      <c r="P309" s="224">
        <f t="shared" si="173"/>
        <v>926462</v>
      </c>
      <c r="Q309" s="224">
        <f t="shared" si="173"/>
        <v>0</v>
      </c>
      <c r="R309" s="224">
        <f t="shared" si="173"/>
        <v>0</v>
      </c>
      <c r="S309" s="224">
        <f t="shared" si="173"/>
        <v>926462</v>
      </c>
      <c r="T309" s="224">
        <f t="shared" si="173"/>
        <v>42000000</v>
      </c>
      <c r="U309" s="224">
        <f t="shared" si="173"/>
        <v>38500000</v>
      </c>
      <c r="V309" s="242"/>
      <c r="W309" s="242"/>
      <c r="X309" s="242"/>
    </row>
    <row r="310" spans="1:24" s="225" customFormat="1">
      <c r="A310" s="222"/>
      <c r="B310" s="222"/>
      <c r="C310" s="222"/>
      <c r="D310" s="222"/>
      <c r="E310" s="223"/>
      <c r="F310" s="220" t="s">
        <v>859</v>
      </c>
      <c r="G310" s="224"/>
      <c r="H310" s="224"/>
      <c r="I310" s="224"/>
      <c r="J310" s="109">
        <f t="shared" si="167"/>
        <v>0</v>
      </c>
      <c r="K310" s="224"/>
      <c r="L310" s="224"/>
      <c r="M310" s="109">
        <f t="shared" ref="M310:M316" si="174">J310+K310-L310</f>
        <v>0</v>
      </c>
      <c r="N310" s="224"/>
      <c r="O310" s="224"/>
      <c r="P310" s="109">
        <f t="shared" ref="P310:P316" si="175">M310+N310-O310</f>
        <v>0</v>
      </c>
      <c r="Q310" s="224"/>
      <c r="R310" s="224"/>
      <c r="S310" s="109">
        <f t="shared" ref="S310:S316" si="176">P310+Q310-R310</f>
        <v>0</v>
      </c>
      <c r="T310" s="224">
        <v>26000000</v>
      </c>
      <c r="U310" s="224">
        <v>25000000</v>
      </c>
      <c r="V310" s="242"/>
      <c r="W310" s="242"/>
      <c r="X310" s="242"/>
    </row>
    <row r="311" spans="1:24" s="225" customFormat="1">
      <c r="A311" s="222"/>
      <c r="B311" s="222"/>
      <c r="C311" s="222"/>
      <c r="D311" s="222"/>
      <c r="E311" s="223"/>
      <c r="F311" s="220" t="s">
        <v>860</v>
      </c>
      <c r="G311" s="224"/>
      <c r="H311" s="224"/>
      <c r="I311" s="224"/>
      <c r="J311" s="109">
        <f t="shared" si="167"/>
        <v>0</v>
      </c>
      <c r="K311" s="224"/>
      <c r="L311" s="224"/>
      <c r="M311" s="109">
        <f t="shared" si="174"/>
        <v>0</v>
      </c>
      <c r="N311" s="224"/>
      <c r="O311" s="224"/>
      <c r="P311" s="109">
        <f t="shared" si="175"/>
        <v>0</v>
      </c>
      <c r="Q311" s="224"/>
      <c r="R311" s="224"/>
      <c r="S311" s="109">
        <f t="shared" si="176"/>
        <v>0</v>
      </c>
      <c r="T311" s="224"/>
      <c r="U311" s="224">
        <v>2000000</v>
      </c>
      <c r="V311" s="242"/>
      <c r="W311" s="242"/>
      <c r="X311" s="242"/>
    </row>
    <row r="312" spans="1:24" s="225" customFormat="1" ht="25.5">
      <c r="A312" s="222"/>
      <c r="B312" s="222"/>
      <c r="C312" s="222"/>
      <c r="D312" s="222"/>
      <c r="E312" s="223"/>
      <c r="F312" s="220" t="s">
        <v>861</v>
      </c>
      <c r="G312" s="224"/>
      <c r="H312" s="224"/>
      <c r="I312" s="224"/>
      <c r="J312" s="109">
        <f t="shared" si="167"/>
        <v>0</v>
      </c>
      <c r="K312" s="224"/>
      <c r="L312" s="224"/>
      <c r="M312" s="109">
        <f t="shared" si="174"/>
        <v>0</v>
      </c>
      <c r="N312" s="224"/>
      <c r="O312" s="224"/>
      <c r="P312" s="109">
        <f t="shared" si="175"/>
        <v>0</v>
      </c>
      <c r="Q312" s="224"/>
      <c r="R312" s="224"/>
      <c r="S312" s="109">
        <f t="shared" si="176"/>
        <v>0</v>
      </c>
      <c r="T312" s="224">
        <v>2000000</v>
      </c>
      <c r="U312" s="224">
        <v>2000000</v>
      </c>
      <c r="V312" s="242"/>
      <c r="W312" s="242"/>
      <c r="X312" s="242"/>
    </row>
    <row r="313" spans="1:24" s="225" customFormat="1" ht="38.25">
      <c r="A313" s="222"/>
      <c r="B313" s="222"/>
      <c r="C313" s="222"/>
      <c r="D313" s="222"/>
      <c r="E313" s="223"/>
      <c r="F313" s="248" t="s">
        <v>862</v>
      </c>
      <c r="G313" s="224"/>
      <c r="H313" s="224"/>
      <c r="I313" s="224"/>
      <c r="J313" s="109">
        <f t="shared" si="167"/>
        <v>0</v>
      </c>
      <c r="K313" s="224"/>
      <c r="L313" s="224"/>
      <c r="M313" s="109">
        <f t="shared" si="174"/>
        <v>0</v>
      </c>
      <c r="N313" s="224"/>
      <c r="O313" s="224"/>
      <c r="P313" s="109">
        <f t="shared" si="175"/>
        <v>0</v>
      </c>
      <c r="Q313" s="224"/>
      <c r="R313" s="224"/>
      <c r="S313" s="109">
        <f t="shared" si="176"/>
        <v>0</v>
      </c>
      <c r="T313" s="224">
        <v>5000000</v>
      </c>
      <c r="U313" s="224">
        <v>3000000</v>
      </c>
      <c r="V313" s="242"/>
      <c r="W313" s="242"/>
      <c r="X313" s="242"/>
    </row>
    <row r="314" spans="1:24" s="225" customFormat="1" ht="25.5">
      <c r="A314" s="222"/>
      <c r="B314" s="222"/>
      <c r="C314" s="222"/>
      <c r="D314" s="222"/>
      <c r="E314" s="223"/>
      <c r="F314" s="248" t="s">
        <v>863</v>
      </c>
      <c r="G314" s="224"/>
      <c r="H314" s="224"/>
      <c r="I314" s="224"/>
      <c r="J314" s="109">
        <f t="shared" si="167"/>
        <v>0</v>
      </c>
      <c r="K314" s="224"/>
      <c r="L314" s="224"/>
      <c r="M314" s="109">
        <f t="shared" si="174"/>
        <v>0</v>
      </c>
      <c r="N314" s="224"/>
      <c r="O314" s="224"/>
      <c r="P314" s="109">
        <f t="shared" si="175"/>
        <v>0</v>
      </c>
      <c r="Q314" s="224"/>
      <c r="R314" s="224"/>
      <c r="S314" s="109">
        <f t="shared" si="176"/>
        <v>0</v>
      </c>
      <c r="T314" s="224">
        <v>2000000</v>
      </c>
      <c r="U314" s="224">
        <v>2000000</v>
      </c>
      <c r="V314" s="242"/>
      <c r="W314" s="242"/>
      <c r="X314" s="242"/>
    </row>
    <row r="315" spans="1:24" s="225" customFormat="1">
      <c r="A315" s="222"/>
      <c r="B315" s="222"/>
      <c r="C315" s="222"/>
      <c r="D315" s="222"/>
      <c r="E315" s="223"/>
      <c r="F315" s="220" t="s">
        <v>864</v>
      </c>
      <c r="G315" s="224"/>
      <c r="H315" s="224"/>
      <c r="I315" s="224"/>
      <c r="J315" s="109">
        <f t="shared" si="167"/>
        <v>0</v>
      </c>
      <c r="K315" s="224"/>
      <c r="L315" s="224"/>
      <c r="M315" s="109">
        <f t="shared" si="174"/>
        <v>0</v>
      </c>
      <c r="N315" s="224"/>
      <c r="O315" s="224"/>
      <c r="P315" s="109">
        <f t="shared" si="175"/>
        <v>0</v>
      </c>
      <c r="Q315" s="224"/>
      <c r="R315" s="224"/>
      <c r="S315" s="109">
        <f t="shared" si="176"/>
        <v>0</v>
      </c>
      <c r="T315" s="224">
        <v>3500000</v>
      </c>
      <c r="U315" s="224">
        <v>2500000</v>
      </c>
      <c r="V315" s="242"/>
      <c r="W315" s="242"/>
      <c r="X315" s="242"/>
    </row>
    <row r="316" spans="1:24" s="225" customFormat="1" ht="38.25">
      <c r="A316" s="222"/>
      <c r="B316" s="222"/>
      <c r="C316" s="222"/>
      <c r="D316" s="222"/>
      <c r="E316" s="223"/>
      <c r="F316" s="220" t="s">
        <v>865</v>
      </c>
      <c r="G316" s="224"/>
      <c r="H316" s="224"/>
      <c r="I316" s="224"/>
      <c r="J316" s="109">
        <f t="shared" si="167"/>
        <v>0</v>
      </c>
      <c r="K316" s="224"/>
      <c r="L316" s="224"/>
      <c r="M316" s="109">
        <f t="shared" si="174"/>
        <v>0</v>
      </c>
      <c r="N316" s="224"/>
      <c r="O316" s="224"/>
      <c r="P316" s="109">
        <f t="shared" si="175"/>
        <v>0</v>
      </c>
      <c r="Q316" s="224"/>
      <c r="R316" s="224"/>
      <c r="S316" s="109">
        <f t="shared" si="176"/>
        <v>0</v>
      </c>
      <c r="T316" s="224">
        <v>3500000</v>
      </c>
      <c r="U316" s="224">
        <v>2000000</v>
      </c>
      <c r="V316" s="242"/>
      <c r="W316" s="242"/>
      <c r="X316" s="242"/>
    </row>
    <row r="317" spans="1:24">
      <c r="A317" s="218"/>
      <c r="B317" s="208"/>
      <c r="C317" s="208"/>
      <c r="D317" s="208"/>
      <c r="E317" s="209"/>
      <c r="F317" s="216" t="s">
        <v>676</v>
      </c>
      <c r="G317" s="217">
        <f t="shared" ref="G317:I317" si="177">SUM(G318:G320)</f>
        <v>917563</v>
      </c>
      <c r="H317" s="217">
        <f t="shared" si="177"/>
        <v>4698</v>
      </c>
      <c r="I317" s="217">
        <f t="shared" si="177"/>
        <v>0</v>
      </c>
      <c r="J317" s="217">
        <f>SUM(J318:J320)</f>
        <v>922261</v>
      </c>
      <c r="K317" s="217">
        <f t="shared" ref="K317:L317" si="178">SUM(K318:K320)</f>
        <v>0</v>
      </c>
      <c r="L317" s="217">
        <f t="shared" si="178"/>
        <v>0</v>
      </c>
      <c r="M317" s="217">
        <f>SUM(M318:M320)</f>
        <v>922261</v>
      </c>
      <c r="N317" s="217">
        <f t="shared" ref="N317:O317" si="179">SUM(N318:N320)</f>
        <v>4201</v>
      </c>
      <c r="O317" s="217">
        <f t="shared" si="179"/>
        <v>0</v>
      </c>
      <c r="P317" s="217">
        <f>SUM(P318:P320)</f>
        <v>926462</v>
      </c>
      <c r="Q317" s="217">
        <f t="shared" ref="Q317:R317" si="180">SUM(Q318:Q320)</f>
        <v>0</v>
      </c>
      <c r="R317" s="217">
        <f t="shared" si="180"/>
        <v>0</v>
      </c>
      <c r="S317" s="217">
        <f>SUM(S318:S320)</f>
        <v>926462</v>
      </c>
      <c r="T317" s="217">
        <f t="shared" ref="T317:U317" si="181">SUM(T318:T319)</f>
        <v>0</v>
      </c>
      <c r="U317" s="217">
        <f t="shared" si="181"/>
        <v>0</v>
      </c>
    </row>
    <row r="318" spans="1:24">
      <c r="A318" s="218"/>
      <c r="B318" s="208"/>
      <c r="C318" s="208"/>
      <c r="D318" s="208"/>
      <c r="E318" s="209"/>
      <c r="F318" s="215" t="s">
        <v>866</v>
      </c>
      <c r="G318" s="211">
        <v>900000</v>
      </c>
      <c r="H318" s="211"/>
      <c r="I318" s="211"/>
      <c r="J318" s="109">
        <f t="shared" si="167"/>
        <v>900000</v>
      </c>
      <c r="K318" s="211"/>
      <c r="L318" s="211"/>
      <c r="M318" s="109">
        <f t="shared" ref="M318:M320" si="182">J318+K318-L318</f>
        <v>900000</v>
      </c>
      <c r="N318" s="211"/>
      <c r="O318" s="211"/>
      <c r="P318" s="109">
        <f t="shared" ref="P318:P320" si="183">M318+N318-O318</f>
        <v>900000</v>
      </c>
      <c r="Q318" s="211"/>
      <c r="R318" s="211"/>
      <c r="S318" s="109">
        <f t="shared" ref="S318:S320" si="184">P318+Q318-R318</f>
        <v>900000</v>
      </c>
      <c r="T318" s="221"/>
      <c r="U318" s="221"/>
    </row>
    <row r="319" spans="1:24" ht="38.25">
      <c r="A319" s="218"/>
      <c r="B319" s="218"/>
      <c r="C319" s="218"/>
      <c r="D319" s="218"/>
      <c r="E319" s="219"/>
      <c r="F319" s="248" t="s">
        <v>867</v>
      </c>
      <c r="G319" s="211">
        <v>17563</v>
      </c>
      <c r="H319" s="211"/>
      <c r="I319" s="211"/>
      <c r="J319" s="109">
        <f t="shared" si="167"/>
        <v>17563</v>
      </c>
      <c r="K319" s="211"/>
      <c r="L319" s="211"/>
      <c r="M319" s="109">
        <f t="shared" si="182"/>
        <v>17563</v>
      </c>
      <c r="N319" s="211"/>
      <c r="O319" s="211"/>
      <c r="P319" s="109">
        <f t="shared" si="183"/>
        <v>17563</v>
      </c>
      <c r="Q319" s="211"/>
      <c r="R319" s="211"/>
      <c r="S319" s="109">
        <f t="shared" si="184"/>
        <v>17563</v>
      </c>
      <c r="T319" s="221"/>
      <c r="U319" s="221"/>
    </row>
    <row r="320" spans="1:24">
      <c r="A320" s="218"/>
      <c r="B320" s="218"/>
      <c r="C320" s="218"/>
      <c r="D320" s="218"/>
      <c r="E320" s="219"/>
      <c r="F320" s="248" t="s">
        <v>679</v>
      </c>
      <c r="G320" s="211"/>
      <c r="H320" s="211">
        <v>4698</v>
      </c>
      <c r="I320" s="211"/>
      <c r="J320" s="109">
        <f t="shared" si="167"/>
        <v>4698</v>
      </c>
      <c r="K320" s="211"/>
      <c r="L320" s="211"/>
      <c r="M320" s="109">
        <f t="shared" si="182"/>
        <v>4698</v>
      </c>
      <c r="N320" s="211">
        <v>4201</v>
      </c>
      <c r="O320" s="211"/>
      <c r="P320" s="109">
        <f t="shared" si="183"/>
        <v>8899</v>
      </c>
      <c r="Q320" s="211"/>
      <c r="R320" s="211"/>
      <c r="S320" s="109">
        <f t="shared" si="184"/>
        <v>8899</v>
      </c>
      <c r="T320" s="221"/>
      <c r="U320" s="221"/>
    </row>
    <row r="321" spans="1:24">
      <c r="A321" s="218" t="s">
        <v>60</v>
      </c>
      <c r="B321" s="218"/>
      <c r="C321" s="218"/>
      <c r="D321" s="218"/>
      <c r="E321" s="219"/>
      <c r="F321" s="248" t="s">
        <v>61</v>
      </c>
      <c r="G321" s="221">
        <f>G322+G341</f>
        <v>1633231</v>
      </c>
      <c r="H321" s="221">
        <f t="shared" ref="H321:S321" si="185">H322+H341</f>
        <v>0</v>
      </c>
      <c r="I321" s="221">
        <f t="shared" si="185"/>
        <v>0</v>
      </c>
      <c r="J321" s="221">
        <f t="shared" si="185"/>
        <v>1633231</v>
      </c>
      <c r="K321" s="221">
        <f t="shared" si="185"/>
        <v>0</v>
      </c>
      <c r="L321" s="221">
        <f t="shared" si="185"/>
        <v>0</v>
      </c>
      <c r="M321" s="221">
        <f t="shared" si="185"/>
        <v>1633231</v>
      </c>
      <c r="N321" s="221">
        <f t="shared" si="185"/>
        <v>0</v>
      </c>
      <c r="O321" s="221">
        <f t="shared" si="185"/>
        <v>0</v>
      </c>
      <c r="P321" s="221">
        <f t="shared" si="185"/>
        <v>1633231</v>
      </c>
      <c r="Q321" s="221">
        <f t="shared" si="185"/>
        <v>481161</v>
      </c>
      <c r="R321" s="221">
        <f t="shared" si="185"/>
        <v>1270000</v>
      </c>
      <c r="S321" s="221">
        <f t="shared" si="185"/>
        <v>844392</v>
      </c>
      <c r="T321" s="221">
        <f>T322+T341</f>
        <v>30698285</v>
      </c>
      <c r="U321" s="221">
        <f>U322+U341</f>
        <v>65291630</v>
      </c>
    </row>
    <row r="322" spans="1:24">
      <c r="A322" s="218"/>
      <c r="B322" s="218">
        <v>1</v>
      </c>
      <c r="C322" s="218"/>
      <c r="D322" s="218"/>
      <c r="E322" s="219"/>
      <c r="F322" s="220" t="s">
        <v>868</v>
      </c>
      <c r="G322" s="221">
        <f t="shared" ref="G322:U324" si="186">G323</f>
        <v>1313034</v>
      </c>
      <c r="H322" s="221">
        <f t="shared" si="186"/>
        <v>0</v>
      </c>
      <c r="I322" s="221">
        <f t="shared" si="186"/>
        <v>0</v>
      </c>
      <c r="J322" s="221">
        <f t="shared" si="186"/>
        <v>1313034</v>
      </c>
      <c r="K322" s="221">
        <f t="shared" si="186"/>
        <v>0</v>
      </c>
      <c r="L322" s="221">
        <f t="shared" si="186"/>
        <v>0</v>
      </c>
      <c r="M322" s="221">
        <f t="shared" si="186"/>
        <v>1313034</v>
      </c>
      <c r="N322" s="221">
        <f t="shared" si="186"/>
        <v>0</v>
      </c>
      <c r="O322" s="221">
        <f t="shared" si="186"/>
        <v>0</v>
      </c>
      <c r="P322" s="221">
        <f t="shared" si="186"/>
        <v>1313034</v>
      </c>
      <c r="Q322" s="221">
        <f t="shared" si="186"/>
        <v>468000</v>
      </c>
      <c r="R322" s="221">
        <f t="shared" si="186"/>
        <v>1270000</v>
      </c>
      <c r="S322" s="221">
        <f t="shared" si="186"/>
        <v>511034</v>
      </c>
      <c r="T322" s="221">
        <f t="shared" si="186"/>
        <v>25598285</v>
      </c>
      <c r="U322" s="221">
        <f t="shared" si="186"/>
        <v>35000000</v>
      </c>
    </row>
    <row r="323" spans="1:24" ht="25.5">
      <c r="A323" s="218"/>
      <c r="B323" s="218"/>
      <c r="C323" s="218">
        <v>309</v>
      </c>
      <c r="D323" s="218"/>
      <c r="E323" s="219"/>
      <c r="F323" s="220" t="s">
        <v>468</v>
      </c>
      <c r="G323" s="221">
        <f t="shared" si="186"/>
        <v>1313034</v>
      </c>
      <c r="H323" s="221">
        <f t="shared" si="186"/>
        <v>0</v>
      </c>
      <c r="I323" s="221">
        <f t="shared" si="186"/>
        <v>0</v>
      </c>
      <c r="J323" s="221">
        <f t="shared" si="186"/>
        <v>1313034</v>
      </c>
      <c r="K323" s="221">
        <f t="shared" si="186"/>
        <v>0</v>
      </c>
      <c r="L323" s="221">
        <f t="shared" si="186"/>
        <v>0</v>
      </c>
      <c r="M323" s="221">
        <f t="shared" si="186"/>
        <v>1313034</v>
      </c>
      <c r="N323" s="221">
        <f t="shared" si="186"/>
        <v>0</v>
      </c>
      <c r="O323" s="221">
        <f t="shared" si="186"/>
        <v>0</v>
      </c>
      <c r="P323" s="221">
        <f t="shared" si="186"/>
        <v>1313034</v>
      </c>
      <c r="Q323" s="221">
        <f t="shared" si="186"/>
        <v>468000</v>
      </c>
      <c r="R323" s="221">
        <f t="shared" si="186"/>
        <v>1270000</v>
      </c>
      <c r="S323" s="221">
        <f t="shared" si="186"/>
        <v>511034</v>
      </c>
      <c r="T323" s="221">
        <f t="shared" si="186"/>
        <v>25598285</v>
      </c>
      <c r="U323" s="221">
        <f t="shared" si="186"/>
        <v>35000000</v>
      </c>
    </row>
    <row r="324" spans="1:24">
      <c r="A324" s="218"/>
      <c r="B324" s="218"/>
      <c r="C324" s="218"/>
      <c r="D324" s="218" t="s">
        <v>190</v>
      </c>
      <c r="E324" s="219"/>
      <c r="F324" s="220" t="s">
        <v>296</v>
      </c>
      <c r="G324" s="221">
        <f>G325</f>
        <v>1313034</v>
      </c>
      <c r="H324" s="221">
        <f t="shared" si="186"/>
        <v>0</v>
      </c>
      <c r="I324" s="221">
        <f t="shared" si="186"/>
        <v>0</v>
      </c>
      <c r="J324" s="221">
        <f t="shared" si="186"/>
        <v>1313034</v>
      </c>
      <c r="K324" s="221">
        <f t="shared" si="186"/>
        <v>0</v>
      </c>
      <c r="L324" s="221">
        <f t="shared" si="186"/>
        <v>0</v>
      </c>
      <c r="M324" s="221">
        <f t="shared" si="186"/>
        <v>1313034</v>
      </c>
      <c r="N324" s="221">
        <f t="shared" si="186"/>
        <v>0</v>
      </c>
      <c r="O324" s="221">
        <f t="shared" si="186"/>
        <v>0</v>
      </c>
      <c r="P324" s="221">
        <f>P325+P339</f>
        <v>1313034</v>
      </c>
      <c r="Q324" s="221">
        <f t="shared" ref="Q324:U324" si="187">Q325+Q339</f>
        <v>468000</v>
      </c>
      <c r="R324" s="221">
        <f t="shared" si="187"/>
        <v>1270000</v>
      </c>
      <c r="S324" s="221">
        <f t="shared" si="187"/>
        <v>511034</v>
      </c>
      <c r="T324" s="221">
        <f t="shared" si="187"/>
        <v>25598285</v>
      </c>
      <c r="U324" s="221">
        <f t="shared" si="187"/>
        <v>35000000</v>
      </c>
      <c r="V324" s="221"/>
    </row>
    <row r="325" spans="1:24">
      <c r="A325" s="222"/>
      <c r="B325" s="222"/>
      <c r="C325" s="222"/>
      <c r="D325" s="222"/>
      <c r="E325" s="219" t="s">
        <v>113</v>
      </c>
      <c r="F325" s="220" t="s">
        <v>8</v>
      </c>
      <c r="G325" s="221">
        <f>SUM(G326:G337)</f>
        <v>1313034</v>
      </c>
      <c r="H325" s="221">
        <f t="shared" ref="H325:U325" si="188">SUM(H326:H337)</f>
        <v>0</v>
      </c>
      <c r="I325" s="221">
        <f t="shared" si="188"/>
        <v>0</v>
      </c>
      <c r="J325" s="221">
        <f t="shared" si="188"/>
        <v>1313034</v>
      </c>
      <c r="K325" s="221">
        <f t="shared" si="188"/>
        <v>0</v>
      </c>
      <c r="L325" s="221">
        <f t="shared" si="188"/>
        <v>0</v>
      </c>
      <c r="M325" s="221">
        <f t="shared" si="188"/>
        <v>1313034</v>
      </c>
      <c r="N325" s="221">
        <f t="shared" si="188"/>
        <v>0</v>
      </c>
      <c r="O325" s="221">
        <f t="shared" si="188"/>
        <v>0</v>
      </c>
      <c r="P325" s="221">
        <f t="shared" si="188"/>
        <v>1313034</v>
      </c>
      <c r="Q325" s="221">
        <f t="shared" si="188"/>
        <v>150000</v>
      </c>
      <c r="R325" s="221">
        <f t="shared" si="188"/>
        <v>1270000</v>
      </c>
      <c r="S325" s="221">
        <f t="shared" si="188"/>
        <v>193034</v>
      </c>
      <c r="T325" s="221">
        <f t="shared" si="188"/>
        <v>25598285</v>
      </c>
      <c r="U325" s="221">
        <f t="shared" si="188"/>
        <v>35000000</v>
      </c>
      <c r="V325" s="221"/>
      <c r="W325" s="221"/>
      <c r="X325" s="221"/>
    </row>
    <row r="326" spans="1:24" ht="25.5">
      <c r="A326" s="218"/>
      <c r="B326" s="218"/>
      <c r="C326" s="218"/>
      <c r="D326" s="218"/>
      <c r="E326" s="219"/>
      <c r="F326" s="220" t="s">
        <v>869</v>
      </c>
      <c r="G326" s="211"/>
      <c r="H326" s="211"/>
      <c r="I326" s="211"/>
      <c r="J326" s="109">
        <f t="shared" si="167"/>
        <v>0</v>
      </c>
      <c r="K326" s="211"/>
      <c r="L326" s="211"/>
      <c r="M326" s="109">
        <f t="shared" ref="M326:M336" si="189">J326+K326-L326</f>
        <v>0</v>
      </c>
      <c r="N326" s="211"/>
      <c r="O326" s="211"/>
      <c r="P326" s="109">
        <f t="shared" ref="P326:P336" si="190">M326+N326-O326</f>
        <v>0</v>
      </c>
      <c r="Q326" s="211"/>
      <c r="R326" s="211"/>
      <c r="S326" s="109">
        <f t="shared" ref="S326:S336" si="191">P326+Q326-R326</f>
        <v>0</v>
      </c>
      <c r="T326" s="221">
        <v>1000000</v>
      </c>
      <c r="U326" s="221"/>
      <c r="V326" s="224"/>
    </row>
    <row r="327" spans="1:24" ht="25.5">
      <c r="A327" s="218"/>
      <c r="B327" s="218"/>
      <c r="C327" s="218"/>
      <c r="D327" s="218"/>
      <c r="E327" s="219"/>
      <c r="F327" s="220" t="s">
        <v>870</v>
      </c>
      <c r="G327" s="211"/>
      <c r="H327" s="211"/>
      <c r="I327" s="211"/>
      <c r="J327" s="109">
        <f t="shared" si="167"/>
        <v>0</v>
      </c>
      <c r="K327" s="211"/>
      <c r="L327" s="211"/>
      <c r="M327" s="109">
        <f t="shared" si="189"/>
        <v>0</v>
      </c>
      <c r="N327" s="211"/>
      <c r="O327" s="211"/>
      <c r="P327" s="109">
        <f t="shared" si="190"/>
        <v>0</v>
      </c>
      <c r="Q327" s="211">
        <v>150000</v>
      </c>
      <c r="R327" s="211"/>
      <c r="S327" s="109">
        <f t="shared" si="191"/>
        <v>150000</v>
      </c>
      <c r="T327" s="221">
        <v>764866</v>
      </c>
      <c r="U327" s="221"/>
      <c r="V327" s="224"/>
    </row>
    <row r="328" spans="1:24" ht="17.25" customHeight="1">
      <c r="A328" s="218"/>
      <c r="B328" s="218"/>
      <c r="C328" s="218"/>
      <c r="D328" s="218"/>
      <c r="E328" s="219"/>
      <c r="F328" s="220" t="s">
        <v>871</v>
      </c>
      <c r="G328" s="211"/>
      <c r="H328" s="211"/>
      <c r="I328" s="211"/>
      <c r="J328" s="109">
        <f t="shared" si="167"/>
        <v>0</v>
      </c>
      <c r="K328" s="211"/>
      <c r="L328" s="211"/>
      <c r="M328" s="109">
        <f t="shared" si="189"/>
        <v>0</v>
      </c>
      <c r="N328" s="211"/>
      <c r="O328" s="211"/>
      <c r="P328" s="109">
        <f t="shared" si="190"/>
        <v>0</v>
      </c>
      <c r="Q328" s="211"/>
      <c r="R328" s="211"/>
      <c r="S328" s="109">
        <f t="shared" si="191"/>
        <v>0</v>
      </c>
      <c r="T328" s="221">
        <v>612054</v>
      </c>
      <c r="U328" s="221"/>
    </row>
    <row r="329" spans="1:24" ht="25.5">
      <c r="A329" s="218"/>
      <c r="B329" s="218"/>
      <c r="C329" s="218"/>
      <c r="D329" s="218"/>
      <c r="E329" s="219"/>
      <c r="F329" s="220" t="s">
        <v>872</v>
      </c>
      <c r="G329" s="211">
        <v>1270000</v>
      </c>
      <c r="H329" s="211"/>
      <c r="I329" s="211"/>
      <c r="J329" s="109">
        <f t="shared" si="167"/>
        <v>1270000</v>
      </c>
      <c r="K329" s="211"/>
      <c r="L329" s="211"/>
      <c r="M329" s="109">
        <f t="shared" si="189"/>
        <v>1270000</v>
      </c>
      <c r="N329" s="211"/>
      <c r="O329" s="211"/>
      <c r="P329" s="109">
        <f t="shared" si="190"/>
        <v>1270000</v>
      </c>
      <c r="Q329" s="211"/>
      <c r="R329" s="211">
        <v>1270000</v>
      </c>
      <c r="S329" s="109">
        <f t="shared" si="191"/>
        <v>0</v>
      </c>
      <c r="T329" s="221">
        <v>11221365</v>
      </c>
      <c r="U329" s="221"/>
      <c r="V329" s="224"/>
    </row>
    <row r="330" spans="1:24" ht="25.5">
      <c r="A330" s="218"/>
      <c r="B330" s="218"/>
      <c r="C330" s="218"/>
      <c r="D330" s="218"/>
      <c r="E330" s="219"/>
      <c r="F330" s="220" t="s">
        <v>873</v>
      </c>
      <c r="G330" s="211"/>
      <c r="H330" s="211"/>
      <c r="I330" s="211"/>
      <c r="J330" s="109">
        <f t="shared" si="167"/>
        <v>0</v>
      </c>
      <c r="K330" s="211"/>
      <c r="L330" s="211"/>
      <c r="M330" s="109">
        <f t="shared" si="189"/>
        <v>0</v>
      </c>
      <c r="N330" s="211"/>
      <c r="O330" s="211"/>
      <c r="P330" s="109">
        <f t="shared" si="190"/>
        <v>0</v>
      </c>
      <c r="Q330" s="211"/>
      <c r="R330" s="211"/>
      <c r="S330" s="109">
        <f t="shared" si="191"/>
        <v>0</v>
      </c>
      <c r="T330" s="221">
        <v>3000000</v>
      </c>
      <c r="U330" s="221">
        <v>5000000</v>
      </c>
      <c r="V330" s="224"/>
    </row>
    <row r="331" spans="1:24">
      <c r="A331" s="218"/>
      <c r="B331" s="218"/>
      <c r="C331" s="218"/>
      <c r="D331" s="218"/>
      <c r="E331" s="219"/>
      <c r="F331" s="220" t="s">
        <v>874</v>
      </c>
      <c r="G331" s="211"/>
      <c r="H331" s="211"/>
      <c r="I331" s="211"/>
      <c r="J331" s="109">
        <f t="shared" si="167"/>
        <v>0</v>
      </c>
      <c r="K331" s="211"/>
      <c r="L331" s="211"/>
      <c r="M331" s="109">
        <f t="shared" si="189"/>
        <v>0</v>
      </c>
      <c r="N331" s="211"/>
      <c r="O331" s="211"/>
      <c r="P331" s="109">
        <f t="shared" si="190"/>
        <v>0</v>
      </c>
      <c r="Q331" s="211"/>
      <c r="R331" s="211"/>
      <c r="S331" s="109">
        <f t="shared" si="191"/>
        <v>0</v>
      </c>
      <c r="T331" s="221">
        <v>3000000</v>
      </c>
      <c r="U331" s="221">
        <v>5000000</v>
      </c>
      <c r="V331" s="224"/>
    </row>
    <row r="332" spans="1:24">
      <c r="A332" s="218"/>
      <c r="B332" s="218"/>
      <c r="C332" s="218"/>
      <c r="D332" s="218"/>
      <c r="E332" s="219"/>
      <c r="F332" s="220" t="s">
        <v>875</v>
      </c>
      <c r="G332" s="211"/>
      <c r="H332" s="211"/>
      <c r="I332" s="211"/>
      <c r="J332" s="109">
        <f t="shared" si="167"/>
        <v>0</v>
      </c>
      <c r="K332" s="211"/>
      <c r="L332" s="211"/>
      <c r="M332" s="109">
        <f t="shared" si="189"/>
        <v>0</v>
      </c>
      <c r="N332" s="211"/>
      <c r="O332" s="211"/>
      <c r="P332" s="109">
        <f t="shared" si="190"/>
        <v>0</v>
      </c>
      <c r="Q332" s="211"/>
      <c r="R332" s="211"/>
      <c r="S332" s="109">
        <f t="shared" si="191"/>
        <v>0</v>
      </c>
      <c r="T332" s="221">
        <v>3000000</v>
      </c>
      <c r="U332" s="221">
        <v>5000000</v>
      </c>
      <c r="V332" s="224"/>
    </row>
    <row r="333" spans="1:24">
      <c r="A333" s="218"/>
      <c r="B333" s="218"/>
      <c r="C333" s="218"/>
      <c r="D333" s="218"/>
      <c r="E333" s="219"/>
      <c r="F333" s="220" t="s">
        <v>876</v>
      </c>
      <c r="G333" s="211"/>
      <c r="H333" s="211"/>
      <c r="I333" s="211"/>
      <c r="J333" s="109">
        <f t="shared" si="167"/>
        <v>0</v>
      </c>
      <c r="K333" s="211"/>
      <c r="L333" s="211"/>
      <c r="M333" s="109">
        <f t="shared" si="189"/>
        <v>0</v>
      </c>
      <c r="N333" s="211"/>
      <c r="O333" s="211"/>
      <c r="P333" s="109">
        <f t="shared" si="190"/>
        <v>0</v>
      </c>
      <c r="Q333" s="211"/>
      <c r="R333" s="211"/>
      <c r="S333" s="109">
        <f t="shared" si="191"/>
        <v>0</v>
      </c>
      <c r="T333" s="221">
        <v>3000000</v>
      </c>
      <c r="U333" s="221">
        <v>5000000</v>
      </c>
      <c r="V333" s="224"/>
    </row>
    <row r="334" spans="1:24" ht="27" customHeight="1">
      <c r="A334" s="218"/>
      <c r="B334" s="218"/>
      <c r="C334" s="218"/>
      <c r="D334" s="218"/>
      <c r="E334" s="219"/>
      <c r="F334" s="220" t="s">
        <v>877</v>
      </c>
      <c r="G334" s="211"/>
      <c r="H334" s="211"/>
      <c r="I334" s="211"/>
      <c r="J334" s="109">
        <f t="shared" si="167"/>
        <v>0</v>
      </c>
      <c r="K334" s="211"/>
      <c r="L334" s="211"/>
      <c r="M334" s="109">
        <f t="shared" si="189"/>
        <v>0</v>
      </c>
      <c r="N334" s="211"/>
      <c r="O334" s="211"/>
      <c r="P334" s="109">
        <f t="shared" si="190"/>
        <v>0</v>
      </c>
      <c r="Q334" s="211"/>
      <c r="R334" s="211"/>
      <c r="S334" s="109">
        <f t="shared" si="191"/>
        <v>0</v>
      </c>
      <c r="T334" s="221"/>
      <c r="U334" s="221">
        <v>5000000</v>
      </c>
      <c r="V334" s="224"/>
    </row>
    <row r="335" spans="1:24" ht="25.5">
      <c r="A335" s="218"/>
      <c r="B335" s="218"/>
      <c r="C335" s="218"/>
      <c r="D335" s="218"/>
      <c r="E335" s="219"/>
      <c r="F335" s="220" t="s">
        <v>878</v>
      </c>
      <c r="G335" s="211"/>
      <c r="H335" s="211"/>
      <c r="I335" s="211"/>
      <c r="J335" s="109">
        <f t="shared" si="167"/>
        <v>0</v>
      </c>
      <c r="K335" s="211"/>
      <c r="L335" s="211"/>
      <c r="M335" s="109">
        <f t="shared" si="189"/>
        <v>0</v>
      </c>
      <c r="N335" s="211"/>
      <c r="O335" s="211"/>
      <c r="P335" s="109">
        <f t="shared" si="190"/>
        <v>0</v>
      </c>
      <c r="Q335" s="211"/>
      <c r="R335" s="211"/>
      <c r="S335" s="109">
        <f t="shared" si="191"/>
        <v>0</v>
      </c>
      <c r="T335" s="221"/>
      <c r="U335" s="221">
        <v>5000000</v>
      </c>
      <c r="V335" s="224"/>
    </row>
    <row r="336" spans="1:24" ht="25.5">
      <c r="A336" s="218"/>
      <c r="B336" s="218"/>
      <c r="C336" s="218"/>
      <c r="D336" s="218"/>
      <c r="E336" s="219"/>
      <c r="F336" s="220" t="s">
        <v>879</v>
      </c>
      <c r="G336" s="211"/>
      <c r="H336" s="211"/>
      <c r="I336" s="211"/>
      <c r="J336" s="109">
        <f t="shared" si="167"/>
        <v>0</v>
      </c>
      <c r="K336" s="211"/>
      <c r="L336" s="211"/>
      <c r="M336" s="109">
        <f t="shared" si="189"/>
        <v>0</v>
      </c>
      <c r="N336" s="211"/>
      <c r="O336" s="211"/>
      <c r="P336" s="109">
        <f t="shared" si="190"/>
        <v>0</v>
      </c>
      <c r="Q336" s="211"/>
      <c r="R336" s="211"/>
      <c r="S336" s="109">
        <f t="shared" si="191"/>
        <v>0</v>
      </c>
      <c r="T336" s="221"/>
      <c r="U336" s="221">
        <v>5000000</v>
      </c>
      <c r="V336" s="224"/>
    </row>
    <row r="337" spans="1:24">
      <c r="A337" s="218"/>
      <c r="B337" s="218"/>
      <c r="C337" s="218"/>
      <c r="D337" s="218"/>
      <c r="E337" s="219"/>
      <c r="F337" s="216" t="s">
        <v>676</v>
      </c>
      <c r="G337" s="217">
        <f>SUM(G338:G338)</f>
        <v>43034</v>
      </c>
      <c r="H337" s="217">
        <f t="shared" ref="H337:S337" si="192">SUM(H338:H338)</f>
        <v>0</v>
      </c>
      <c r="I337" s="217">
        <f t="shared" si="192"/>
        <v>0</v>
      </c>
      <c r="J337" s="217">
        <f t="shared" si="192"/>
        <v>43034</v>
      </c>
      <c r="K337" s="217">
        <f t="shared" si="192"/>
        <v>0</v>
      </c>
      <c r="L337" s="217">
        <f t="shared" si="192"/>
        <v>0</v>
      </c>
      <c r="M337" s="217">
        <f t="shared" si="192"/>
        <v>43034</v>
      </c>
      <c r="N337" s="217">
        <f t="shared" si="192"/>
        <v>0</v>
      </c>
      <c r="O337" s="217">
        <f t="shared" si="192"/>
        <v>0</v>
      </c>
      <c r="P337" s="217">
        <f t="shared" si="192"/>
        <v>43034</v>
      </c>
      <c r="Q337" s="217">
        <f t="shared" si="192"/>
        <v>0</v>
      </c>
      <c r="R337" s="217">
        <f t="shared" si="192"/>
        <v>0</v>
      </c>
      <c r="S337" s="217">
        <f t="shared" si="192"/>
        <v>43034</v>
      </c>
      <c r="T337" s="217">
        <f>SUM(T338:T338)</f>
        <v>0</v>
      </c>
      <c r="U337" s="217">
        <f>SUM(U338:U338)</f>
        <v>0</v>
      </c>
    </row>
    <row r="338" spans="1:24" ht="25.5">
      <c r="A338" s="218"/>
      <c r="B338" s="218"/>
      <c r="C338" s="218"/>
      <c r="D338" s="218"/>
      <c r="E338" s="219"/>
      <c r="F338" s="275" t="s">
        <v>880</v>
      </c>
      <c r="G338" s="211">
        <v>43034</v>
      </c>
      <c r="H338" s="211"/>
      <c r="I338" s="211"/>
      <c r="J338" s="109">
        <f t="shared" si="167"/>
        <v>43034</v>
      </c>
      <c r="K338" s="211"/>
      <c r="L338" s="211"/>
      <c r="M338" s="109">
        <f t="shared" ref="M338" si="193">J338+K338-L338</f>
        <v>43034</v>
      </c>
      <c r="N338" s="211"/>
      <c r="O338" s="211"/>
      <c r="P338" s="109">
        <f t="shared" ref="P338" si="194">M338+N338-O338</f>
        <v>43034</v>
      </c>
      <c r="Q338" s="211"/>
      <c r="R338" s="211"/>
      <c r="S338" s="109">
        <f t="shared" ref="S338" si="195">P338+Q338-R338</f>
        <v>43034</v>
      </c>
      <c r="T338" s="221"/>
      <c r="U338" s="221"/>
    </row>
    <row r="339" spans="1:24">
      <c r="A339" s="218"/>
      <c r="B339" s="218"/>
      <c r="C339" s="218"/>
      <c r="D339" s="218"/>
      <c r="E339" s="256" t="s">
        <v>214</v>
      </c>
      <c r="F339" s="257" t="s">
        <v>779</v>
      </c>
      <c r="G339" s="211"/>
      <c r="H339" s="211"/>
      <c r="I339" s="211"/>
      <c r="J339" s="109"/>
      <c r="K339" s="211"/>
      <c r="L339" s="211"/>
      <c r="M339" s="109"/>
      <c r="N339" s="211"/>
      <c r="O339" s="211"/>
      <c r="P339" s="229">
        <f>P340</f>
        <v>0</v>
      </c>
      <c r="Q339" s="229">
        <f t="shared" ref="Q339:U339" si="196">Q340</f>
        <v>318000</v>
      </c>
      <c r="R339" s="229">
        <f t="shared" si="196"/>
        <v>0</v>
      </c>
      <c r="S339" s="229">
        <f t="shared" si="196"/>
        <v>318000</v>
      </c>
      <c r="T339" s="229">
        <f t="shared" si="196"/>
        <v>0</v>
      </c>
      <c r="U339" s="229">
        <f t="shared" si="196"/>
        <v>0</v>
      </c>
    </row>
    <row r="340" spans="1:24">
      <c r="A340" s="218"/>
      <c r="B340" s="218"/>
      <c r="C340" s="218"/>
      <c r="D340" s="218"/>
      <c r="E340" s="219"/>
      <c r="F340" s="276" t="s">
        <v>881</v>
      </c>
      <c r="G340" s="211"/>
      <c r="H340" s="211"/>
      <c r="I340" s="211"/>
      <c r="J340" s="109"/>
      <c r="K340" s="211"/>
      <c r="L340" s="211"/>
      <c r="M340" s="109"/>
      <c r="N340" s="211"/>
      <c r="O340" s="211"/>
      <c r="P340" s="109"/>
      <c r="Q340" s="211">
        <v>318000</v>
      </c>
      <c r="R340" s="211"/>
      <c r="S340" s="109">
        <f t="shared" ref="S340" si="197">P340+Q340-R340</f>
        <v>318000</v>
      </c>
      <c r="T340" s="221"/>
      <c r="U340" s="221"/>
    </row>
    <row r="341" spans="1:24">
      <c r="A341" s="218"/>
      <c r="B341" s="218">
        <v>9</v>
      </c>
      <c r="C341" s="218"/>
      <c r="D341" s="218"/>
      <c r="E341" s="219"/>
      <c r="F341" s="248" t="s">
        <v>882</v>
      </c>
      <c r="G341" s="221">
        <f t="shared" ref="G341:U343" si="198">G342</f>
        <v>320197</v>
      </c>
      <c r="H341" s="221">
        <f t="shared" si="198"/>
        <v>0</v>
      </c>
      <c r="I341" s="221">
        <f t="shared" si="198"/>
        <v>0</v>
      </c>
      <c r="J341" s="221">
        <f t="shared" si="198"/>
        <v>320197</v>
      </c>
      <c r="K341" s="221">
        <f t="shared" si="198"/>
        <v>0</v>
      </c>
      <c r="L341" s="221">
        <f t="shared" si="198"/>
        <v>0</v>
      </c>
      <c r="M341" s="221">
        <f t="shared" si="198"/>
        <v>320197</v>
      </c>
      <c r="N341" s="221">
        <f t="shared" si="198"/>
        <v>0</v>
      </c>
      <c r="O341" s="221">
        <f t="shared" si="198"/>
        <v>0</v>
      </c>
      <c r="P341" s="221">
        <f t="shared" si="198"/>
        <v>320197</v>
      </c>
      <c r="Q341" s="221">
        <f t="shared" si="198"/>
        <v>13161</v>
      </c>
      <c r="R341" s="221">
        <f t="shared" si="198"/>
        <v>0</v>
      </c>
      <c r="S341" s="221">
        <f t="shared" si="198"/>
        <v>333358</v>
      </c>
      <c r="T341" s="221">
        <f t="shared" si="198"/>
        <v>5100000</v>
      </c>
      <c r="U341" s="221">
        <f t="shared" si="198"/>
        <v>30291630</v>
      </c>
    </row>
    <row r="342" spans="1:24" ht="25.5">
      <c r="A342" s="218"/>
      <c r="B342" s="218"/>
      <c r="C342" s="218">
        <v>309</v>
      </c>
      <c r="D342" s="218"/>
      <c r="E342" s="219"/>
      <c r="F342" s="220" t="s">
        <v>468</v>
      </c>
      <c r="G342" s="221">
        <f t="shared" si="198"/>
        <v>320197</v>
      </c>
      <c r="H342" s="221">
        <f t="shared" si="198"/>
        <v>0</v>
      </c>
      <c r="I342" s="221">
        <f t="shared" si="198"/>
        <v>0</v>
      </c>
      <c r="J342" s="221">
        <f t="shared" si="198"/>
        <v>320197</v>
      </c>
      <c r="K342" s="221">
        <f t="shared" si="198"/>
        <v>0</v>
      </c>
      <c r="L342" s="221">
        <f t="shared" si="198"/>
        <v>0</v>
      </c>
      <c r="M342" s="221">
        <f t="shared" si="198"/>
        <v>320197</v>
      </c>
      <c r="N342" s="221">
        <f t="shared" si="198"/>
        <v>0</v>
      </c>
      <c r="O342" s="221">
        <f t="shared" si="198"/>
        <v>0</v>
      </c>
      <c r="P342" s="221">
        <f t="shared" si="198"/>
        <v>320197</v>
      </c>
      <c r="Q342" s="221">
        <f t="shared" si="198"/>
        <v>13161</v>
      </c>
      <c r="R342" s="221">
        <f t="shared" si="198"/>
        <v>0</v>
      </c>
      <c r="S342" s="221">
        <f t="shared" si="198"/>
        <v>333358</v>
      </c>
      <c r="T342" s="221">
        <f t="shared" si="198"/>
        <v>5100000</v>
      </c>
      <c r="U342" s="221">
        <f t="shared" si="198"/>
        <v>30291630</v>
      </c>
    </row>
    <row r="343" spans="1:24" s="225" customFormat="1">
      <c r="A343" s="222"/>
      <c r="B343" s="222"/>
      <c r="C343" s="222"/>
      <c r="D343" s="218" t="s">
        <v>302</v>
      </c>
      <c r="E343" s="219"/>
      <c r="F343" s="220" t="s">
        <v>883</v>
      </c>
      <c r="G343" s="224">
        <f>G344</f>
        <v>320197</v>
      </c>
      <c r="H343" s="224">
        <f t="shared" si="198"/>
        <v>0</v>
      </c>
      <c r="I343" s="224">
        <f t="shared" si="198"/>
        <v>0</v>
      </c>
      <c r="J343" s="224">
        <f t="shared" si="198"/>
        <v>320197</v>
      </c>
      <c r="K343" s="224">
        <f t="shared" si="198"/>
        <v>0</v>
      </c>
      <c r="L343" s="224">
        <f t="shared" si="198"/>
        <v>0</v>
      </c>
      <c r="M343" s="224">
        <f t="shared" si="198"/>
        <v>320197</v>
      </c>
      <c r="N343" s="224">
        <f t="shared" si="198"/>
        <v>0</v>
      </c>
      <c r="O343" s="224">
        <f t="shared" si="198"/>
        <v>0</v>
      </c>
      <c r="P343" s="224">
        <f t="shared" si="198"/>
        <v>320197</v>
      </c>
      <c r="Q343" s="224">
        <f t="shared" si="198"/>
        <v>13161</v>
      </c>
      <c r="R343" s="224">
        <f t="shared" si="198"/>
        <v>0</v>
      </c>
      <c r="S343" s="224">
        <f t="shared" si="198"/>
        <v>333358</v>
      </c>
      <c r="T343" s="224">
        <f t="shared" si="198"/>
        <v>5100000</v>
      </c>
      <c r="U343" s="224">
        <f t="shared" si="198"/>
        <v>30291630</v>
      </c>
    </row>
    <row r="344" spans="1:24" s="225" customFormat="1">
      <c r="A344" s="222"/>
      <c r="B344" s="222"/>
      <c r="C344" s="222"/>
      <c r="D344" s="222"/>
      <c r="E344" s="219" t="s">
        <v>113</v>
      </c>
      <c r="F344" s="220" t="s">
        <v>8</v>
      </c>
      <c r="G344" s="224">
        <f>SUM(G345:G350)</f>
        <v>320197</v>
      </c>
      <c r="H344" s="224">
        <f t="shared" ref="H344:O344" si="199">SUM(H345:H350)</f>
        <v>0</v>
      </c>
      <c r="I344" s="224">
        <f t="shared" si="199"/>
        <v>0</v>
      </c>
      <c r="J344" s="224">
        <f t="shared" si="199"/>
        <v>320197</v>
      </c>
      <c r="K344" s="224">
        <f t="shared" si="199"/>
        <v>0</v>
      </c>
      <c r="L344" s="224">
        <f t="shared" si="199"/>
        <v>0</v>
      </c>
      <c r="M344" s="224">
        <f t="shared" si="199"/>
        <v>320197</v>
      </c>
      <c r="N344" s="224">
        <f t="shared" si="199"/>
        <v>0</v>
      </c>
      <c r="O344" s="224">
        <f t="shared" si="199"/>
        <v>0</v>
      </c>
      <c r="P344" s="224">
        <f>SUM(P345:P351)</f>
        <v>320197</v>
      </c>
      <c r="Q344" s="224">
        <f t="shared" ref="Q344:U344" si="200">SUM(Q345:Q351)</f>
        <v>13161</v>
      </c>
      <c r="R344" s="224">
        <f t="shared" si="200"/>
        <v>0</v>
      </c>
      <c r="S344" s="224">
        <f t="shared" si="200"/>
        <v>333358</v>
      </c>
      <c r="T344" s="224">
        <f t="shared" si="200"/>
        <v>5100000</v>
      </c>
      <c r="U344" s="224">
        <f t="shared" si="200"/>
        <v>30291630</v>
      </c>
      <c r="V344" s="242"/>
      <c r="W344" s="242"/>
      <c r="X344" s="242"/>
    </row>
    <row r="345" spans="1:24" s="225" customFormat="1" ht="25.5">
      <c r="A345" s="222"/>
      <c r="B345" s="222"/>
      <c r="C345" s="222"/>
      <c r="D345" s="222"/>
      <c r="E345" s="219"/>
      <c r="F345" s="220" t="s">
        <v>884</v>
      </c>
      <c r="G345" s="211">
        <v>320197</v>
      </c>
      <c r="H345" s="211"/>
      <c r="I345" s="211"/>
      <c r="J345" s="109">
        <f t="shared" si="167"/>
        <v>320197</v>
      </c>
      <c r="K345" s="211"/>
      <c r="L345" s="211"/>
      <c r="M345" s="109">
        <f t="shared" ref="M345:M350" si="201">J345+K345-L345</f>
        <v>320197</v>
      </c>
      <c r="N345" s="211"/>
      <c r="O345" s="211"/>
      <c r="P345" s="109">
        <f t="shared" ref="P345:P350" si="202">M345+N345-O345</f>
        <v>320197</v>
      </c>
      <c r="Q345" s="211">
        <v>11437</v>
      </c>
      <c r="R345" s="211"/>
      <c r="S345" s="109">
        <f t="shared" ref="S345:S352" si="203">P345+Q345-R345</f>
        <v>331634</v>
      </c>
      <c r="T345" s="224"/>
      <c r="U345" s="224"/>
    </row>
    <row r="346" spans="1:24" s="225" customFormat="1" ht="25.5">
      <c r="A346" s="222"/>
      <c r="B346" s="222"/>
      <c r="C346" s="222"/>
      <c r="D346" s="222"/>
      <c r="E346" s="219"/>
      <c r="F346" s="220" t="s">
        <v>885</v>
      </c>
      <c r="G346" s="211"/>
      <c r="H346" s="211"/>
      <c r="I346" s="211"/>
      <c r="J346" s="109">
        <f t="shared" si="167"/>
        <v>0</v>
      </c>
      <c r="K346" s="211"/>
      <c r="L346" s="211"/>
      <c r="M346" s="109">
        <f t="shared" si="201"/>
        <v>0</v>
      </c>
      <c r="N346" s="211"/>
      <c r="O346" s="211"/>
      <c r="P346" s="109">
        <f t="shared" si="202"/>
        <v>0</v>
      </c>
      <c r="Q346" s="211"/>
      <c r="R346" s="211"/>
      <c r="S346" s="109">
        <f t="shared" si="203"/>
        <v>0</v>
      </c>
      <c r="T346" s="224">
        <v>1500000</v>
      </c>
      <c r="U346" s="224">
        <v>500000</v>
      </c>
    </row>
    <row r="347" spans="1:24" s="225" customFormat="1" ht="25.5">
      <c r="A347" s="222"/>
      <c r="B347" s="222"/>
      <c r="C347" s="222"/>
      <c r="D347" s="222"/>
      <c r="E347" s="219"/>
      <c r="F347" s="220" t="s">
        <v>886</v>
      </c>
      <c r="G347" s="211"/>
      <c r="H347" s="211"/>
      <c r="I347" s="211"/>
      <c r="J347" s="109">
        <f t="shared" si="167"/>
        <v>0</v>
      </c>
      <c r="K347" s="211"/>
      <c r="L347" s="211"/>
      <c r="M347" s="109">
        <f t="shared" si="201"/>
        <v>0</v>
      </c>
      <c r="N347" s="211"/>
      <c r="O347" s="211"/>
      <c r="P347" s="109">
        <f t="shared" si="202"/>
        <v>0</v>
      </c>
      <c r="Q347" s="211"/>
      <c r="R347" s="211"/>
      <c r="S347" s="109">
        <f t="shared" si="203"/>
        <v>0</v>
      </c>
      <c r="T347" s="224">
        <v>1000000</v>
      </c>
      <c r="U347" s="224">
        <v>800000</v>
      </c>
    </row>
    <row r="348" spans="1:24" s="225" customFormat="1" ht="38.25">
      <c r="A348" s="222"/>
      <c r="B348" s="222"/>
      <c r="C348" s="222"/>
      <c r="D348" s="222"/>
      <c r="E348" s="219"/>
      <c r="F348" s="220" t="s">
        <v>887</v>
      </c>
      <c r="G348" s="211"/>
      <c r="H348" s="211"/>
      <c r="I348" s="211"/>
      <c r="J348" s="109">
        <f t="shared" si="167"/>
        <v>0</v>
      </c>
      <c r="K348" s="211"/>
      <c r="L348" s="211"/>
      <c r="M348" s="109">
        <f t="shared" si="201"/>
        <v>0</v>
      </c>
      <c r="N348" s="211"/>
      <c r="O348" s="211"/>
      <c r="P348" s="109">
        <f t="shared" si="202"/>
        <v>0</v>
      </c>
      <c r="Q348" s="211"/>
      <c r="R348" s="211"/>
      <c r="S348" s="109">
        <f t="shared" si="203"/>
        <v>0</v>
      </c>
      <c r="T348" s="224">
        <v>600000</v>
      </c>
      <c r="U348" s="224"/>
    </row>
    <row r="349" spans="1:24" s="225" customFormat="1">
      <c r="A349" s="222"/>
      <c r="B349" s="222"/>
      <c r="C349" s="222"/>
      <c r="D349" s="222"/>
      <c r="E349" s="219"/>
      <c r="F349" s="220" t="s">
        <v>888</v>
      </c>
      <c r="G349" s="211"/>
      <c r="H349" s="211"/>
      <c r="I349" s="211"/>
      <c r="J349" s="109">
        <f t="shared" si="167"/>
        <v>0</v>
      </c>
      <c r="K349" s="211"/>
      <c r="L349" s="211"/>
      <c r="M349" s="109">
        <f t="shared" si="201"/>
        <v>0</v>
      </c>
      <c r="N349" s="211"/>
      <c r="O349" s="211"/>
      <c r="P349" s="109">
        <f t="shared" si="202"/>
        <v>0</v>
      </c>
      <c r="Q349" s="211"/>
      <c r="R349" s="211"/>
      <c r="S349" s="109">
        <f t="shared" si="203"/>
        <v>0</v>
      </c>
      <c r="T349" s="224">
        <v>1000000</v>
      </c>
      <c r="U349" s="224">
        <v>23991630</v>
      </c>
    </row>
    <row r="350" spans="1:24" s="225" customFormat="1">
      <c r="A350" s="222"/>
      <c r="B350" s="222"/>
      <c r="C350" s="222"/>
      <c r="D350" s="222"/>
      <c r="E350" s="219"/>
      <c r="F350" s="220" t="s">
        <v>889</v>
      </c>
      <c r="G350" s="211"/>
      <c r="H350" s="211"/>
      <c r="I350" s="211"/>
      <c r="J350" s="109">
        <f t="shared" si="167"/>
        <v>0</v>
      </c>
      <c r="K350" s="211"/>
      <c r="L350" s="211"/>
      <c r="M350" s="109">
        <f t="shared" si="201"/>
        <v>0</v>
      </c>
      <c r="N350" s="211"/>
      <c r="O350" s="211"/>
      <c r="P350" s="109">
        <f t="shared" si="202"/>
        <v>0</v>
      </c>
      <c r="Q350" s="211"/>
      <c r="R350" s="211"/>
      <c r="S350" s="109">
        <f t="shared" si="203"/>
        <v>0</v>
      </c>
      <c r="T350" s="224">
        <v>1000000</v>
      </c>
      <c r="U350" s="224">
        <v>5000000</v>
      </c>
    </row>
    <row r="351" spans="1:24" s="225" customFormat="1">
      <c r="A351" s="222"/>
      <c r="B351" s="222"/>
      <c r="C351" s="222"/>
      <c r="D351" s="222"/>
      <c r="E351" s="219"/>
      <c r="F351" s="277" t="s">
        <v>890</v>
      </c>
      <c r="G351" s="211"/>
      <c r="H351" s="211"/>
      <c r="I351" s="211"/>
      <c r="J351" s="109"/>
      <c r="K351" s="211"/>
      <c r="L351" s="211"/>
      <c r="M351" s="109"/>
      <c r="N351" s="211"/>
      <c r="O351" s="211"/>
      <c r="P351" s="229">
        <f>P352</f>
        <v>0</v>
      </c>
      <c r="Q351" s="229">
        <f t="shared" ref="Q351:U351" si="204">Q352</f>
        <v>1724</v>
      </c>
      <c r="R351" s="229">
        <f t="shared" si="204"/>
        <v>0</v>
      </c>
      <c r="S351" s="229">
        <f t="shared" si="204"/>
        <v>1724</v>
      </c>
      <c r="T351" s="229">
        <f t="shared" si="204"/>
        <v>0</v>
      </c>
      <c r="U351" s="229">
        <f t="shared" si="204"/>
        <v>0</v>
      </c>
    </row>
    <row r="352" spans="1:24" s="225" customFormat="1">
      <c r="A352" s="222"/>
      <c r="B352" s="222"/>
      <c r="C352" s="222"/>
      <c r="D352" s="222"/>
      <c r="E352" s="219"/>
      <c r="F352" s="248" t="s">
        <v>679</v>
      </c>
      <c r="G352" s="211"/>
      <c r="H352" s="211"/>
      <c r="I352" s="211"/>
      <c r="J352" s="109"/>
      <c r="K352" s="211"/>
      <c r="L352" s="211"/>
      <c r="M352" s="109"/>
      <c r="N352" s="211"/>
      <c r="O352" s="211"/>
      <c r="P352" s="109"/>
      <c r="Q352" s="211">
        <v>1724</v>
      </c>
      <c r="R352" s="211"/>
      <c r="S352" s="109">
        <f t="shared" si="203"/>
        <v>1724</v>
      </c>
      <c r="T352" s="224"/>
      <c r="U352" s="224"/>
    </row>
    <row r="353" spans="1:24">
      <c r="A353" s="218" t="s">
        <v>39</v>
      </c>
      <c r="B353" s="218"/>
      <c r="C353" s="218"/>
      <c r="D353" s="218"/>
      <c r="E353" s="219"/>
      <c r="F353" s="250" t="s">
        <v>891</v>
      </c>
      <c r="G353" s="221">
        <f t="shared" ref="G353:T353" si="205">G354+G400</f>
        <v>31517635.041830402</v>
      </c>
      <c r="H353" s="221">
        <f t="shared" si="205"/>
        <v>17737264</v>
      </c>
      <c r="I353" s="221">
        <f t="shared" si="205"/>
        <v>17737264</v>
      </c>
      <c r="J353" s="221">
        <f t="shared" si="205"/>
        <v>31517635</v>
      </c>
      <c r="K353" s="221">
        <f t="shared" si="205"/>
        <v>11527835</v>
      </c>
      <c r="L353" s="221">
        <f t="shared" si="205"/>
        <v>11589606</v>
      </c>
      <c r="M353" s="221">
        <f t="shared" si="205"/>
        <v>31455864</v>
      </c>
      <c r="N353" s="221">
        <f t="shared" si="205"/>
        <v>0</v>
      </c>
      <c r="O353" s="221">
        <f t="shared" si="205"/>
        <v>0</v>
      </c>
      <c r="P353" s="221">
        <f t="shared" si="205"/>
        <v>31455864</v>
      </c>
      <c r="Q353" s="221">
        <f t="shared" si="205"/>
        <v>1157521</v>
      </c>
      <c r="R353" s="221">
        <f t="shared" si="205"/>
        <v>2807641</v>
      </c>
      <c r="S353" s="221">
        <f t="shared" si="205"/>
        <v>29805744</v>
      </c>
      <c r="T353" s="221">
        <f t="shared" si="205"/>
        <v>42268481</v>
      </c>
      <c r="U353" s="221">
        <f>U354+U393+U400</f>
        <v>69574036</v>
      </c>
    </row>
    <row r="354" spans="1:24">
      <c r="A354" s="218"/>
      <c r="B354" s="218">
        <v>1</v>
      </c>
      <c r="C354" s="218"/>
      <c r="D354" s="218"/>
      <c r="E354" s="219"/>
      <c r="F354" s="220" t="s">
        <v>892</v>
      </c>
      <c r="G354" s="221">
        <f t="shared" ref="G354:U354" si="206">G355</f>
        <v>30945054.041830402</v>
      </c>
      <c r="H354" s="221">
        <f t="shared" si="206"/>
        <v>17737264</v>
      </c>
      <c r="I354" s="221">
        <f t="shared" si="206"/>
        <v>17737264</v>
      </c>
      <c r="J354" s="221">
        <f t="shared" si="206"/>
        <v>30945054</v>
      </c>
      <c r="K354" s="221">
        <f t="shared" si="206"/>
        <v>11527835</v>
      </c>
      <c r="L354" s="221">
        <f t="shared" si="206"/>
        <v>11589606</v>
      </c>
      <c r="M354" s="221">
        <f t="shared" si="206"/>
        <v>30883283</v>
      </c>
      <c r="N354" s="221">
        <f t="shared" si="206"/>
        <v>0</v>
      </c>
      <c r="O354" s="221">
        <f t="shared" si="206"/>
        <v>0</v>
      </c>
      <c r="P354" s="221">
        <f t="shared" si="206"/>
        <v>30883283</v>
      </c>
      <c r="Q354" s="221">
        <f t="shared" si="206"/>
        <v>1157521</v>
      </c>
      <c r="R354" s="221">
        <f t="shared" si="206"/>
        <v>2235060</v>
      </c>
      <c r="S354" s="221">
        <f t="shared" si="206"/>
        <v>29805744</v>
      </c>
      <c r="T354" s="221">
        <f t="shared" si="206"/>
        <v>41449977</v>
      </c>
      <c r="U354" s="221">
        <f t="shared" si="206"/>
        <v>52960173</v>
      </c>
    </row>
    <row r="355" spans="1:24" ht="25.5">
      <c r="A355" s="218"/>
      <c r="B355" s="218"/>
      <c r="C355" s="218" t="s">
        <v>610</v>
      </c>
      <c r="D355" s="218"/>
      <c r="E355" s="219"/>
      <c r="F355" s="220" t="s">
        <v>893</v>
      </c>
      <c r="G355" s="221">
        <f t="shared" ref="G355:T355" si="207">G356+G395</f>
        <v>30945054.041830402</v>
      </c>
      <c r="H355" s="221">
        <f t="shared" si="207"/>
        <v>17737264</v>
      </c>
      <c r="I355" s="221">
        <f t="shared" si="207"/>
        <v>17737264</v>
      </c>
      <c r="J355" s="221">
        <f t="shared" si="207"/>
        <v>30945054</v>
      </c>
      <c r="K355" s="221">
        <f t="shared" si="207"/>
        <v>11527835</v>
      </c>
      <c r="L355" s="221">
        <f t="shared" si="207"/>
        <v>11589606</v>
      </c>
      <c r="M355" s="221">
        <f t="shared" si="207"/>
        <v>30883283</v>
      </c>
      <c r="N355" s="221">
        <f t="shared" si="207"/>
        <v>0</v>
      </c>
      <c r="O355" s="221">
        <f t="shared" si="207"/>
        <v>0</v>
      </c>
      <c r="P355" s="221">
        <f t="shared" si="207"/>
        <v>30883283</v>
      </c>
      <c r="Q355" s="221">
        <f t="shared" si="207"/>
        <v>1157521</v>
      </c>
      <c r="R355" s="221">
        <f t="shared" si="207"/>
        <v>2235060</v>
      </c>
      <c r="S355" s="221">
        <f t="shared" si="207"/>
        <v>29805744</v>
      </c>
      <c r="T355" s="221">
        <f t="shared" si="207"/>
        <v>41449977</v>
      </c>
      <c r="U355" s="221">
        <f>U356</f>
        <v>52960173</v>
      </c>
    </row>
    <row r="356" spans="1:24">
      <c r="A356" s="218"/>
      <c r="B356" s="218"/>
      <c r="C356" s="218"/>
      <c r="D356" s="218" t="s">
        <v>215</v>
      </c>
      <c r="E356" s="219"/>
      <c r="F356" s="220" t="s">
        <v>236</v>
      </c>
      <c r="G356" s="221">
        <f>G357</f>
        <v>13207790.041830402</v>
      </c>
      <c r="H356" s="221">
        <f t="shared" ref="H356:U356" si="208">H357</f>
        <v>0</v>
      </c>
      <c r="I356" s="221">
        <f t="shared" si="208"/>
        <v>0</v>
      </c>
      <c r="J356" s="221">
        <f t="shared" si="208"/>
        <v>13207790</v>
      </c>
      <c r="K356" s="221">
        <f t="shared" si="208"/>
        <v>11527835</v>
      </c>
      <c r="L356" s="221">
        <f t="shared" si="208"/>
        <v>0</v>
      </c>
      <c r="M356" s="221">
        <f t="shared" si="208"/>
        <v>24735625</v>
      </c>
      <c r="N356" s="221">
        <f t="shared" si="208"/>
        <v>0</v>
      </c>
      <c r="O356" s="221">
        <f t="shared" si="208"/>
        <v>0</v>
      </c>
      <c r="P356" s="221">
        <f t="shared" si="208"/>
        <v>24735625</v>
      </c>
      <c r="Q356" s="221">
        <f t="shared" si="208"/>
        <v>1157521</v>
      </c>
      <c r="R356" s="221">
        <f t="shared" si="208"/>
        <v>1264557</v>
      </c>
      <c r="S356" s="221">
        <f t="shared" si="208"/>
        <v>24628589</v>
      </c>
      <c r="T356" s="221">
        <f t="shared" si="208"/>
        <v>25512471</v>
      </c>
      <c r="U356" s="221">
        <f t="shared" si="208"/>
        <v>52960173</v>
      </c>
    </row>
    <row r="357" spans="1:24" s="225" customFormat="1">
      <c r="A357" s="222"/>
      <c r="B357" s="222"/>
      <c r="C357" s="222"/>
      <c r="D357" s="222"/>
      <c r="E357" s="219" t="s">
        <v>113</v>
      </c>
      <c r="F357" s="220" t="s">
        <v>8</v>
      </c>
      <c r="G357" s="224">
        <f>SUM(G358:G387)</f>
        <v>13207790.041830402</v>
      </c>
      <c r="H357" s="224">
        <f t="shared" ref="H357:S357" si="209">SUM(H358:H387)</f>
        <v>0</v>
      </c>
      <c r="I357" s="224">
        <f t="shared" si="209"/>
        <v>0</v>
      </c>
      <c r="J357" s="224">
        <f t="shared" si="209"/>
        <v>13207790</v>
      </c>
      <c r="K357" s="224">
        <f t="shared" si="209"/>
        <v>11527835</v>
      </c>
      <c r="L357" s="224">
        <f t="shared" si="209"/>
        <v>0</v>
      </c>
      <c r="M357" s="224">
        <f t="shared" si="209"/>
        <v>24735625</v>
      </c>
      <c r="N357" s="224">
        <f t="shared" si="209"/>
        <v>0</v>
      </c>
      <c r="O357" s="224">
        <f t="shared" si="209"/>
        <v>0</v>
      </c>
      <c r="P357" s="224">
        <f t="shared" si="209"/>
        <v>24735625</v>
      </c>
      <c r="Q357" s="224">
        <f t="shared" si="209"/>
        <v>1157521</v>
      </c>
      <c r="R357" s="224">
        <f t="shared" si="209"/>
        <v>1264557</v>
      </c>
      <c r="S357" s="224">
        <f t="shared" si="209"/>
        <v>24628589</v>
      </c>
      <c r="T357" s="224">
        <f>SUM(T358:T387)</f>
        <v>25512471</v>
      </c>
      <c r="U357" s="224">
        <f>SUM(U358:U387)</f>
        <v>52960173</v>
      </c>
      <c r="V357" s="242"/>
      <c r="W357" s="242"/>
      <c r="X357" s="242"/>
    </row>
    <row r="358" spans="1:24" s="225" customFormat="1" ht="25.5">
      <c r="A358" s="222"/>
      <c r="B358" s="222"/>
      <c r="C358" s="222"/>
      <c r="D358" s="222"/>
      <c r="E358" s="219"/>
      <c r="F358" s="220" t="s">
        <v>894</v>
      </c>
      <c r="G358" s="224">
        <v>2000000</v>
      </c>
      <c r="H358" s="224"/>
      <c r="I358" s="224"/>
      <c r="J358" s="109">
        <f t="shared" si="167"/>
        <v>2000000</v>
      </c>
      <c r="K358" s="224">
        <v>5000000</v>
      </c>
      <c r="L358" s="224"/>
      <c r="M358" s="109">
        <f t="shared" ref="M358:M386" si="210">J358+K358-L358</f>
        <v>7000000</v>
      </c>
      <c r="N358" s="224"/>
      <c r="O358" s="224"/>
      <c r="P358" s="109">
        <f t="shared" ref="P358:P386" si="211">M358+N358-O358</f>
        <v>7000000</v>
      </c>
      <c r="Q358" s="224"/>
      <c r="R358" s="224"/>
      <c r="S358" s="109">
        <f t="shared" ref="S358:S386" si="212">P358+Q358-R358</f>
        <v>7000000</v>
      </c>
      <c r="T358" s="224">
        <v>6202108</v>
      </c>
      <c r="U358" s="224">
        <v>1770159</v>
      </c>
      <c r="V358" s="242"/>
      <c r="W358" s="242"/>
      <c r="X358" s="242"/>
    </row>
    <row r="359" spans="1:24" s="225" customFormat="1" ht="38.25">
      <c r="A359" s="222"/>
      <c r="B359" s="222"/>
      <c r="C359" s="222"/>
      <c r="D359" s="222"/>
      <c r="E359" s="219"/>
      <c r="F359" s="1" t="s">
        <v>895</v>
      </c>
      <c r="G359" s="224">
        <v>1720123</v>
      </c>
      <c r="H359" s="224"/>
      <c r="I359" s="224"/>
      <c r="J359" s="109">
        <f t="shared" ref="J359:J427" si="213">G359+H359-I359</f>
        <v>1720123</v>
      </c>
      <c r="K359" s="224">
        <v>2198844</v>
      </c>
      <c r="L359" s="224"/>
      <c r="M359" s="109">
        <f t="shared" si="210"/>
        <v>3918967</v>
      </c>
      <c r="N359" s="224"/>
      <c r="O359" s="224"/>
      <c r="P359" s="109">
        <f t="shared" si="211"/>
        <v>3918967</v>
      </c>
      <c r="Q359" s="224"/>
      <c r="R359" s="224"/>
      <c r="S359" s="109">
        <f t="shared" si="212"/>
        <v>3918967</v>
      </c>
      <c r="T359" s="224"/>
      <c r="U359" s="224"/>
      <c r="V359" s="242"/>
      <c r="W359" s="242"/>
      <c r="X359" s="242"/>
    </row>
    <row r="360" spans="1:24" s="225" customFormat="1" ht="38.25">
      <c r="A360" s="222"/>
      <c r="B360" s="222"/>
      <c r="C360" s="222"/>
      <c r="D360" s="222"/>
      <c r="E360" s="219"/>
      <c r="F360" s="220" t="s">
        <v>896</v>
      </c>
      <c r="G360" s="224"/>
      <c r="H360" s="224"/>
      <c r="I360" s="224"/>
      <c r="J360" s="109">
        <f t="shared" si="213"/>
        <v>0</v>
      </c>
      <c r="K360" s="224"/>
      <c r="L360" s="224"/>
      <c r="M360" s="109">
        <f t="shared" si="210"/>
        <v>0</v>
      </c>
      <c r="N360" s="224"/>
      <c r="O360" s="224"/>
      <c r="P360" s="109">
        <f t="shared" si="211"/>
        <v>0</v>
      </c>
      <c r="Q360" s="224"/>
      <c r="R360" s="224"/>
      <c r="S360" s="109">
        <f t="shared" si="212"/>
        <v>0</v>
      </c>
      <c r="T360" s="224">
        <v>5315609</v>
      </c>
      <c r="U360" s="224"/>
      <c r="V360" s="242"/>
      <c r="W360" s="242"/>
      <c r="X360" s="242"/>
    </row>
    <row r="361" spans="1:24" s="225" customFormat="1" ht="38.25">
      <c r="A361" s="222"/>
      <c r="B361" s="222"/>
      <c r="C361" s="222"/>
      <c r="D361" s="222"/>
      <c r="E361" s="219"/>
      <c r="F361" s="220" t="s">
        <v>897</v>
      </c>
      <c r="G361" s="224">
        <v>2456047.0378304003</v>
      </c>
      <c r="H361" s="224"/>
      <c r="I361" s="224"/>
      <c r="J361" s="109">
        <v>2456047</v>
      </c>
      <c r="K361" s="224">
        <v>1500000</v>
      </c>
      <c r="L361" s="224"/>
      <c r="M361" s="109">
        <f t="shared" si="210"/>
        <v>3956047</v>
      </c>
      <c r="N361" s="224"/>
      <c r="O361" s="224"/>
      <c r="P361" s="109">
        <f t="shared" si="211"/>
        <v>3956047</v>
      </c>
      <c r="Q361" s="224"/>
      <c r="R361" s="224"/>
      <c r="S361" s="109">
        <f t="shared" si="212"/>
        <v>3956047</v>
      </c>
      <c r="T361" s="224"/>
      <c r="U361" s="224"/>
      <c r="V361" s="242"/>
      <c r="W361" s="242"/>
      <c r="X361" s="242"/>
    </row>
    <row r="362" spans="1:24" s="225" customFormat="1" ht="25.5">
      <c r="A362" s="222"/>
      <c r="B362" s="222"/>
      <c r="C362" s="222"/>
      <c r="D362" s="222"/>
      <c r="E362" s="219"/>
      <c r="F362" s="220" t="s">
        <v>898</v>
      </c>
      <c r="G362" s="224">
        <v>1182205</v>
      </c>
      <c r="H362" s="224"/>
      <c r="I362" s="224"/>
      <c r="J362" s="109">
        <f t="shared" si="213"/>
        <v>1182205</v>
      </c>
      <c r="K362" s="224"/>
      <c r="L362" s="224"/>
      <c r="M362" s="109">
        <f t="shared" si="210"/>
        <v>1182205</v>
      </c>
      <c r="N362" s="224"/>
      <c r="O362" s="224"/>
      <c r="P362" s="109">
        <f t="shared" si="211"/>
        <v>1182205</v>
      </c>
      <c r="Q362" s="224"/>
      <c r="R362" s="224">
        <v>400000</v>
      </c>
      <c r="S362" s="109">
        <f t="shared" si="212"/>
        <v>782205</v>
      </c>
      <c r="T362" s="224">
        <v>500000</v>
      </c>
      <c r="U362" s="224">
        <v>563721</v>
      </c>
      <c r="V362" s="242"/>
      <c r="W362" s="242"/>
      <c r="X362" s="242"/>
    </row>
    <row r="363" spans="1:24" s="225" customFormat="1" ht="25.5">
      <c r="A363" s="222"/>
      <c r="B363" s="222"/>
      <c r="C363" s="222"/>
      <c r="D363" s="222"/>
      <c r="E363" s="219"/>
      <c r="F363" s="220" t="s">
        <v>899</v>
      </c>
      <c r="G363" s="224">
        <v>1463639</v>
      </c>
      <c r="H363" s="224"/>
      <c r="I363" s="224"/>
      <c r="J363" s="109">
        <f t="shared" si="213"/>
        <v>1463639</v>
      </c>
      <c r="K363" s="224">
        <v>1957970</v>
      </c>
      <c r="L363" s="224"/>
      <c r="M363" s="109">
        <f t="shared" si="210"/>
        <v>3421609</v>
      </c>
      <c r="N363" s="224"/>
      <c r="O363" s="224"/>
      <c r="P363" s="109">
        <f t="shared" si="211"/>
        <v>3421609</v>
      </c>
      <c r="Q363" s="224"/>
      <c r="R363" s="224"/>
      <c r="S363" s="109">
        <f t="shared" si="212"/>
        <v>3421609</v>
      </c>
      <c r="T363" s="224">
        <v>2277155</v>
      </c>
      <c r="U363" s="224"/>
      <c r="V363" s="242"/>
      <c r="W363" s="242"/>
      <c r="X363" s="242"/>
    </row>
    <row r="364" spans="1:24" s="225" customFormat="1" ht="25.5">
      <c r="A364" s="222"/>
      <c r="B364" s="222"/>
      <c r="C364" s="222"/>
      <c r="D364" s="222"/>
      <c r="E364" s="219"/>
      <c r="F364" s="220" t="s">
        <v>900</v>
      </c>
      <c r="G364" s="224">
        <v>782551</v>
      </c>
      <c r="H364" s="224"/>
      <c r="I364" s="224"/>
      <c r="J364" s="109">
        <f t="shared" si="213"/>
        <v>782551</v>
      </c>
      <c r="K364" s="224"/>
      <c r="L364" s="224"/>
      <c r="M364" s="109">
        <f t="shared" si="210"/>
        <v>782551</v>
      </c>
      <c r="N364" s="224"/>
      <c r="O364" s="224"/>
      <c r="P364" s="109">
        <f t="shared" si="211"/>
        <v>782551</v>
      </c>
      <c r="Q364" s="224"/>
      <c r="R364" s="224">
        <v>387248</v>
      </c>
      <c r="S364" s="109">
        <f t="shared" si="212"/>
        <v>395303</v>
      </c>
      <c r="T364" s="224"/>
      <c r="U364" s="224"/>
      <c r="V364" s="242"/>
      <c r="W364" s="242"/>
      <c r="X364" s="242"/>
    </row>
    <row r="365" spans="1:24" s="225" customFormat="1" ht="25.5">
      <c r="A365" s="222"/>
      <c r="B365" s="222"/>
      <c r="C365" s="222"/>
      <c r="D365" s="222"/>
      <c r="E365" s="219"/>
      <c r="F365" s="220" t="s">
        <v>901</v>
      </c>
      <c r="G365" s="224">
        <v>1009298</v>
      </c>
      <c r="H365" s="224"/>
      <c r="I365" s="224"/>
      <c r="J365" s="109">
        <f t="shared" si="213"/>
        <v>1009298</v>
      </c>
      <c r="K365" s="224">
        <v>200000</v>
      </c>
      <c r="L365" s="224"/>
      <c r="M365" s="109">
        <f t="shared" si="210"/>
        <v>1209298</v>
      </c>
      <c r="N365" s="224"/>
      <c r="O365" s="224"/>
      <c r="P365" s="109">
        <f t="shared" si="211"/>
        <v>1209298</v>
      </c>
      <c r="Q365" s="224"/>
      <c r="R365" s="224">
        <v>250000</v>
      </c>
      <c r="S365" s="109">
        <f t="shared" si="212"/>
        <v>959298</v>
      </c>
      <c r="T365" s="224"/>
      <c r="U365" s="224"/>
      <c r="V365" s="242"/>
      <c r="W365" s="242"/>
      <c r="X365" s="242"/>
    </row>
    <row r="366" spans="1:24" s="225" customFormat="1" ht="25.5">
      <c r="A366" s="222"/>
      <c r="B366" s="222"/>
      <c r="C366" s="222"/>
      <c r="D366" s="222"/>
      <c r="E366" s="219"/>
      <c r="F366" s="220" t="s">
        <v>902</v>
      </c>
      <c r="G366" s="224">
        <v>1000000</v>
      </c>
      <c r="H366" s="224"/>
      <c r="I366" s="224"/>
      <c r="J366" s="109">
        <f t="shared" si="213"/>
        <v>1000000</v>
      </c>
      <c r="K366" s="224"/>
      <c r="L366" s="224"/>
      <c r="M366" s="109">
        <f t="shared" si="210"/>
        <v>1000000</v>
      </c>
      <c r="N366" s="224"/>
      <c r="O366" s="224"/>
      <c r="P366" s="109">
        <f t="shared" si="211"/>
        <v>1000000</v>
      </c>
      <c r="Q366" s="224"/>
      <c r="R366" s="224"/>
      <c r="S366" s="109">
        <f t="shared" si="212"/>
        <v>1000000</v>
      </c>
      <c r="T366" s="224">
        <v>787306</v>
      </c>
      <c r="U366" s="224"/>
      <c r="V366" s="242"/>
      <c r="W366" s="242"/>
      <c r="X366" s="242"/>
    </row>
    <row r="367" spans="1:24" s="225" customFormat="1" ht="25.5">
      <c r="A367" s="222"/>
      <c r="B367" s="222"/>
      <c r="C367" s="222"/>
      <c r="D367" s="222"/>
      <c r="E367" s="219"/>
      <c r="F367" s="220" t="s">
        <v>903</v>
      </c>
      <c r="G367" s="224">
        <v>266582</v>
      </c>
      <c r="H367" s="224"/>
      <c r="I367" s="224"/>
      <c r="J367" s="109">
        <f t="shared" si="213"/>
        <v>266582</v>
      </c>
      <c r="K367" s="224"/>
      <c r="L367" s="224"/>
      <c r="M367" s="109">
        <f t="shared" si="210"/>
        <v>266582</v>
      </c>
      <c r="N367" s="224"/>
      <c r="O367" s="224"/>
      <c r="P367" s="109">
        <f t="shared" si="211"/>
        <v>266582</v>
      </c>
      <c r="Q367" s="224"/>
      <c r="R367" s="224"/>
      <c r="S367" s="109">
        <f t="shared" si="212"/>
        <v>266582</v>
      </c>
      <c r="T367" s="224"/>
      <c r="U367" s="224"/>
      <c r="V367" s="242"/>
      <c r="W367" s="242"/>
      <c r="X367" s="242"/>
    </row>
    <row r="368" spans="1:24" s="225" customFormat="1">
      <c r="A368" s="222"/>
      <c r="B368" s="222"/>
      <c r="C368" s="222"/>
      <c r="D368" s="222"/>
      <c r="E368" s="219"/>
      <c r="F368" s="220" t="s">
        <v>904</v>
      </c>
      <c r="G368" s="224">
        <v>1311862.0039999997</v>
      </c>
      <c r="H368" s="224"/>
      <c r="I368" s="224"/>
      <c r="J368" s="109">
        <v>1311862</v>
      </c>
      <c r="K368" s="224"/>
      <c r="L368" s="224"/>
      <c r="M368" s="109">
        <f t="shared" si="210"/>
        <v>1311862</v>
      </c>
      <c r="N368" s="224"/>
      <c r="O368" s="224"/>
      <c r="P368" s="109">
        <f t="shared" si="211"/>
        <v>1311862</v>
      </c>
      <c r="Q368" s="224"/>
      <c r="R368" s="224">
        <v>227309</v>
      </c>
      <c r="S368" s="109">
        <f t="shared" si="212"/>
        <v>1084553</v>
      </c>
      <c r="T368" s="224"/>
      <c r="U368" s="224"/>
      <c r="V368" s="242"/>
      <c r="W368" s="242"/>
      <c r="X368" s="242"/>
    </row>
    <row r="369" spans="1:24" s="225" customFormat="1" ht="51">
      <c r="A369" s="222"/>
      <c r="B369" s="222"/>
      <c r="C369" s="222"/>
      <c r="D369" s="222"/>
      <c r="E369" s="219"/>
      <c r="F369" s="220" t="s">
        <v>905</v>
      </c>
      <c r="G369" s="224"/>
      <c r="H369" s="224"/>
      <c r="I369" s="224"/>
      <c r="J369" s="109"/>
      <c r="K369" s="224">
        <v>463721</v>
      </c>
      <c r="L369" s="224"/>
      <c r="M369" s="109">
        <f t="shared" si="210"/>
        <v>463721</v>
      </c>
      <c r="N369" s="224"/>
      <c r="O369" s="224"/>
      <c r="P369" s="109">
        <f t="shared" si="211"/>
        <v>463721</v>
      </c>
      <c r="Q369" s="224"/>
      <c r="R369" s="224"/>
      <c r="S369" s="109">
        <f t="shared" si="212"/>
        <v>463721</v>
      </c>
      <c r="T369" s="224"/>
      <c r="U369" s="224"/>
      <c r="V369" s="242"/>
      <c r="W369" s="242"/>
      <c r="X369" s="242"/>
    </row>
    <row r="370" spans="1:24" s="225" customFormat="1" ht="25.5">
      <c r="A370" s="222"/>
      <c r="B370" s="222"/>
      <c r="C370" s="222"/>
      <c r="D370" s="222"/>
      <c r="E370" s="219"/>
      <c r="F370" s="220" t="s">
        <v>906</v>
      </c>
      <c r="G370" s="224"/>
      <c r="H370" s="224"/>
      <c r="I370" s="224"/>
      <c r="J370" s="109">
        <f t="shared" si="213"/>
        <v>0</v>
      </c>
      <c r="K370" s="224"/>
      <c r="L370" s="224"/>
      <c r="M370" s="109">
        <f t="shared" si="210"/>
        <v>0</v>
      </c>
      <c r="N370" s="224"/>
      <c r="O370" s="224"/>
      <c r="P370" s="109">
        <f t="shared" si="211"/>
        <v>0</v>
      </c>
      <c r="Q370" s="224"/>
      <c r="R370" s="224"/>
      <c r="S370" s="109">
        <f t="shared" si="212"/>
        <v>0</v>
      </c>
      <c r="T370" s="224">
        <v>500000</v>
      </c>
      <c r="U370" s="224">
        <v>4085395</v>
      </c>
      <c r="V370" s="242"/>
      <c r="W370" s="242"/>
      <c r="X370" s="242"/>
    </row>
    <row r="371" spans="1:24" s="225" customFormat="1">
      <c r="A371" s="222"/>
      <c r="B371" s="222"/>
      <c r="C371" s="222"/>
      <c r="D371" s="222"/>
      <c r="E371" s="219"/>
      <c r="F371" s="220" t="s">
        <v>907</v>
      </c>
      <c r="G371" s="224"/>
      <c r="H371" s="224"/>
      <c r="I371" s="224"/>
      <c r="J371" s="109">
        <f t="shared" si="213"/>
        <v>0</v>
      </c>
      <c r="K371" s="224"/>
      <c r="L371" s="224"/>
      <c r="M371" s="109">
        <f t="shared" si="210"/>
        <v>0</v>
      </c>
      <c r="N371" s="224"/>
      <c r="O371" s="224"/>
      <c r="P371" s="109">
        <f t="shared" si="211"/>
        <v>0</v>
      </c>
      <c r="Q371" s="224"/>
      <c r="R371" s="224"/>
      <c r="S371" s="109">
        <f t="shared" si="212"/>
        <v>0</v>
      </c>
      <c r="T371" s="224">
        <v>500000</v>
      </c>
      <c r="U371" s="224">
        <v>3000000</v>
      </c>
      <c r="V371" s="242"/>
      <c r="W371" s="242"/>
      <c r="X371" s="242"/>
    </row>
    <row r="372" spans="1:24" s="225" customFormat="1" ht="25.5">
      <c r="A372" s="222"/>
      <c r="B372" s="222"/>
      <c r="C372" s="222"/>
      <c r="D372" s="222"/>
      <c r="E372" s="219"/>
      <c r="F372" s="220" t="s">
        <v>908</v>
      </c>
      <c r="G372" s="224"/>
      <c r="H372" s="224"/>
      <c r="I372" s="224"/>
      <c r="J372" s="109">
        <f t="shared" si="213"/>
        <v>0</v>
      </c>
      <c r="K372" s="224">
        <v>200000</v>
      </c>
      <c r="L372" s="224"/>
      <c r="M372" s="109">
        <f t="shared" si="210"/>
        <v>200000</v>
      </c>
      <c r="N372" s="224"/>
      <c r="O372" s="224"/>
      <c r="P372" s="109">
        <f t="shared" si="211"/>
        <v>200000</v>
      </c>
      <c r="Q372" s="224">
        <v>1000000</v>
      </c>
      <c r="R372" s="224"/>
      <c r="S372" s="109">
        <f t="shared" si="212"/>
        <v>1200000</v>
      </c>
      <c r="T372" s="224">
        <v>1000000</v>
      </c>
      <c r="U372" s="224">
        <v>3506932</v>
      </c>
      <c r="V372" s="242"/>
      <c r="W372" s="242"/>
      <c r="X372" s="242"/>
    </row>
    <row r="373" spans="1:24" s="225" customFormat="1">
      <c r="A373" s="222"/>
      <c r="B373" s="222"/>
      <c r="C373" s="222"/>
      <c r="D373" s="222"/>
      <c r="E373" s="219"/>
      <c r="F373" s="220" t="s">
        <v>909</v>
      </c>
      <c r="G373" s="224"/>
      <c r="H373" s="224"/>
      <c r="I373" s="224"/>
      <c r="J373" s="109"/>
      <c r="K373" s="224"/>
      <c r="L373" s="224"/>
      <c r="M373" s="109"/>
      <c r="N373" s="224"/>
      <c r="O373" s="224"/>
      <c r="P373" s="109"/>
      <c r="Q373" s="224">
        <v>75000</v>
      </c>
      <c r="R373" s="224"/>
      <c r="S373" s="109">
        <f t="shared" si="212"/>
        <v>75000</v>
      </c>
      <c r="T373" s="224"/>
      <c r="U373" s="224"/>
      <c r="V373" s="242"/>
      <c r="W373" s="242"/>
      <c r="X373" s="242"/>
    </row>
    <row r="374" spans="1:24" s="225" customFormat="1">
      <c r="A374" s="222"/>
      <c r="B374" s="222"/>
      <c r="C374" s="222"/>
      <c r="D374" s="222"/>
      <c r="E374" s="219"/>
      <c r="F374" s="220" t="s">
        <v>910</v>
      </c>
      <c r="G374" s="224"/>
      <c r="H374" s="224"/>
      <c r="I374" s="224"/>
      <c r="J374" s="109"/>
      <c r="K374" s="224"/>
      <c r="L374" s="224"/>
      <c r="M374" s="109"/>
      <c r="N374" s="224"/>
      <c r="O374" s="224"/>
      <c r="P374" s="109"/>
      <c r="Q374" s="224">
        <v>75000</v>
      </c>
      <c r="R374" s="224"/>
      <c r="S374" s="109">
        <f t="shared" si="212"/>
        <v>75000</v>
      </c>
      <c r="T374" s="224"/>
      <c r="U374" s="224"/>
      <c r="V374" s="242"/>
      <c r="W374" s="242"/>
      <c r="X374" s="242"/>
    </row>
    <row r="375" spans="1:24" s="225" customFormat="1" ht="15.75" customHeight="1">
      <c r="A375" s="222"/>
      <c r="B375" s="222"/>
      <c r="C375" s="222"/>
      <c r="D375" s="222"/>
      <c r="E375" s="219"/>
      <c r="F375" s="220" t="s">
        <v>911</v>
      </c>
      <c r="G375" s="224"/>
      <c r="H375" s="224"/>
      <c r="I375" s="224"/>
      <c r="J375" s="109">
        <f t="shared" si="213"/>
        <v>0</v>
      </c>
      <c r="K375" s="224"/>
      <c r="L375" s="224"/>
      <c r="M375" s="109">
        <f t="shared" si="210"/>
        <v>0</v>
      </c>
      <c r="N375" s="224"/>
      <c r="O375" s="224"/>
      <c r="P375" s="109">
        <f t="shared" si="211"/>
        <v>0</v>
      </c>
      <c r="Q375" s="224"/>
      <c r="R375" s="224"/>
      <c r="S375" s="109">
        <f t="shared" si="212"/>
        <v>0</v>
      </c>
      <c r="T375" s="224">
        <v>480478</v>
      </c>
      <c r="U375" s="224"/>
      <c r="V375" s="242"/>
      <c r="W375" s="242"/>
      <c r="X375" s="242"/>
    </row>
    <row r="376" spans="1:24" s="225" customFormat="1" ht="25.5">
      <c r="A376" s="222"/>
      <c r="B376" s="222"/>
      <c r="C376" s="222"/>
      <c r="D376" s="222"/>
      <c r="E376" s="219"/>
      <c r="F376" s="220" t="s">
        <v>912</v>
      </c>
      <c r="G376" s="211"/>
      <c r="H376" s="211"/>
      <c r="I376" s="211"/>
      <c r="J376" s="109">
        <f t="shared" si="213"/>
        <v>0</v>
      </c>
      <c r="K376" s="211"/>
      <c r="L376" s="211"/>
      <c r="M376" s="109">
        <f t="shared" si="210"/>
        <v>0</v>
      </c>
      <c r="N376" s="211"/>
      <c r="O376" s="211"/>
      <c r="P376" s="109">
        <f t="shared" si="211"/>
        <v>0</v>
      </c>
      <c r="Q376" s="211"/>
      <c r="R376" s="211"/>
      <c r="S376" s="109">
        <f t="shared" si="212"/>
        <v>0</v>
      </c>
      <c r="T376" s="224">
        <v>449815</v>
      </c>
      <c r="U376" s="224"/>
    </row>
    <row r="377" spans="1:24" s="225" customFormat="1">
      <c r="A377" s="222"/>
      <c r="B377" s="222"/>
      <c r="C377" s="222"/>
      <c r="D377" s="222"/>
      <c r="E377" s="219"/>
      <c r="F377" s="220" t="s">
        <v>913</v>
      </c>
      <c r="G377" s="211"/>
      <c r="H377" s="211"/>
      <c r="I377" s="211"/>
      <c r="J377" s="109">
        <f t="shared" si="213"/>
        <v>0</v>
      </c>
      <c r="K377" s="211"/>
      <c r="L377" s="211"/>
      <c r="M377" s="109">
        <f t="shared" si="210"/>
        <v>0</v>
      </c>
      <c r="N377" s="211"/>
      <c r="O377" s="211"/>
      <c r="P377" s="109">
        <f t="shared" si="211"/>
        <v>0</v>
      </c>
      <c r="Q377" s="211"/>
      <c r="R377" s="211"/>
      <c r="S377" s="109">
        <f t="shared" si="212"/>
        <v>0</v>
      </c>
      <c r="T377" s="224">
        <v>500000</v>
      </c>
      <c r="U377" s="224">
        <v>4033966</v>
      </c>
    </row>
    <row r="378" spans="1:24" s="225" customFormat="1">
      <c r="A378" s="222"/>
      <c r="B378" s="222"/>
      <c r="C378" s="222"/>
      <c r="D378" s="222"/>
      <c r="E378" s="219"/>
      <c r="F378" s="220" t="s">
        <v>914</v>
      </c>
      <c r="G378" s="211"/>
      <c r="H378" s="211"/>
      <c r="I378" s="211"/>
      <c r="J378" s="109">
        <f t="shared" si="213"/>
        <v>0</v>
      </c>
      <c r="K378" s="211"/>
      <c r="L378" s="211"/>
      <c r="M378" s="109">
        <f t="shared" si="210"/>
        <v>0</v>
      </c>
      <c r="N378" s="211"/>
      <c r="O378" s="211"/>
      <c r="P378" s="109">
        <f t="shared" si="211"/>
        <v>0</v>
      </c>
      <c r="Q378" s="211"/>
      <c r="R378" s="211"/>
      <c r="S378" s="109">
        <f t="shared" si="212"/>
        <v>0</v>
      </c>
      <c r="T378" s="224">
        <v>1000000</v>
      </c>
      <c r="U378" s="224">
        <v>4000000</v>
      </c>
    </row>
    <row r="379" spans="1:24" s="225" customFormat="1" ht="25.5">
      <c r="A379" s="222"/>
      <c r="B379" s="222"/>
      <c r="C379" s="222"/>
      <c r="D379" s="222"/>
      <c r="E379" s="219"/>
      <c r="F379" s="220" t="s">
        <v>915</v>
      </c>
      <c r="G379" s="211"/>
      <c r="H379" s="211"/>
      <c r="I379" s="211"/>
      <c r="J379" s="109">
        <f t="shared" si="213"/>
        <v>0</v>
      </c>
      <c r="K379" s="211"/>
      <c r="L379" s="211"/>
      <c r="M379" s="109">
        <f t="shared" si="210"/>
        <v>0</v>
      </c>
      <c r="N379" s="211"/>
      <c r="O379" s="211"/>
      <c r="P379" s="109">
        <f t="shared" si="211"/>
        <v>0</v>
      </c>
      <c r="Q379" s="211"/>
      <c r="R379" s="211"/>
      <c r="S379" s="109">
        <f t="shared" si="212"/>
        <v>0</v>
      </c>
      <c r="T379" s="224">
        <v>1000000</v>
      </c>
      <c r="U379" s="224">
        <v>4000000</v>
      </c>
    </row>
    <row r="380" spans="1:24" s="225" customFormat="1" ht="25.5">
      <c r="A380" s="222"/>
      <c r="B380" s="222"/>
      <c r="C380" s="222"/>
      <c r="D380" s="222"/>
      <c r="E380" s="219"/>
      <c r="F380" s="220" t="s">
        <v>916</v>
      </c>
      <c r="G380" s="211"/>
      <c r="H380" s="211"/>
      <c r="I380" s="211"/>
      <c r="J380" s="109">
        <f t="shared" si="213"/>
        <v>0</v>
      </c>
      <c r="K380" s="211"/>
      <c r="L380" s="211"/>
      <c r="M380" s="109">
        <f t="shared" si="210"/>
        <v>0</v>
      </c>
      <c r="N380" s="211"/>
      <c r="O380" s="211"/>
      <c r="P380" s="109">
        <f t="shared" si="211"/>
        <v>0</v>
      </c>
      <c r="Q380" s="211"/>
      <c r="R380" s="211"/>
      <c r="S380" s="109">
        <f t="shared" si="212"/>
        <v>0</v>
      </c>
      <c r="T380" s="224"/>
      <c r="U380" s="224">
        <v>1000000</v>
      </c>
    </row>
    <row r="381" spans="1:24" s="225" customFormat="1" ht="25.5">
      <c r="A381" s="222"/>
      <c r="B381" s="222"/>
      <c r="C381" s="222"/>
      <c r="D381" s="222"/>
      <c r="E381" s="219"/>
      <c r="F381" s="220" t="s">
        <v>917</v>
      </c>
      <c r="G381" s="211"/>
      <c r="H381" s="211"/>
      <c r="I381" s="211"/>
      <c r="J381" s="109">
        <f t="shared" si="213"/>
        <v>0</v>
      </c>
      <c r="K381" s="211"/>
      <c r="L381" s="211"/>
      <c r="M381" s="109">
        <f t="shared" si="210"/>
        <v>0</v>
      </c>
      <c r="N381" s="211"/>
      <c r="O381" s="211"/>
      <c r="P381" s="109">
        <f t="shared" si="211"/>
        <v>0</v>
      </c>
      <c r="Q381" s="211"/>
      <c r="R381" s="211"/>
      <c r="S381" s="109">
        <f t="shared" si="212"/>
        <v>0</v>
      </c>
      <c r="T381" s="224"/>
      <c r="U381" s="224">
        <v>1000000</v>
      </c>
    </row>
    <row r="382" spans="1:24" s="225" customFormat="1" ht="25.5">
      <c r="A382" s="222"/>
      <c r="B382" s="222"/>
      <c r="C382" s="222"/>
      <c r="D382" s="222"/>
      <c r="E382" s="219"/>
      <c r="F382" s="220" t="s">
        <v>918</v>
      </c>
      <c r="G382" s="211"/>
      <c r="H382" s="211"/>
      <c r="I382" s="211"/>
      <c r="J382" s="109">
        <f t="shared" si="213"/>
        <v>0</v>
      </c>
      <c r="K382" s="211"/>
      <c r="L382" s="211"/>
      <c r="M382" s="109">
        <f t="shared" si="210"/>
        <v>0</v>
      </c>
      <c r="N382" s="211"/>
      <c r="O382" s="211"/>
      <c r="P382" s="109">
        <f t="shared" si="211"/>
        <v>0</v>
      </c>
      <c r="Q382" s="211"/>
      <c r="R382" s="211"/>
      <c r="S382" s="109">
        <f t="shared" si="212"/>
        <v>0</v>
      </c>
      <c r="T382" s="224">
        <v>1000000</v>
      </c>
      <c r="U382" s="224">
        <v>10000000</v>
      </c>
    </row>
    <row r="383" spans="1:24" s="225" customFormat="1">
      <c r="A383" s="222"/>
      <c r="B383" s="222"/>
      <c r="C383" s="222"/>
      <c r="D383" s="222"/>
      <c r="E383" s="219"/>
      <c r="F383" s="220" t="s">
        <v>919</v>
      </c>
      <c r="G383" s="211"/>
      <c r="H383" s="211"/>
      <c r="I383" s="211"/>
      <c r="J383" s="109">
        <f t="shared" si="213"/>
        <v>0</v>
      </c>
      <c r="K383" s="211"/>
      <c r="L383" s="211"/>
      <c r="M383" s="109">
        <f t="shared" si="210"/>
        <v>0</v>
      </c>
      <c r="N383" s="211"/>
      <c r="O383" s="211"/>
      <c r="P383" s="109">
        <f t="shared" si="211"/>
        <v>0</v>
      </c>
      <c r="Q383" s="211"/>
      <c r="R383" s="211"/>
      <c r="S383" s="109">
        <f t="shared" si="212"/>
        <v>0</v>
      </c>
      <c r="T383" s="224">
        <v>1000000</v>
      </c>
      <c r="U383" s="224">
        <v>1000000</v>
      </c>
    </row>
    <row r="384" spans="1:24" s="225" customFormat="1" ht="25.5">
      <c r="A384" s="222"/>
      <c r="B384" s="222"/>
      <c r="C384" s="222"/>
      <c r="D384" s="222"/>
      <c r="E384" s="219"/>
      <c r="F384" s="220" t="s">
        <v>920</v>
      </c>
      <c r="G384" s="211"/>
      <c r="H384" s="211"/>
      <c r="I384" s="211"/>
      <c r="J384" s="109">
        <f t="shared" si="213"/>
        <v>0</v>
      </c>
      <c r="K384" s="211"/>
      <c r="L384" s="211"/>
      <c r="M384" s="109">
        <f t="shared" si="210"/>
        <v>0</v>
      </c>
      <c r="N384" s="211"/>
      <c r="O384" s="211"/>
      <c r="P384" s="109">
        <f t="shared" si="211"/>
        <v>0</v>
      </c>
      <c r="Q384" s="211"/>
      <c r="R384" s="211"/>
      <c r="S384" s="109">
        <f t="shared" si="212"/>
        <v>0</v>
      </c>
      <c r="T384" s="224">
        <v>1000000</v>
      </c>
      <c r="U384" s="224">
        <v>5000000</v>
      </c>
    </row>
    <row r="385" spans="1:24" s="225" customFormat="1" ht="17.25" customHeight="1">
      <c r="A385" s="222"/>
      <c r="B385" s="222"/>
      <c r="C385" s="222"/>
      <c r="D385" s="222"/>
      <c r="E385" s="219"/>
      <c r="F385" s="220" t="s">
        <v>921</v>
      </c>
      <c r="G385" s="211"/>
      <c r="H385" s="211"/>
      <c r="I385" s="211"/>
      <c r="J385" s="109">
        <f t="shared" si="213"/>
        <v>0</v>
      </c>
      <c r="K385" s="211"/>
      <c r="L385" s="211"/>
      <c r="M385" s="109">
        <f t="shared" si="210"/>
        <v>0</v>
      </c>
      <c r="N385" s="211"/>
      <c r="O385" s="211"/>
      <c r="P385" s="109">
        <f t="shared" si="211"/>
        <v>0</v>
      </c>
      <c r="Q385" s="211"/>
      <c r="R385" s="211"/>
      <c r="S385" s="109">
        <f t="shared" si="212"/>
        <v>0</v>
      </c>
      <c r="T385" s="224">
        <v>1000000</v>
      </c>
      <c r="U385" s="224">
        <v>5000000</v>
      </c>
    </row>
    <row r="386" spans="1:24" s="225" customFormat="1" ht="25.5">
      <c r="A386" s="222"/>
      <c r="B386" s="222"/>
      <c r="C386" s="222"/>
      <c r="D386" s="222"/>
      <c r="E386" s="223"/>
      <c r="F386" s="220" t="s">
        <v>922</v>
      </c>
      <c r="G386" s="211"/>
      <c r="H386" s="211"/>
      <c r="I386" s="211"/>
      <c r="J386" s="109">
        <f t="shared" si="213"/>
        <v>0</v>
      </c>
      <c r="K386" s="211"/>
      <c r="L386" s="211"/>
      <c r="M386" s="109">
        <f t="shared" si="210"/>
        <v>0</v>
      </c>
      <c r="N386" s="211"/>
      <c r="O386" s="211"/>
      <c r="P386" s="109">
        <f t="shared" si="211"/>
        <v>0</v>
      </c>
      <c r="Q386" s="211"/>
      <c r="R386" s="211"/>
      <c r="S386" s="109">
        <f t="shared" si="212"/>
        <v>0</v>
      </c>
      <c r="T386" s="224">
        <v>1000000</v>
      </c>
      <c r="U386" s="224">
        <v>5000000</v>
      </c>
    </row>
    <row r="387" spans="1:24" s="231" customFormat="1">
      <c r="A387" s="226"/>
      <c r="B387" s="226"/>
      <c r="C387" s="226"/>
      <c r="D387" s="226"/>
      <c r="E387" s="227"/>
      <c r="F387" s="277" t="s">
        <v>890</v>
      </c>
      <c r="G387" s="230">
        <f>SUM(G388:G392)</f>
        <v>15483</v>
      </c>
      <c r="H387" s="230">
        <f t="shared" ref="H387:U387" si="214">SUM(H388:H392)</f>
        <v>0</v>
      </c>
      <c r="I387" s="230">
        <f t="shared" si="214"/>
        <v>0</v>
      </c>
      <c r="J387" s="230">
        <f t="shared" si="214"/>
        <v>15483</v>
      </c>
      <c r="K387" s="230">
        <f t="shared" si="214"/>
        <v>7300</v>
      </c>
      <c r="L387" s="230">
        <f t="shared" si="214"/>
        <v>0</v>
      </c>
      <c r="M387" s="230">
        <f t="shared" si="214"/>
        <v>22783</v>
      </c>
      <c r="N387" s="230">
        <f t="shared" si="214"/>
        <v>0</v>
      </c>
      <c r="O387" s="230">
        <f t="shared" si="214"/>
        <v>0</v>
      </c>
      <c r="P387" s="230">
        <f t="shared" si="214"/>
        <v>22783</v>
      </c>
      <c r="Q387" s="230">
        <f t="shared" si="214"/>
        <v>7521</v>
      </c>
      <c r="R387" s="230">
        <f t="shared" si="214"/>
        <v>0</v>
      </c>
      <c r="S387" s="230">
        <f t="shared" si="214"/>
        <v>30304</v>
      </c>
      <c r="T387" s="230">
        <f t="shared" si="214"/>
        <v>0</v>
      </c>
      <c r="U387" s="230">
        <f t="shared" si="214"/>
        <v>0</v>
      </c>
    </row>
    <row r="388" spans="1:24" s="231" customFormat="1" ht="25.5">
      <c r="A388" s="226"/>
      <c r="B388" s="226"/>
      <c r="C388" s="226"/>
      <c r="D388" s="226"/>
      <c r="E388" s="227"/>
      <c r="F388" s="278" t="s">
        <v>923</v>
      </c>
      <c r="G388" s="211">
        <v>3654</v>
      </c>
      <c r="H388" s="211"/>
      <c r="I388" s="211"/>
      <c r="J388" s="109">
        <f t="shared" si="213"/>
        <v>3654</v>
      </c>
      <c r="K388" s="211"/>
      <c r="L388" s="211"/>
      <c r="M388" s="109">
        <f t="shared" ref="M388:M392" si="215">J388+K388-L388</f>
        <v>3654</v>
      </c>
      <c r="N388" s="211"/>
      <c r="O388" s="211"/>
      <c r="P388" s="109">
        <f t="shared" ref="P388:P392" si="216">M388+N388-O388</f>
        <v>3654</v>
      </c>
      <c r="Q388" s="211"/>
      <c r="R388" s="211"/>
      <c r="S388" s="109">
        <f t="shared" ref="S388:S392" si="217">P388+Q388-R388</f>
        <v>3654</v>
      </c>
      <c r="T388" s="230"/>
      <c r="U388" s="230"/>
    </row>
    <row r="389" spans="1:24" s="231" customFormat="1" ht="25.5">
      <c r="A389" s="226"/>
      <c r="B389" s="226"/>
      <c r="C389" s="226"/>
      <c r="D389" s="226"/>
      <c r="E389" s="227"/>
      <c r="F389" s="278" t="s">
        <v>924</v>
      </c>
      <c r="G389" s="211">
        <v>488</v>
      </c>
      <c r="H389" s="211"/>
      <c r="I389" s="211"/>
      <c r="J389" s="109">
        <f t="shared" si="213"/>
        <v>488</v>
      </c>
      <c r="K389" s="211"/>
      <c r="L389" s="211"/>
      <c r="M389" s="109">
        <f t="shared" si="215"/>
        <v>488</v>
      </c>
      <c r="N389" s="211"/>
      <c r="O389" s="211"/>
      <c r="P389" s="109">
        <f t="shared" si="216"/>
        <v>488</v>
      </c>
      <c r="Q389" s="211"/>
      <c r="R389" s="211"/>
      <c r="S389" s="109">
        <f t="shared" si="217"/>
        <v>488</v>
      </c>
      <c r="T389" s="230"/>
      <c r="U389" s="230"/>
    </row>
    <row r="390" spans="1:24" s="225" customFormat="1" ht="25.5">
      <c r="A390" s="222"/>
      <c r="B390" s="222"/>
      <c r="C390" s="222"/>
      <c r="D390" s="222"/>
      <c r="E390" s="223"/>
      <c r="F390" s="278" t="s">
        <v>925</v>
      </c>
      <c r="G390" s="211">
        <v>2235</v>
      </c>
      <c r="H390" s="211"/>
      <c r="I390" s="211"/>
      <c r="J390" s="109">
        <f t="shared" si="213"/>
        <v>2235</v>
      </c>
      <c r="K390" s="211"/>
      <c r="L390" s="211"/>
      <c r="M390" s="109">
        <f t="shared" si="215"/>
        <v>2235</v>
      </c>
      <c r="N390" s="211"/>
      <c r="O390" s="211"/>
      <c r="P390" s="109">
        <f t="shared" si="216"/>
        <v>2235</v>
      </c>
      <c r="Q390" s="211"/>
      <c r="R390" s="211"/>
      <c r="S390" s="109">
        <f t="shared" si="217"/>
        <v>2235</v>
      </c>
      <c r="T390" s="224"/>
      <c r="U390" s="224"/>
    </row>
    <row r="391" spans="1:24" s="225" customFormat="1" ht="25.5">
      <c r="A391" s="222"/>
      <c r="B391" s="222"/>
      <c r="C391" s="222"/>
      <c r="D391" s="222"/>
      <c r="E391" s="223"/>
      <c r="F391" s="248" t="s">
        <v>926</v>
      </c>
      <c r="G391" s="211">
        <v>1758</v>
      </c>
      <c r="H391" s="211"/>
      <c r="I391" s="211"/>
      <c r="J391" s="109">
        <f t="shared" si="213"/>
        <v>1758</v>
      </c>
      <c r="K391" s="211"/>
      <c r="L391" s="211"/>
      <c r="M391" s="109">
        <f t="shared" si="215"/>
        <v>1758</v>
      </c>
      <c r="N391" s="211"/>
      <c r="O391" s="211"/>
      <c r="P391" s="109">
        <f t="shared" si="216"/>
        <v>1758</v>
      </c>
      <c r="Q391" s="211"/>
      <c r="R391" s="211"/>
      <c r="S391" s="109">
        <f t="shared" si="217"/>
        <v>1758</v>
      </c>
      <c r="T391" s="224"/>
      <c r="U391" s="224"/>
    </row>
    <row r="392" spans="1:24" s="225" customFormat="1">
      <c r="A392" s="222"/>
      <c r="B392" s="222"/>
      <c r="C392" s="222"/>
      <c r="D392" s="222"/>
      <c r="E392" s="223"/>
      <c r="F392" s="248" t="s">
        <v>679</v>
      </c>
      <c r="G392" s="211">
        <v>7348</v>
      </c>
      <c r="H392" s="211"/>
      <c r="I392" s="211"/>
      <c r="J392" s="109">
        <f t="shared" si="213"/>
        <v>7348</v>
      </c>
      <c r="K392" s="211">
        <v>7300</v>
      </c>
      <c r="L392" s="211"/>
      <c r="M392" s="109">
        <f t="shared" si="215"/>
        <v>14648</v>
      </c>
      <c r="N392" s="211"/>
      <c r="O392" s="211"/>
      <c r="P392" s="109">
        <f t="shared" si="216"/>
        <v>14648</v>
      </c>
      <c r="Q392" s="211">
        <v>7521</v>
      </c>
      <c r="R392" s="211"/>
      <c r="S392" s="109">
        <f t="shared" si="217"/>
        <v>22169</v>
      </c>
      <c r="T392" s="224"/>
      <c r="U392" s="224"/>
    </row>
    <row r="393" spans="1:24" s="225" customFormat="1">
      <c r="A393" s="222"/>
      <c r="B393" s="260">
        <v>4</v>
      </c>
      <c r="C393" s="260"/>
      <c r="D393" s="260"/>
      <c r="E393" s="279"/>
      <c r="F393" s="280" t="s">
        <v>609</v>
      </c>
      <c r="G393" s="211"/>
      <c r="H393" s="211"/>
      <c r="I393" s="211"/>
      <c r="J393" s="109">
        <f>J394</f>
        <v>17737264</v>
      </c>
      <c r="K393" s="109">
        <f t="shared" ref="K393:U394" si="218">K394</f>
        <v>0</v>
      </c>
      <c r="L393" s="109">
        <f t="shared" si="218"/>
        <v>11589606</v>
      </c>
      <c r="M393" s="109">
        <f t="shared" si="218"/>
        <v>6147658</v>
      </c>
      <c r="N393" s="109">
        <f t="shared" si="218"/>
        <v>0</v>
      </c>
      <c r="O393" s="109">
        <f t="shared" si="218"/>
        <v>0</v>
      </c>
      <c r="P393" s="109">
        <f t="shared" si="218"/>
        <v>6147658</v>
      </c>
      <c r="Q393" s="109">
        <f t="shared" si="218"/>
        <v>0</v>
      </c>
      <c r="R393" s="109">
        <f t="shared" si="218"/>
        <v>970503</v>
      </c>
      <c r="S393" s="109">
        <f t="shared" si="218"/>
        <v>5177155</v>
      </c>
      <c r="T393" s="109">
        <f t="shared" si="218"/>
        <v>15937506</v>
      </c>
      <c r="U393" s="109">
        <f t="shared" si="218"/>
        <v>16613863</v>
      </c>
    </row>
    <row r="394" spans="1:24" s="225" customFormat="1" ht="25.5">
      <c r="A394" s="222"/>
      <c r="B394" s="281"/>
      <c r="C394" s="281" t="s">
        <v>610</v>
      </c>
      <c r="D394" s="281"/>
      <c r="E394" s="282"/>
      <c r="F394" s="220" t="s">
        <v>893</v>
      </c>
      <c r="G394" s="211"/>
      <c r="H394" s="211"/>
      <c r="I394" s="211"/>
      <c r="J394" s="109">
        <f>J395</f>
        <v>17737264</v>
      </c>
      <c r="K394" s="109">
        <f t="shared" si="218"/>
        <v>0</v>
      </c>
      <c r="L394" s="109">
        <f t="shared" si="218"/>
        <v>11589606</v>
      </c>
      <c r="M394" s="109">
        <f t="shared" si="218"/>
        <v>6147658</v>
      </c>
      <c r="N394" s="109">
        <f t="shared" si="218"/>
        <v>0</v>
      </c>
      <c r="O394" s="109">
        <f t="shared" si="218"/>
        <v>0</v>
      </c>
      <c r="P394" s="109">
        <f t="shared" si="218"/>
        <v>6147658</v>
      </c>
      <c r="Q394" s="109">
        <f t="shared" si="218"/>
        <v>0</v>
      </c>
      <c r="R394" s="109">
        <f t="shared" si="218"/>
        <v>970503</v>
      </c>
      <c r="S394" s="109">
        <f t="shared" si="218"/>
        <v>5177155</v>
      </c>
      <c r="T394" s="109">
        <f t="shared" si="218"/>
        <v>15937506</v>
      </c>
      <c r="U394" s="109">
        <f t="shared" si="218"/>
        <v>16613863</v>
      </c>
    </row>
    <row r="395" spans="1:24">
      <c r="A395" s="218"/>
      <c r="B395" s="218"/>
      <c r="C395" s="218"/>
      <c r="D395" s="249" t="s">
        <v>611</v>
      </c>
      <c r="E395" s="219"/>
      <c r="F395" s="220" t="s">
        <v>612</v>
      </c>
      <c r="G395" s="221">
        <v>17737264</v>
      </c>
      <c r="H395" s="221">
        <f t="shared" ref="H395:U395" si="219">H398+H396</f>
        <v>17737264</v>
      </c>
      <c r="I395" s="221">
        <v>17737264</v>
      </c>
      <c r="J395" s="221">
        <f t="shared" si="219"/>
        <v>17737264</v>
      </c>
      <c r="K395" s="221">
        <f t="shared" si="219"/>
        <v>0</v>
      </c>
      <c r="L395" s="221">
        <f t="shared" si="219"/>
        <v>11589606</v>
      </c>
      <c r="M395" s="221">
        <f t="shared" si="219"/>
        <v>6147658</v>
      </c>
      <c r="N395" s="221">
        <f t="shared" si="219"/>
        <v>0</v>
      </c>
      <c r="O395" s="221">
        <f t="shared" si="219"/>
        <v>0</v>
      </c>
      <c r="P395" s="221">
        <f t="shared" si="219"/>
        <v>6147658</v>
      </c>
      <c r="Q395" s="221">
        <f t="shared" si="219"/>
        <v>0</v>
      </c>
      <c r="R395" s="221">
        <f t="shared" si="219"/>
        <v>970503</v>
      </c>
      <c r="S395" s="221">
        <f t="shared" si="219"/>
        <v>5177155</v>
      </c>
      <c r="T395" s="221">
        <f t="shared" si="219"/>
        <v>15937506</v>
      </c>
      <c r="U395" s="221">
        <f t="shared" si="219"/>
        <v>16613863</v>
      </c>
    </row>
    <row r="396" spans="1:24" s="225" customFormat="1">
      <c r="A396" s="222"/>
      <c r="B396" s="222"/>
      <c r="C396" s="222"/>
      <c r="D396" s="222"/>
      <c r="E396" s="249" t="s">
        <v>112</v>
      </c>
      <c r="F396" s="248" t="s">
        <v>128</v>
      </c>
      <c r="G396" s="224">
        <f>SUM(G397:G397)</f>
        <v>0</v>
      </c>
      <c r="H396" s="224">
        <f t="shared" ref="H396:S396" si="220">SUM(H397:H397)</f>
        <v>5177155</v>
      </c>
      <c r="I396" s="224">
        <f t="shared" si="220"/>
        <v>0</v>
      </c>
      <c r="J396" s="224">
        <f t="shared" si="220"/>
        <v>5177155</v>
      </c>
      <c r="K396" s="224">
        <f t="shared" si="220"/>
        <v>0</v>
      </c>
      <c r="L396" s="224">
        <f t="shared" si="220"/>
        <v>0</v>
      </c>
      <c r="M396" s="224">
        <f t="shared" si="220"/>
        <v>5177155</v>
      </c>
      <c r="N396" s="224">
        <f t="shared" si="220"/>
        <v>0</v>
      </c>
      <c r="O396" s="224">
        <f t="shared" si="220"/>
        <v>0</v>
      </c>
      <c r="P396" s="224">
        <f t="shared" si="220"/>
        <v>5177155</v>
      </c>
      <c r="Q396" s="224">
        <f t="shared" si="220"/>
        <v>0</v>
      </c>
      <c r="R396" s="224">
        <f t="shared" si="220"/>
        <v>0</v>
      </c>
      <c r="S396" s="224">
        <f t="shared" si="220"/>
        <v>5177155</v>
      </c>
      <c r="T396" s="224">
        <f>SUM(T397:T397)</f>
        <v>0</v>
      </c>
      <c r="U396" s="224">
        <f>SUM(U397:U397)</f>
        <v>0</v>
      </c>
    </row>
    <row r="397" spans="1:24" s="225" customFormat="1" ht="25.5">
      <c r="A397" s="222"/>
      <c r="B397" s="222"/>
      <c r="C397" s="222"/>
      <c r="D397" s="222"/>
      <c r="E397" s="223"/>
      <c r="F397" s="1" t="s">
        <v>927</v>
      </c>
      <c r="G397" s="211"/>
      <c r="H397" s="224">
        <f>5177155</f>
        <v>5177155</v>
      </c>
      <c r="I397" s="211"/>
      <c r="J397" s="109">
        <f t="shared" si="213"/>
        <v>5177155</v>
      </c>
      <c r="K397" s="224"/>
      <c r="L397" s="211"/>
      <c r="M397" s="109">
        <f t="shared" ref="M397" si="221">J397+K397-L397</f>
        <v>5177155</v>
      </c>
      <c r="N397" s="224"/>
      <c r="O397" s="211"/>
      <c r="P397" s="109">
        <f t="shared" ref="P397" si="222">M397+N397-O397</f>
        <v>5177155</v>
      </c>
      <c r="Q397" s="224"/>
      <c r="R397" s="211"/>
      <c r="S397" s="109">
        <f t="shared" ref="S397" si="223">P397+Q397-R397</f>
        <v>5177155</v>
      </c>
      <c r="T397" s="224"/>
      <c r="U397" s="224"/>
    </row>
    <row r="398" spans="1:24" s="225" customFormat="1">
      <c r="A398" s="222"/>
      <c r="B398" s="222"/>
      <c r="C398" s="222"/>
      <c r="D398" s="222"/>
      <c r="E398" s="219" t="s">
        <v>113</v>
      </c>
      <c r="F398" s="220" t="s">
        <v>8</v>
      </c>
      <c r="G398" s="224">
        <f>G399</f>
        <v>0</v>
      </c>
      <c r="H398" s="224">
        <f t="shared" ref="H398:U398" si="224">H399</f>
        <v>12560109</v>
      </c>
      <c r="I398" s="224">
        <f t="shared" si="224"/>
        <v>0</v>
      </c>
      <c r="J398" s="224">
        <f t="shared" si="224"/>
        <v>12560109</v>
      </c>
      <c r="K398" s="224">
        <f t="shared" si="224"/>
        <v>0</v>
      </c>
      <c r="L398" s="224">
        <f t="shared" si="224"/>
        <v>11589606</v>
      </c>
      <c r="M398" s="224">
        <f t="shared" si="224"/>
        <v>970503</v>
      </c>
      <c r="N398" s="224">
        <f t="shared" si="224"/>
        <v>0</v>
      </c>
      <c r="O398" s="224">
        <f t="shared" si="224"/>
        <v>0</v>
      </c>
      <c r="P398" s="224">
        <f t="shared" si="224"/>
        <v>970503</v>
      </c>
      <c r="Q398" s="224">
        <f t="shared" si="224"/>
        <v>0</v>
      </c>
      <c r="R398" s="224">
        <f t="shared" si="224"/>
        <v>970503</v>
      </c>
      <c r="S398" s="224">
        <f t="shared" si="224"/>
        <v>0</v>
      </c>
      <c r="T398" s="224">
        <f t="shared" si="224"/>
        <v>15937506</v>
      </c>
      <c r="U398" s="224">
        <f t="shared" si="224"/>
        <v>16613863</v>
      </c>
      <c r="V398" s="242"/>
      <c r="W398" s="242"/>
      <c r="X398" s="242"/>
    </row>
    <row r="399" spans="1:24" s="225" customFormat="1" ht="25.5">
      <c r="A399" s="222"/>
      <c r="B399" s="222"/>
      <c r="C399" s="222"/>
      <c r="D399" s="222"/>
      <c r="E399" s="219"/>
      <c r="F399" s="220" t="s">
        <v>927</v>
      </c>
      <c r="G399" s="224"/>
      <c r="H399" s="224">
        <f>12560109</f>
        <v>12560109</v>
      </c>
      <c r="I399" s="224"/>
      <c r="J399" s="109">
        <f t="shared" si="213"/>
        <v>12560109</v>
      </c>
      <c r="K399" s="224"/>
      <c r="L399" s="224">
        <v>11589606</v>
      </c>
      <c r="M399" s="109">
        <f t="shared" ref="M399" si="225">J399+K399-L399</f>
        <v>970503</v>
      </c>
      <c r="N399" s="224"/>
      <c r="O399" s="224"/>
      <c r="P399" s="109">
        <f t="shared" ref="P399" si="226">M399+N399-O399</f>
        <v>970503</v>
      </c>
      <c r="Q399" s="224"/>
      <c r="R399" s="224">
        <v>970503</v>
      </c>
      <c r="S399" s="109">
        <f t="shared" ref="S399" si="227">P399+Q399-R399</f>
        <v>0</v>
      </c>
      <c r="T399" s="224">
        <v>15937506</v>
      </c>
      <c r="U399" s="224">
        <v>16613863</v>
      </c>
      <c r="V399" s="242"/>
      <c r="W399" s="242"/>
      <c r="X399" s="242"/>
    </row>
    <row r="400" spans="1:24" s="225" customFormat="1">
      <c r="A400" s="222"/>
      <c r="B400" s="222">
        <v>9</v>
      </c>
      <c r="C400" s="222"/>
      <c r="D400" s="222"/>
      <c r="E400" s="219"/>
      <c r="F400" s="220" t="s">
        <v>119</v>
      </c>
      <c r="G400" s="211">
        <f t="shared" ref="G400:U402" si="228">G401</f>
        <v>572581</v>
      </c>
      <c r="H400" s="211">
        <f t="shared" si="228"/>
        <v>0</v>
      </c>
      <c r="I400" s="211">
        <f t="shared" si="228"/>
        <v>0</v>
      </c>
      <c r="J400" s="211">
        <f t="shared" si="228"/>
        <v>572581</v>
      </c>
      <c r="K400" s="211">
        <f t="shared" si="228"/>
        <v>0</v>
      </c>
      <c r="L400" s="211">
        <f t="shared" si="228"/>
        <v>0</v>
      </c>
      <c r="M400" s="211">
        <f t="shared" si="228"/>
        <v>572581</v>
      </c>
      <c r="N400" s="211">
        <f t="shared" si="228"/>
        <v>0</v>
      </c>
      <c r="O400" s="211">
        <f t="shared" si="228"/>
        <v>0</v>
      </c>
      <c r="P400" s="211">
        <f t="shared" si="228"/>
        <v>572581</v>
      </c>
      <c r="Q400" s="211">
        <f t="shared" si="228"/>
        <v>0</v>
      </c>
      <c r="R400" s="211">
        <f t="shared" si="228"/>
        <v>572581</v>
      </c>
      <c r="S400" s="211">
        <f t="shared" si="228"/>
        <v>0</v>
      </c>
      <c r="T400" s="211">
        <f t="shared" si="228"/>
        <v>818504</v>
      </c>
      <c r="U400" s="211">
        <f t="shared" si="228"/>
        <v>0</v>
      </c>
    </row>
    <row r="401" spans="1:24" s="225" customFormat="1">
      <c r="A401" s="222"/>
      <c r="B401" s="222"/>
      <c r="C401" s="222">
        <v>373</v>
      </c>
      <c r="D401" s="222"/>
      <c r="E401" s="219"/>
      <c r="F401" s="220" t="s">
        <v>288</v>
      </c>
      <c r="G401" s="211">
        <f>G402</f>
        <v>572581</v>
      </c>
      <c r="H401" s="211">
        <f t="shared" si="228"/>
        <v>0</v>
      </c>
      <c r="I401" s="211">
        <f t="shared" si="228"/>
        <v>0</v>
      </c>
      <c r="J401" s="211">
        <f t="shared" si="228"/>
        <v>572581</v>
      </c>
      <c r="K401" s="211">
        <f t="shared" si="228"/>
        <v>0</v>
      </c>
      <c r="L401" s="211">
        <f t="shared" si="228"/>
        <v>0</v>
      </c>
      <c r="M401" s="211">
        <f t="shared" si="228"/>
        <v>572581</v>
      </c>
      <c r="N401" s="211">
        <f t="shared" si="228"/>
        <v>0</v>
      </c>
      <c r="O401" s="211">
        <f t="shared" si="228"/>
        <v>0</v>
      </c>
      <c r="P401" s="211">
        <f t="shared" si="228"/>
        <v>572581</v>
      </c>
      <c r="Q401" s="211">
        <f t="shared" si="228"/>
        <v>0</v>
      </c>
      <c r="R401" s="211">
        <f t="shared" si="228"/>
        <v>572581</v>
      </c>
      <c r="S401" s="211">
        <f t="shared" si="228"/>
        <v>0</v>
      </c>
      <c r="T401" s="211">
        <f t="shared" si="228"/>
        <v>818504</v>
      </c>
      <c r="U401" s="211">
        <f t="shared" si="228"/>
        <v>0</v>
      </c>
    </row>
    <row r="402" spans="1:24" s="225" customFormat="1">
      <c r="A402" s="222"/>
      <c r="B402" s="222"/>
      <c r="C402" s="222"/>
      <c r="D402" s="222" t="s">
        <v>255</v>
      </c>
      <c r="E402" s="219"/>
      <c r="F402" s="220" t="s">
        <v>236</v>
      </c>
      <c r="G402" s="211">
        <f>G403</f>
        <v>572581</v>
      </c>
      <c r="H402" s="211">
        <f t="shared" si="228"/>
        <v>0</v>
      </c>
      <c r="I402" s="211">
        <f t="shared" si="228"/>
        <v>0</v>
      </c>
      <c r="J402" s="211">
        <f t="shared" si="228"/>
        <v>572581</v>
      </c>
      <c r="K402" s="211">
        <f t="shared" si="228"/>
        <v>0</v>
      </c>
      <c r="L402" s="211">
        <f t="shared" si="228"/>
        <v>0</v>
      </c>
      <c r="M402" s="211">
        <f t="shared" si="228"/>
        <v>572581</v>
      </c>
      <c r="N402" s="211">
        <f t="shared" si="228"/>
        <v>0</v>
      </c>
      <c r="O402" s="211">
        <f t="shared" si="228"/>
        <v>0</v>
      </c>
      <c r="P402" s="211">
        <f t="shared" si="228"/>
        <v>572581</v>
      </c>
      <c r="Q402" s="211">
        <f t="shared" si="228"/>
        <v>0</v>
      </c>
      <c r="R402" s="211">
        <f t="shared" si="228"/>
        <v>572581</v>
      </c>
      <c r="S402" s="211">
        <f t="shared" si="228"/>
        <v>0</v>
      </c>
      <c r="T402" s="211">
        <f t="shared" si="228"/>
        <v>818504</v>
      </c>
      <c r="U402" s="211">
        <f t="shared" si="228"/>
        <v>0</v>
      </c>
    </row>
    <row r="403" spans="1:24" s="225" customFormat="1">
      <c r="A403" s="222"/>
      <c r="B403" s="222"/>
      <c r="C403" s="222"/>
      <c r="D403" s="222"/>
      <c r="E403" s="219" t="s">
        <v>113</v>
      </c>
      <c r="F403" s="220" t="s">
        <v>8</v>
      </c>
      <c r="G403" s="211">
        <f>G404+G405</f>
        <v>572581</v>
      </c>
      <c r="H403" s="211">
        <f t="shared" ref="H403:U403" si="229">H404+H405</f>
        <v>0</v>
      </c>
      <c r="I403" s="211">
        <f t="shared" si="229"/>
        <v>0</v>
      </c>
      <c r="J403" s="211">
        <f t="shared" si="229"/>
        <v>572581</v>
      </c>
      <c r="K403" s="211">
        <f t="shared" si="229"/>
        <v>0</v>
      </c>
      <c r="L403" s="211">
        <f t="shared" si="229"/>
        <v>0</v>
      </c>
      <c r="M403" s="211">
        <f t="shared" si="229"/>
        <v>572581</v>
      </c>
      <c r="N403" s="211">
        <f t="shared" si="229"/>
        <v>0</v>
      </c>
      <c r="O403" s="211">
        <f t="shared" si="229"/>
        <v>0</v>
      </c>
      <c r="P403" s="211">
        <f t="shared" si="229"/>
        <v>572581</v>
      </c>
      <c r="Q403" s="211">
        <f t="shared" si="229"/>
        <v>0</v>
      </c>
      <c r="R403" s="211">
        <f t="shared" si="229"/>
        <v>572581</v>
      </c>
      <c r="S403" s="211">
        <f t="shared" si="229"/>
        <v>0</v>
      </c>
      <c r="T403" s="211">
        <f t="shared" si="229"/>
        <v>818504</v>
      </c>
      <c r="U403" s="211">
        <f t="shared" si="229"/>
        <v>0</v>
      </c>
    </row>
    <row r="404" spans="1:24" s="225" customFormat="1" ht="27.75" hidden="1" customHeight="1">
      <c r="A404" s="222"/>
      <c r="B404" s="222"/>
      <c r="C404" s="222"/>
      <c r="D404" s="222"/>
      <c r="E404" s="223"/>
      <c r="F404" s="220" t="s">
        <v>928</v>
      </c>
      <c r="G404" s="211">
        <v>572581</v>
      </c>
      <c r="H404" s="211"/>
      <c r="I404" s="211"/>
      <c r="J404" s="109">
        <f t="shared" si="213"/>
        <v>572581</v>
      </c>
      <c r="K404" s="211"/>
      <c r="L404" s="211"/>
      <c r="M404" s="109">
        <f t="shared" ref="M404:M405" si="230">J404+K404-L404</f>
        <v>572581</v>
      </c>
      <c r="N404" s="211"/>
      <c r="O404" s="211"/>
      <c r="P404" s="109">
        <f t="shared" ref="P404:P405" si="231">M404+N404-O404</f>
        <v>572581</v>
      </c>
      <c r="Q404" s="211"/>
      <c r="R404" s="211">
        <v>572581</v>
      </c>
      <c r="S404" s="109">
        <f t="shared" ref="S404:S405" si="232">P404+Q404-R404</f>
        <v>0</v>
      </c>
      <c r="T404" s="211"/>
      <c r="U404" s="211"/>
    </row>
    <row r="405" spans="1:24" s="225" customFormat="1" ht="25.5">
      <c r="A405" s="222"/>
      <c r="B405" s="222"/>
      <c r="C405" s="222"/>
      <c r="D405" s="222"/>
      <c r="E405" s="223"/>
      <c r="F405" s="220" t="s">
        <v>929</v>
      </c>
      <c r="G405" s="211"/>
      <c r="H405" s="211"/>
      <c r="I405" s="211"/>
      <c r="J405" s="109">
        <f t="shared" si="213"/>
        <v>0</v>
      </c>
      <c r="K405" s="211"/>
      <c r="L405" s="211"/>
      <c r="M405" s="109">
        <f t="shared" si="230"/>
        <v>0</v>
      </c>
      <c r="N405" s="211"/>
      <c r="O405" s="211"/>
      <c r="P405" s="109">
        <f t="shared" si="231"/>
        <v>0</v>
      </c>
      <c r="Q405" s="211"/>
      <c r="R405" s="211"/>
      <c r="S405" s="109">
        <f t="shared" si="232"/>
        <v>0</v>
      </c>
      <c r="T405" s="224">
        <v>818504</v>
      </c>
      <c r="U405" s="224"/>
    </row>
    <row r="406" spans="1:24">
      <c r="A406" s="218" t="s">
        <v>40</v>
      </c>
      <c r="B406" s="218"/>
      <c r="C406" s="218"/>
      <c r="D406" s="218"/>
      <c r="E406" s="219"/>
      <c r="F406" s="261" t="s">
        <v>120</v>
      </c>
      <c r="G406" s="221">
        <f>G407+G428</f>
        <v>4582657</v>
      </c>
      <c r="H406" s="221">
        <f t="shared" ref="H406:I406" si="233">H407+H428</f>
        <v>0</v>
      </c>
      <c r="I406" s="221">
        <f t="shared" si="233"/>
        <v>0</v>
      </c>
      <c r="J406" s="221">
        <f>J407+J428+J434</f>
        <v>4582657</v>
      </c>
      <c r="K406" s="221">
        <f t="shared" ref="K406:U406" si="234">K407+K428+K434</f>
        <v>1887552</v>
      </c>
      <c r="L406" s="221">
        <f t="shared" si="234"/>
        <v>0</v>
      </c>
      <c r="M406" s="221">
        <f t="shared" si="234"/>
        <v>6470209</v>
      </c>
      <c r="N406" s="221">
        <f t="shared" si="234"/>
        <v>17790</v>
      </c>
      <c r="O406" s="221">
        <f t="shared" si="234"/>
        <v>0</v>
      </c>
      <c r="P406" s="221">
        <f t="shared" si="234"/>
        <v>6487999</v>
      </c>
      <c r="Q406" s="221">
        <f t="shared" si="234"/>
        <v>120154</v>
      </c>
      <c r="R406" s="221">
        <f t="shared" si="234"/>
        <v>711437</v>
      </c>
      <c r="S406" s="221">
        <f t="shared" si="234"/>
        <v>5896716</v>
      </c>
      <c r="T406" s="221">
        <f t="shared" si="234"/>
        <v>7713959</v>
      </c>
      <c r="U406" s="221">
        <f t="shared" si="234"/>
        <v>7150000</v>
      </c>
    </row>
    <row r="407" spans="1:24">
      <c r="A407" s="218"/>
      <c r="B407" s="218">
        <v>1</v>
      </c>
      <c r="C407" s="218"/>
      <c r="D407" s="218"/>
      <c r="E407" s="219"/>
      <c r="F407" s="220" t="s">
        <v>322</v>
      </c>
      <c r="G407" s="221">
        <f t="shared" ref="G407:U408" si="235">G408</f>
        <v>4582657</v>
      </c>
      <c r="H407" s="221">
        <f t="shared" si="235"/>
        <v>0</v>
      </c>
      <c r="I407" s="221">
        <f t="shared" si="235"/>
        <v>0</v>
      </c>
      <c r="J407" s="221">
        <f t="shared" si="235"/>
        <v>4582657</v>
      </c>
      <c r="K407" s="221">
        <f t="shared" si="235"/>
        <v>200000</v>
      </c>
      <c r="L407" s="221">
        <f t="shared" si="235"/>
        <v>0</v>
      </c>
      <c r="M407" s="221">
        <f t="shared" si="235"/>
        <v>4782657</v>
      </c>
      <c r="N407" s="221">
        <f t="shared" si="235"/>
        <v>17790</v>
      </c>
      <c r="O407" s="221">
        <f t="shared" si="235"/>
        <v>0</v>
      </c>
      <c r="P407" s="221">
        <f t="shared" si="235"/>
        <v>4800447</v>
      </c>
      <c r="Q407" s="221">
        <f t="shared" si="235"/>
        <v>120154</v>
      </c>
      <c r="R407" s="221">
        <f t="shared" si="235"/>
        <v>711437</v>
      </c>
      <c r="S407" s="221">
        <f t="shared" si="235"/>
        <v>4209164</v>
      </c>
      <c r="T407" s="221">
        <f t="shared" si="235"/>
        <v>6208534</v>
      </c>
      <c r="U407" s="221">
        <f t="shared" si="235"/>
        <v>7150000</v>
      </c>
    </row>
    <row r="408" spans="1:24" ht="24" customHeight="1">
      <c r="A408" s="218"/>
      <c r="B408" s="218"/>
      <c r="C408" s="218">
        <v>309</v>
      </c>
      <c r="D408" s="218"/>
      <c r="E408" s="219"/>
      <c r="F408" s="220" t="s">
        <v>468</v>
      </c>
      <c r="G408" s="221">
        <f t="shared" si="235"/>
        <v>4582657</v>
      </c>
      <c r="H408" s="221">
        <f t="shared" si="235"/>
        <v>0</v>
      </c>
      <c r="I408" s="221">
        <f t="shared" si="235"/>
        <v>0</v>
      </c>
      <c r="J408" s="221">
        <f t="shared" si="235"/>
        <v>4582657</v>
      </c>
      <c r="K408" s="221">
        <f t="shared" si="235"/>
        <v>200000</v>
      </c>
      <c r="L408" s="221">
        <f t="shared" si="235"/>
        <v>0</v>
      </c>
      <c r="M408" s="221">
        <f t="shared" si="235"/>
        <v>4782657</v>
      </c>
      <c r="N408" s="221">
        <f t="shared" si="235"/>
        <v>17790</v>
      </c>
      <c r="O408" s="221">
        <f t="shared" si="235"/>
        <v>0</v>
      </c>
      <c r="P408" s="221">
        <f t="shared" si="235"/>
        <v>4800447</v>
      </c>
      <c r="Q408" s="221">
        <f t="shared" si="235"/>
        <v>120154</v>
      </c>
      <c r="R408" s="221">
        <f t="shared" si="235"/>
        <v>711437</v>
      </c>
      <c r="S408" s="221">
        <f t="shared" si="235"/>
        <v>4209164</v>
      </c>
      <c r="T408" s="221">
        <f t="shared" si="235"/>
        <v>6208534</v>
      </c>
      <c r="U408" s="221">
        <f t="shared" si="235"/>
        <v>7150000</v>
      </c>
    </row>
    <row r="409" spans="1:24" ht="25.5">
      <c r="A409" s="218"/>
      <c r="B409" s="218"/>
      <c r="C409" s="218"/>
      <c r="D409" s="219" t="s">
        <v>321</v>
      </c>
      <c r="E409" s="219"/>
      <c r="F409" s="220" t="s">
        <v>323</v>
      </c>
      <c r="G409" s="221">
        <f>G414+G410</f>
        <v>4582657</v>
      </c>
      <c r="H409" s="221">
        <f t="shared" ref="H409:S409" si="236">H414+H410</f>
        <v>0</v>
      </c>
      <c r="I409" s="221">
        <f t="shared" si="236"/>
        <v>0</v>
      </c>
      <c r="J409" s="221">
        <f t="shared" si="236"/>
        <v>4582657</v>
      </c>
      <c r="K409" s="221">
        <f t="shared" si="236"/>
        <v>200000</v>
      </c>
      <c r="L409" s="221">
        <f t="shared" si="236"/>
        <v>0</v>
      </c>
      <c r="M409" s="221">
        <f t="shared" si="236"/>
        <v>4782657</v>
      </c>
      <c r="N409" s="221">
        <f t="shared" si="236"/>
        <v>17790</v>
      </c>
      <c r="O409" s="221">
        <f t="shared" si="236"/>
        <v>0</v>
      </c>
      <c r="P409" s="221">
        <f t="shared" si="236"/>
        <v>4800447</v>
      </c>
      <c r="Q409" s="221">
        <f t="shared" si="236"/>
        <v>120154</v>
      </c>
      <c r="R409" s="221">
        <f t="shared" si="236"/>
        <v>711437</v>
      </c>
      <c r="S409" s="221">
        <f t="shared" si="236"/>
        <v>4209164</v>
      </c>
      <c r="T409" s="221">
        <f>T414+T410</f>
        <v>6208534</v>
      </c>
      <c r="U409" s="221">
        <f>U414+U410</f>
        <v>7150000</v>
      </c>
    </row>
    <row r="410" spans="1:24" s="225" customFormat="1">
      <c r="A410" s="222"/>
      <c r="B410" s="222"/>
      <c r="C410" s="222"/>
      <c r="D410" s="222"/>
      <c r="E410" s="249" t="s">
        <v>112</v>
      </c>
      <c r="F410" s="248" t="s">
        <v>128</v>
      </c>
      <c r="G410" s="224">
        <f>SUM(G411:G413)</f>
        <v>2638663</v>
      </c>
      <c r="H410" s="224">
        <f t="shared" ref="H410:U410" si="237">SUM(H411:H413)</f>
        <v>0</v>
      </c>
      <c r="I410" s="224">
        <f t="shared" si="237"/>
        <v>0</v>
      </c>
      <c r="J410" s="224">
        <f t="shared" si="237"/>
        <v>2638663</v>
      </c>
      <c r="K410" s="224">
        <f t="shared" si="237"/>
        <v>0</v>
      </c>
      <c r="L410" s="224">
        <f t="shared" si="237"/>
        <v>0</v>
      </c>
      <c r="M410" s="224">
        <f t="shared" si="237"/>
        <v>2638663</v>
      </c>
      <c r="N410" s="224">
        <f t="shared" si="237"/>
        <v>0</v>
      </c>
      <c r="O410" s="224">
        <f t="shared" si="237"/>
        <v>0</v>
      </c>
      <c r="P410" s="224">
        <f t="shared" si="237"/>
        <v>2638663</v>
      </c>
      <c r="Q410" s="224">
        <f t="shared" si="237"/>
        <v>0</v>
      </c>
      <c r="R410" s="224">
        <f t="shared" si="237"/>
        <v>0</v>
      </c>
      <c r="S410" s="224">
        <f t="shared" si="237"/>
        <v>2638663</v>
      </c>
      <c r="T410" s="224">
        <f t="shared" si="237"/>
        <v>0</v>
      </c>
      <c r="U410" s="224">
        <f t="shared" si="237"/>
        <v>0</v>
      </c>
    </row>
    <row r="411" spans="1:24" s="225" customFormat="1" ht="38.25">
      <c r="A411" s="222"/>
      <c r="B411" s="222"/>
      <c r="C411" s="222"/>
      <c r="D411" s="222"/>
      <c r="E411" s="223"/>
      <c r="F411" s="220" t="s">
        <v>930</v>
      </c>
      <c r="G411" s="211">
        <v>1950958</v>
      </c>
      <c r="H411" s="211"/>
      <c r="I411" s="211"/>
      <c r="J411" s="109">
        <f t="shared" si="213"/>
        <v>1950958</v>
      </c>
      <c r="K411" s="211"/>
      <c r="L411" s="211"/>
      <c r="M411" s="109">
        <f t="shared" ref="M411:M413" si="238">J411+K411-L411</f>
        <v>1950958</v>
      </c>
      <c r="N411" s="211"/>
      <c r="O411" s="211"/>
      <c r="P411" s="109">
        <f t="shared" ref="P411:P413" si="239">M411+N411-O411</f>
        <v>1950958</v>
      </c>
      <c r="Q411" s="211"/>
      <c r="R411" s="211"/>
      <c r="S411" s="109">
        <f t="shared" ref="S411:S413" si="240">P411+Q411-R411</f>
        <v>1950958</v>
      </c>
      <c r="T411" s="224"/>
      <c r="U411" s="224"/>
    </row>
    <row r="412" spans="1:24" s="225" customFormat="1" ht="25.5">
      <c r="A412" s="222"/>
      <c r="B412" s="222"/>
      <c r="C412" s="222"/>
      <c r="D412" s="222"/>
      <c r="E412" s="223"/>
      <c r="F412" s="220" t="s">
        <v>931</v>
      </c>
      <c r="G412" s="211">
        <v>498095</v>
      </c>
      <c r="H412" s="211"/>
      <c r="I412" s="211"/>
      <c r="J412" s="109">
        <f t="shared" si="213"/>
        <v>498095</v>
      </c>
      <c r="K412" s="211"/>
      <c r="L412" s="211"/>
      <c r="M412" s="109">
        <f t="shared" si="238"/>
        <v>498095</v>
      </c>
      <c r="N412" s="211"/>
      <c r="O412" s="211"/>
      <c r="P412" s="109">
        <f t="shared" si="239"/>
        <v>498095</v>
      </c>
      <c r="Q412" s="211"/>
      <c r="R412" s="211"/>
      <c r="S412" s="109">
        <f t="shared" si="240"/>
        <v>498095</v>
      </c>
      <c r="T412" s="224"/>
      <c r="U412" s="224"/>
    </row>
    <row r="413" spans="1:24" s="225" customFormat="1" ht="25.5">
      <c r="A413" s="222"/>
      <c r="B413" s="222"/>
      <c r="C413" s="222"/>
      <c r="D413" s="222"/>
      <c r="E413" s="223"/>
      <c r="F413" s="220" t="s">
        <v>932</v>
      </c>
      <c r="G413" s="211">
        <v>189610</v>
      </c>
      <c r="H413" s="211"/>
      <c r="I413" s="211"/>
      <c r="J413" s="109">
        <f t="shared" si="213"/>
        <v>189610</v>
      </c>
      <c r="K413" s="211"/>
      <c r="L413" s="211"/>
      <c r="M413" s="109">
        <f t="shared" si="238"/>
        <v>189610</v>
      </c>
      <c r="N413" s="211"/>
      <c r="O413" s="211"/>
      <c r="P413" s="109">
        <f t="shared" si="239"/>
        <v>189610</v>
      </c>
      <c r="Q413" s="211"/>
      <c r="R413" s="211"/>
      <c r="S413" s="109">
        <f t="shared" si="240"/>
        <v>189610</v>
      </c>
      <c r="T413" s="224"/>
      <c r="U413" s="224"/>
    </row>
    <row r="414" spans="1:24" s="225" customFormat="1">
      <c r="A414" s="222"/>
      <c r="B414" s="222"/>
      <c r="C414" s="222"/>
      <c r="D414" s="222"/>
      <c r="E414" s="219" t="s">
        <v>113</v>
      </c>
      <c r="F414" s="261" t="s">
        <v>8</v>
      </c>
      <c r="G414" s="224">
        <f>SUM(G415:G427)</f>
        <v>1943994</v>
      </c>
      <c r="H414" s="224">
        <f t="shared" ref="H414:U414" si="241">SUM(H415:H427)</f>
        <v>0</v>
      </c>
      <c r="I414" s="224">
        <f t="shared" si="241"/>
        <v>0</v>
      </c>
      <c r="J414" s="224">
        <f t="shared" si="241"/>
        <v>1943994</v>
      </c>
      <c r="K414" s="224">
        <f t="shared" si="241"/>
        <v>200000</v>
      </c>
      <c r="L414" s="224">
        <f t="shared" si="241"/>
        <v>0</v>
      </c>
      <c r="M414" s="224">
        <f t="shared" si="241"/>
        <v>2143994</v>
      </c>
      <c r="N414" s="224">
        <f t="shared" si="241"/>
        <v>17790</v>
      </c>
      <c r="O414" s="224">
        <f t="shared" si="241"/>
        <v>0</v>
      </c>
      <c r="P414" s="224">
        <f t="shared" si="241"/>
        <v>2161784</v>
      </c>
      <c r="Q414" s="224">
        <f t="shared" si="241"/>
        <v>120154</v>
      </c>
      <c r="R414" s="224">
        <f t="shared" si="241"/>
        <v>711437</v>
      </c>
      <c r="S414" s="224">
        <f t="shared" si="241"/>
        <v>1570501</v>
      </c>
      <c r="T414" s="224">
        <f t="shared" si="241"/>
        <v>6208534</v>
      </c>
      <c r="U414" s="224">
        <f t="shared" si="241"/>
        <v>7150000</v>
      </c>
      <c r="V414" s="242"/>
      <c r="W414" s="242"/>
      <c r="X414" s="242"/>
    </row>
    <row r="415" spans="1:24" s="225" customFormat="1" ht="30" customHeight="1">
      <c r="A415" s="222"/>
      <c r="B415" s="222"/>
      <c r="C415" s="222"/>
      <c r="D415" s="222"/>
      <c r="E415" s="219"/>
      <c r="F415" s="220" t="s">
        <v>933</v>
      </c>
      <c r="G415" s="211">
        <v>681652</v>
      </c>
      <c r="H415" s="211"/>
      <c r="I415" s="211"/>
      <c r="J415" s="109">
        <f t="shared" si="213"/>
        <v>681652</v>
      </c>
      <c r="K415" s="211"/>
      <c r="L415" s="211"/>
      <c r="M415" s="109">
        <f t="shared" ref="M415:M432" si="242">J415+K415-L415</f>
        <v>681652</v>
      </c>
      <c r="N415" s="211"/>
      <c r="O415" s="211"/>
      <c r="P415" s="109">
        <f t="shared" ref="P415:P427" si="243">M415+N415-O415</f>
        <v>681652</v>
      </c>
      <c r="Q415" s="211"/>
      <c r="R415" s="211">
        <v>611437</v>
      </c>
      <c r="S415" s="109">
        <f t="shared" ref="S415:S427" si="244">P415+Q415-R415</f>
        <v>70215</v>
      </c>
      <c r="T415" s="224"/>
      <c r="U415" s="224"/>
    </row>
    <row r="416" spans="1:24" s="225" customFormat="1" ht="25.5">
      <c r="A416" s="222"/>
      <c r="B416" s="222"/>
      <c r="C416" s="222"/>
      <c r="D416" s="222"/>
      <c r="E416" s="219"/>
      <c r="F416" s="220" t="s">
        <v>934</v>
      </c>
      <c r="G416" s="211">
        <v>345413</v>
      </c>
      <c r="H416" s="211"/>
      <c r="I416" s="211"/>
      <c r="J416" s="109">
        <f t="shared" si="213"/>
        <v>345413</v>
      </c>
      <c r="K416" s="211"/>
      <c r="L416" s="211"/>
      <c r="M416" s="109">
        <f t="shared" si="242"/>
        <v>345413</v>
      </c>
      <c r="N416" s="211"/>
      <c r="O416" s="211"/>
      <c r="P416" s="109">
        <f t="shared" si="243"/>
        <v>345413</v>
      </c>
      <c r="Q416" s="211"/>
      <c r="R416" s="211">
        <v>100000</v>
      </c>
      <c r="S416" s="109">
        <f t="shared" si="244"/>
        <v>245413</v>
      </c>
      <c r="T416" s="224"/>
      <c r="U416" s="224"/>
    </row>
    <row r="417" spans="1:24" s="225" customFormat="1" ht="25.5">
      <c r="A417" s="222"/>
      <c r="B417" s="222"/>
      <c r="C417" s="222"/>
      <c r="D417" s="222"/>
      <c r="E417" s="219"/>
      <c r="F417" s="220" t="s">
        <v>935</v>
      </c>
      <c r="G417" s="211">
        <v>374716</v>
      </c>
      <c r="H417" s="211"/>
      <c r="I417" s="211"/>
      <c r="J417" s="109">
        <f t="shared" si="213"/>
        <v>374716</v>
      </c>
      <c r="K417" s="211"/>
      <c r="L417" s="211"/>
      <c r="M417" s="109">
        <f t="shared" si="242"/>
        <v>374716</v>
      </c>
      <c r="N417" s="211"/>
      <c r="O417" s="211"/>
      <c r="P417" s="109">
        <f t="shared" si="243"/>
        <v>374716</v>
      </c>
      <c r="Q417" s="211">
        <v>13383</v>
      </c>
      <c r="R417" s="211"/>
      <c r="S417" s="109">
        <f t="shared" si="244"/>
        <v>388099</v>
      </c>
      <c r="T417" s="224"/>
      <c r="U417" s="224"/>
    </row>
    <row r="418" spans="1:24" s="225" customFormat="1" ht="38.25">
      <c r="A418" s="222"/>
      <c r="B418" s="222"/>
      <c r="C418" s="222"/>
      <c r="D418" s="222"/>
      <c r="E418" s="219"/>
      <c r="F418" s="220" t="s">
        <v>930</v>
      </c>
      <c r="G418" s="211"/>
      <c r="H418" s="211"/>
      <c r="I418" s="211"/>
      <c r="J418" s="109">
        <f t="shared" si="213"/>
        <v>0</v>
      </c>
      <c r="K418" s="211"/>
      <c r="L418" s="211"/>
      <c r="M418" s="109">
        <f t="shared" si="242"/>
        <v>0</v>
      </c>
      <c r="N418" s="211"/>
      <c r="O418" s="211"/>
      <c r="P418" s="109">
        <f t="shared" si="243"/>
        <v>0</v>
      </c>
      <c r="Q418" s="211"/>
      <c r="R418" s="211"/>
      <c r="S418" s="109">
        <f t="shared" si="244"/>
        <v>0</v>
      </c>
      <c r="T418" s="224">
        <v>923318</v>
      </c>
      <c r="U418" s="224"/>
    </row>
    <row r="419" spans="1:24" s="225" customFormat="1" ht="25.5">
      <c r="A419" s="222"/>
      <c r="B419" s="222"/>
      <c r="C419" s="222"/>
      <c r="D419" s="222"/>
      <c r="E419" s="219"/>
      <c r="F419" s="220" t="s">
        <v>932</v>
      </c>
      <c r="G419" s="211"/>
      <c r="H419" s="211"/>
      <c r="I419" s="211"/>
      <c r="J419" s="109">
        <f t="shared" si="213"/>
        <v>0</v>
      </c>
      <c r="K419" s="211"/>
      <c r="L419" s="211"/>
      <c r="M419" s="109">
        <f t="shared" si="242"/>
        <v>0</v>
      </c>
      <c r="N419" s="211"/>
      <c r="O419" s="211"/>
      <c r="P419" s="109">
        <f t="shared" si="243"/>
        <v>0</v>
      </c>
      <c r="Q419" s="211">
        <v>6771</v>
      </c>
      <c r="R419" s="211"/>
      <c r="S419" s="109">
        <f t="shared" si="244"/>
        <v>6771</v>
      </c>
      <c r="T419" s="224">
        <v>189609</v>
      </c>
      <c r="U419" s="224"/>
    </row>
    <row r="420" spans="1:24" s="225" customFormat="1" ht="25.5">
      <c r="A420" s="222"/>
      <c r="B420" s="222"/>
      <c r="C420" s="222"/>
      <c r="D420" s="222"/>
      <c r="E420" s="219"/>
      <c r="F420" s="220" t="s">
        <v>931</v>
      </c>
      <c r="G420" s="211"/>
      <c r="H420" s="211"/>
      <c r="I420" s="211"/>
      <c r="J420" s="109">
        <f t="shared" si="213"/>
        <v>0</v>
      </c>
      <c r="K420" s="211"/>
      <c r="L420" s="211"/>
      <c r="M420" s="109">
        <f t="shared" si="242"/>
        <v>0</v>
      </c>
      <c r="N420" s="211">
        <v>17790</v>
      </c>
      <c r="O420" s="211"/>
      <c r="P420" s="109">
        <f t="shared" si="243"/>
        <v>17790</v>
      </c>
      <c r="Q420" s="211"/>
      <c r="R420" s="211"/>
      <c r="S420" s="109">
        <f t="shared" si="244"/>
        <v>17790</v>
      </c>
      <c r="T420" s="224">
        <v>498094</v>
      </c>
      <c r="U420" s="224"/>
    </row>
    <row r="421" spans="1:24" s="225" customFormat="1" ht="38.25">
      <c r="A421" s="222"/>
      <c r="B421" s="222"/>
      <c r="C421" s="222"/>
      <c r="D421" s="222"/>
      <c r="E421" s="219"/>
      <c r="F421" s="275" t="s">
        <v>936</v>
      </c>
      <c r="G421" s="211">
        <v>242213</v>
      </c>
      <c r="H421" s="211"/>
      <c r="I421" s="211"/>
      <c r="J421" s="109">
        <f t="shared" si="213"/>
        <v>242213</v>
      </c>
      <c r="K421" s="211"/>
      <c r="L421" s="211"/>
      <c r="M421" s="109">
        <f t="shared" si="242"/>
        <v>242213</v>
      </c>
      <c r="N421" s="211"/>
      <c r="O421" s="211"/>
      <c r="P421" s="109">
        <f t="shared" si="243"/>
        <v>242213</v>
      </c>
      <c r="Q421" s="211"/>
      <c r="R421" s="211"/>
      <c r="S421" s="109">
        <f t="shared" si="244"/>
        <v>242213</v>
      </c>
      <c r="T421" s="224"/>
      <c r="U421" s="224"/>
    </row>
    <row r="422" spans="1:24" s="225" customFormat="1" ht="25.5">
      <c r="A422" s="222"/>
      <c r="B422" s="222"/>
      <c r="C422" s="222"/>
      <c r="D422" s="222"/>
      <c r="E422" s="219"/>
      <c r="F422" s="220" t="s">
        <v>937</v>
      </c>
      <c r="G422" s="211">
        <v>300000</v>
      </c>
      <c r="H422" s="211"/>
      <c r="I422" s="211"/>
      <c r="J422" s="109">
        <f t="shared" si="213"/>
        <v>300000</v>
      </c>
      <c r="K422" s="211">
        <v>200000</v>
      </c>
      <c r="L422" s="211"/>
      <c r="M422" s="109">
        <f t="shared" si="242"/>
        <v>500000</v>
      </c>
      <c r="N422" s="211"/>
      <c r="O422" s="211"/>
      <c r="P422" s="109">
        <f t="shared" si="243"/>
        <v>500000</v>
      </c>
      <c r="Q422" s="211">
        <v>100000</v>
      </c>
      <c r="R422" s="211"/>
      <c r="S422" s="109">
        <f t="shared" si="244"/>
        <v>600000</v>
      </c>
      <c r="T422" s="224">
        <v>1497513</v>
      </c>
      <c r="U422" s="224"/>
    </row>
    <row r="423" spans="1:24" s="225" customFormat="1" ht="25.5">
      <c r="A423" s="222"/>
      <c r="B423" s="222"/>
      <c r="C423" s="222"/>
      <c r="D423" s="222"/>
      <c r="E423" s="219"/>
      <c r="F423" s="220" t="s">
        <v>938</v>
      </c>
      <c r="G423" s="211"/>
      <c r="H423" s="211"/>
      <c r="I423" s="211"/>
      <c r="J423" s="109">
        <f t="shared" si="213"/>
        <v>0</v>
      </c>
      <c r="K423" s="211"/>
      <c r="L423" s="211"/>
      <c r="M423" s="109">
        <f t="shared" si="242"/>
        <v>0</v>
      </c>
      <c r="N423" s="211"/>
      <c r="O423" s="211"/>
      <c r="P423" s="109">
        <f t="shared" si="243"/>
        <v>0</v>
      </c>
      <c r="Q423" s="211"/>
      <c r="R423" s="211"/>
      <c r="S423" s="109">
        <f t="shared" si="244"/>
        <v>0</v>
      </c>
      <c r="T423" s="224">
        <v>1200000</v>
      </c>
      <c r="U423" s="224">
        <v>1000000</v>
      </c>
    </row>
    <row r="424" spans="1:24" s="225" customFormat="1" ht="27" customHeight="1">
      <c r="A424" s="222"/>
      <c r="B424" s="222"/>
      <c r="C424" s="222"/>
      <c r="D424" s="222"/>
      <c r="E424" s="219"/>
      <c r="F424" s="220" t="s">
        <v>939</v>
      </c>
      <c r="G424" s="211"/>
      <c r="H424" s="211"/>
      <c r="I424" s="211"/>
      <c r="J424" s="109">
        <f t="shared" si="213"/>
        <v>0</v>
      </c>
      <c r="K424" s="211"/>
      <c r="L424" s="211"/>
      <c r="M424" s="109">
        <f t="shared" si="242"/>
        <v>0</v>
      </c>
      <c r="N424" s="211"/>
      <c r="O424" s="211"/>
      <c r="P424" s="109">
        <f t="shared" si="243"/>
        <v>0</v>
      </c>
      <c r="Q424" s="211"/>
      <c r="R424" s="211"/>
      <c r="S424" s="109">
        <f t="shared" si="244"/>
        <v>0</v>
      </c>
      <c r="T424" s="224">
        <v>400000</v>
      </c>
      <c r="U424" s="224">
        <v>150000</v>
      </c>
    </row>
    <row r="425" spans="1:24" s="225" customFormat="1">
      <c r="A425" s="222"/>
      <c r="B425" s="222"/>
      <c r="C425" s="222"/>
      <c r="D425" s="222"/>
      <c r="E425" s="219"/>
      <c r="F425" s="220" t="s">
        <v>940</v>
      </c>
      <c r="G425" s="211"/>
      <c r="H425" s="211"/>
      <c r="I425" s="211"/>
      <c r="J425" s="109">
        <f t="shared" si="213"/>
        <v>0</v>
      </c>
      <c r="K425" s="211"/>
      <c r="L425" s="211"/>
      <c r="M425" s="109">
        <f t="shared" si="242"/>
        <v>0</v>
      </c>
      <c r="N425" s="211"/>
      <c r="O425" s="211"/>
      <c r="P425" s="109">
        <f t="shared" si="243"/>
        <v>0</v>
      </c>
      <c r="Q425" s="211"/>
      <c r="R425" s="211"/>
      <c r="S425" s="109">
        <f t="shared" si="244"/>
        <v>0</v>
      </c>
      <c r="T425" s="224">
        <v>500000</v>
      </c>
      <c r="U425" s="224">
        <v>2000000</v>
      </c>
    </row>
    <row r="426" spans="1:24" s="225" customFormat="1">
      <c r="A426" s="222"/>
      <c r="B426" s="222"/>
      <c r="C426" s="222"/>
      <c r="D426" s="222"/>
      <c r="E426" s="219"/>
      <c r="F426" s="220" t="s">
        <v>941</v>
      </c>
      <c r="G426" s="211"/>
      <c r="H426" s="211"/>
      <c r="I426" s="211"/>
      <c r="J426" s="109">
        <f t="shared" si="213"/>
        <v>0</v>
      </c>
      <c r="K426" s="211"/>
      <c r="L426" s="211"/>
      <c r="M426" s="109">
        <f t="shared" si="242"/>
        <v>0</v>
      </c>
      <c r="N426" s="211"/>
      <c r="O426" s="211"/>
      <c r="P426" s="109">
        <f t="shared" si="243"/>
        <v>0</v>
      </c>
      <c r="Q426" s="211"/>
      <c r="R426" s="211"/>
      <c r="S426" s="109">
        <f t="shared" si="244"/>
        <v>0</v>
      </c>
      <c r="T426" s="224">
        <v>500000</v>
      </c>
      <c r="U426" s="224">
        <v>2000000</v>
      </c>
    </row>
    <row r="427" spans="1:24" s="225" customFormat="1">
      <c r="A427" s="222"/>
      <c r="B427" s="222"/>
      <c r="C427" s="222"/>
      <c r="D427" s="222"/>
      <c r="E427" s="219"/>
      <c r="F427" s="220" t="s">
        <v>942</v>
      </c>
      <c r="G427" s="211"/>
      <c r="H427" s="211"/>
      <c r="I427" s="211"/>
      <c r="J427" s="109">
        <f t="shared" si="213"/>
        <v>0</v>
      </c>
      <c r="K427" s="211"/>
      <c r="L427" s="211"/>
      <c r="M427" s="109">
        <f t="shared" si="242"/>
        <v>0</v>
      </c>
      <c r="N427" s="211"/>
      <c r="O427" s="211"/>
      <c r="P427" s="109">
        <f t="shared" si="243"/>
        <v>0</v>
      </c>
      <c r="Q427" s="211"/>
      <c r="R427" s="211"/>
      <c r="S427" s="109">
        <f t="shared" si="244"/>
        <v>0</v>
      </c>
      <c r="T427" s="224">
        <v>500000</v>
      </c>
      <c r="U427" s="224">
        <v>2000000</v>
      </c>
    </row>
    <row r="428" spans="1:24">
      <c r="A428" s="218"/>
      <c r="B428" s="218">
        <v>3</v>
      </c>
      <c r="C428" s="218"/>
      <c r="D428" s="218"/>
      <c r="E428" s="219"/>
      <c r="F428" s="220" t="s">
        <v>90</v>
      </c>
      <c r="G428" s="221"/>
      <c r="H428" s="221"/>
      <c r="I428" s="221"/>
      <c r="J428" s="109"/>
      <c r="K428" s="221">
        <f t="shared" ref="K428:K430" si="245">K429</f>
        <v>300000</v>
      </c>
      <c r="L428" s="221"/>
      <c r="M428" s="221">
        <f t="shared" ref="M428:T430" si="246">M429</f>
        <v>300000</v>
      </c>
      <c r="N428" s="221">
        <f t="shared" si="246"/>
        <v>0</v>
      </c>
      <c r="O428" s="221"/>
      <c r="P428" s="221">
        <f t="shared" si="246"/>
        <v>300000</v>
      </c>
      <c r="Q428" s="221">
        <f t="shared" si="246"/>
        <v>0</v>
      </c>
      <c r="R428" s="221"/>
      <c r="S428" s="221">
        <f t="shared" si="246"/>
        <v>300000</v>
      </c>
      <c r="T428" s="221">
        <f t="shared" si="246"/>
        <v>1505425</v>
      </c>
      <c r="U428" s="221"/>
    </row>
    <row r="429" spans="1:24" ht="25.5">
      <c r="A429" s="218"/>
      <c r="B429" s="218"/>
      <c r="C429" s="218">
        <v>309</v>
      </c>
      <c r="D429" s="218"/>
      <c r="E429" s="219"/>
      <c r="F429" s="220" t="s">
        <v>468</v>
      </c>
      <c r="G429" s="221"/>
      <c r="H429" s="221"/>
      <c r="I429" s="221"/>
      <c r="J429" s="109"/>
      <c r="K429" s="221">
        <f t="shared" si="245"/>
        <v>300000</v>
      </c>
      <c r="L429" s="221"/>
      <c r="M429" s="221">
        <f t="shared" si="246"/>
        <v>300000</v>
      </c>
      <c r="N429" s="221">
        <f t="shared" si="246"/>
        <v>0</v>
      </c>
      <c r="O429" s="221"/>
      <c r="P429" s="221">
        <f t="shared" si="246"/>
        <v>300000</v>
      </c>
      <c r="Q429" s="221">
        <f t="shared" si="246"/>
        <v>0</v>
      </c>
      <c r="R429" s="221"/>
      <c r="S429" s="221">
        <f t="shared" si="246"/>
        <v>300000</v>
      </c>
      <c r="T429" s="221">
        <f t="shared" si="246"/>
        <v>1505425</v>
      </c>
      <c r="U429" s="221"/>
    </row>
    <row r="430" spans="1:24" s="225" customFormat="1" ht="25.5">
      <c r="A430" s="222"/>
      <c r="B430" s="222"/>
      <c r="C430" s="222"/>
      <c r="D430" s="219" t="s">
        <v>216</v>
      </c>
      <c r="E430" s="219"/>
      <c r="F430" s="220" t="s">
        <v>542</v>
      </c>
      <c r="G430" s="224"/>
      <c r="H430" s="224"/>
      <c r="I430" s="224"/>
      <c r="J430" s="109"/>
      <c r="K430" s="224">
        <f t="shared" si="245"/>
        <v>300000</v>
      </c>
      <c r="L430" s="224"/>
      <c r="M430" s="224">
        <f t="shared" si="246"/>
        <v>300000</v>
      </c>
      <c r="N430" s="224">
        <f t="shared" si="246"/>
        <v>0</v>
      </c>
      <c r="O430" s="224"/>
      <c r="P430" s="224">
        <f t="shared" si="246"/>
        <v>300000</v>
      </c>
      <c r="Q430" s="224">
        <f t="shared" si="246"/>
        <v>0</v>
      </c>
      <c r="R430" s="224"/>
      <c r="S430" s="224">
        <f t="shared" si="246"/>
        <v>300000</v>
      </c>
      <c r="T430" s="224">
        <f t="shared" si="246"/>
        <v>1505425</v>
      </c>
      <c r="U430" s="224"/>
    </row>
    <row r="431" spans="1:24" s="225" customFormat="1">
      <c r="A431" s="222"/>
      <c r="B431" s="222"/>
      <c r="C431" s="222"/>
      <c r="D431" s="222"/>
      <c r="E431" s="219" t="s">
        <v>113</v>
      </c>
      <c r="F431" s="220" t="s">
        <v>8</v>
      </c>
      <c r="G431" s="224"/>
      <c r="H431" s="224"/>
      <c r="I431" s="224"/>
      <c r="J431" s="109"/>
      <c r="K431" s="224">
        <f t="shared" ref="K431" si="247">SUM(K432:K433)</f>
        <v>300000</v>
      </c>
      <c r="L431" s="224"/>
      <c r="M431" s="224">
        <f t="shared" ref="M431:T431" si="248">SUM(M432:M433)</f>
        <v>300000</v>
      </c>
      <c r="N431" s="224">
        <f t="shared" si="248"/>
        <v>0</v>
      </c>
      <c r="O431" s="224"/>
      <c r="P431" s="224">
        <f t="shared" ref="P431:Q431" si="249">SUM(P432:P433)</f>
        <v>300000</v>
      </c>
      <c r="Q431" s="224">
        <f t="shared" si="249"/>
        <v>0</v>
      </c>
      <c r="R431" s="224"/>
      <c r="S431" s="224">
        <f t="shared" ref="S431" si="250">SUM(S432:S433)</f>
        <v>300000</v>
      </c>
      <c r="T431" s="224">
        <f t="shared" si="248"/>
        <v>1505425</v>
      </c>
      <c r="U431" s="224"/>
      <c r="V431" s="242"/>
      <c r="W431" s="242"/>
      <c r="X431" s="242"/>
    </row>
    <row r="432" spans="1:24" s="225" customFormat="1">
      <c r="A432" s="222"/>
      <c r="B432" s="222"/>
      <c r="C432" s="222"/>
      <c r="D432" s="222"/>
      <c r="E432" s="219"/>
      <c r="F432" s="220" t="s">
        <v>943</v>
      </c>
      <c r="G432" s="211"/>
      <c r="H432" s="211"/>
      <c r="I432" s="211"/>
      <c r="J432" s="109"/>
      <c r="K432" s="211">
        <v>300000</v>
      </c>
      <c r="L432" s="211"/>
      <c r="M432" s="109">
        <f t="shared" si="242"/>
        <v>300000</v>
      </c>
      <c r="N432" s="211"/>
      <c r="O432" s="211"/>
      <c r="P432" s="109">
        <f t="shared" ref="P432" si="251">M432+N432-O432</f>
        <v>300000</v>
      </c>
      <c r="Q432" s="211"/>
      <c r="R432" s="211"/>
      <c r="S432" s="109">
        <f t="shared" ref="S432" si="252">P432+Q432-R432</f>
        <v>300000</v>
      </c>
      <c r="T432" s="224">
        <v>1472476</v>
      </c>
      <c r="U432" s="224"/>
      <c r="V432" s="242"/>
      <c r="W432" s="242"/>
      <c r="X432" s="242"/>
    </row>
    <row r="433" spans="1:24" s="225" customFormat="1" ht="25.5">
      <c r="A433" s="222"/>
      <c r="B433" s="222"/>
      <c r="C433" s="222"/>
      <c r="D433" s="222"/>
      <c r="E433" s="219"/>
      <c r="F433" s="275" t="s">
        <v>944</v>
      </c>
      <c r="G433" s="211"/>
      <c r="H433" s="211"/>
      <c r="I433" s="211"/>
      <c r="J433" s="109"/>
      <c r="K433" s="211"/>
      <c r="L433" s="211"/>
      <c r="M433" s="109"/>
      <c r="N433" s="211"/>
      <c r="O433" s="211"/>
      <c r="P433" s="109"/>
      <c r="Q433" s="211"/>
      <c r="R433" s="211"/>
      <c r="S433" s="109"/>
      <c r="T433" s="224">
        <v>32949</v>
      </c>
      <c r="U433" s="224"/>
      <c r="V433" s="242"/>
      <c r="W433" s="242"/>
      <c r="X433" s="242"/>
    </row>
    <row r="434" spans="1:24" ht="14.25" customHeight="1">
      <c r="B434" s="42" t="s">
        <v>36</v>
      </c>
      <c r="C434" s="42"/>
      <c r="D434" s="42"/>
      <c r="E434" s="11"/>
      <c r="F434" s="1" t="s">
        <v>120</v>
      </c>
      <c r="J434" s="192">
        <f>J435</f>
        <v>0</v>
      </c>
      <c r="K434" s="109">
        <f t="shared" ref="K434:U437" si="253">K435</f>
        <v>1387552</v>
      </c>
      <c r="L434" s="192">
        <f t="shared" si="253"/>
        <v>0</v>
      </c>
      <c r="M434" s="109">
        <f t="shared" si="253"/>
        <v>1387552</v>
      </c>
      <c r="N434" s="109">
        <f t="shared" si="253"/>
        <v>0</v>
      </c>
      <c r="O434" s="192">
        <f t="shared" si="253"/>
        <v>0</v>
      </c>
      <c r="P434" s="109">
        <f t="shared" si="253"/>
        <v>1387552</v>
      </c>
      <c r="Q434" s="109">
        <f t="shared" si="253"/>
        <v>0</v>
      </c>
      <c r="R434" s="192">
        <f t="shared" si="253"/>
        <v>0</v>
      </c>
      <c r="S434" s="109">
        <f t="shared" si="253"/>
        <v>1387552</v>
      </c>
      <c r="T434" s="192">
        <f t="shared" si="253"/>
        <v>0</v>
      </c>
      <c r="U434" s="192">
        <f t="shared" si="253"/>
        <v>0</v>
      </c>
    </row>
    <row r="435" spans="1:24" ht="14.25" customHeight="1">
      <c r="C435" s="283">
        <v>373</v>
      </c>
      <c r="D435" s="283"/>
      <c r="E435" s="219"/>
      <c r="F435" s="220" t="s">
        <v>288</v>
      </c>
      <c r="J435" s="192">
        <f>J436</f>
        <v>0</v>
      </c>
      <c r="K435" s="109">
        <f t="shared" si="253"/>
        <v>1387552</v>
      </c>
      <c r="L435" s="192">
        <f t="shared" si="253"/>
        <v>0</v>
      </c>
      <c r="M435" s="109">
        <f t="shared" si="253"/>
        <v>1387552</v>
      </c>
      <c r="N435" s="109">
        <f t="shared" si="253"/>
        <v>0</v>
      </c>
      <c r="O435" s="192">
        <f t="shared" si="253"/>
        <v>0</v>
      </c>
      <c r="P435" s="109">
        <f t="shared" si="253"/>
        <v>1387552</v>
      </c>
      <c r="Q435" s="109">
        <f t="shared" si="253"/>
        <v>0</v>
      </c>
      <c r="R435" s="192">
        <f t="shared" si="253"/>
        <v>0</v>
      </c>
      <c r="S435" s="109">
        <f t="shared" si="253"/>
        <v>1387552</v>
      </c>
      <c r="T435" s="192">
        <f t="shared" si="253"/>
        <v>0</v>
      </c>
      <c r="U435" s="192">
        <f t="shared" si="253"/>
        <v>0</v>
      </c>
    </row>
    <row r="436" spans="1:24" ht="14.25" customHeight="1">
      <c r="C436" s="42"/>
      <c r="D436" s="42" t="s">
        <v>367</v>
      </c>
      <c r="E436" s="11"/>
      <c r="F436" s="1" t="s">
        <v>368</v>
      </c>
      <c r="J436" s="192">
        <f>J437</f>
        <v>0</v>
      </c>
      <c r="K436" s="109">
        <f t="shared" si="253"/>
        <v>1387552</v>
      </c>
      <c r="L436" s="192">
        <f t="shared" si="253"/>
        <v>0</v>
      </c>
      <c r="M436" s="109">
        <f t="shared" si="253"/>
        <v>1387552</v>
      </c>
      <c r="N436" s="109">
        <f t="shared" si="253"/>
        <v>0</v>
      </c>
      <c r="O436" s="192">
        <f t="shared" si="253"/>
        <v>0</v>
      </c>
      <c r="P436" s="109">
        <f t="shared" si="253"/>
        <v>1387552</v>
      </c>
      <c r="Q436" s="109">
        <f t="shared" si="253"/>
        <v>0</v>
      </c>
      <c r="R436" s="192">
        <f t="shared" si="253"/>
        <v>0</v>
      </c>
      <c r="S436" s="109">
        <f t="shared" si="253"/>
        <v>1387552</v>
      </c>
      <c r="T436" s="192">
        <f t="shared" si="253"/>
        <v>0</v>
      </c>
      <c r="U436" s="192">
        <f t="shared" si="253"/>
        <v>0</v>
      </c>
    </row>
    <row r="437" spans="1:24" ht="14.25" customHeight="1">
      <c r="E437" s="235" t="s">
        <v>113</v>
      </c>
      <c r="F437" s="188" t="s">
        <v>8</v>
      </c>
      <c r="J437" s="192">
        <f>J438</f>
        <v>0</v>
      </c>
      <c r="K437" s="109">
        <f t="shared" si="253"/>
        <v>1387552</v>
      </c>
      <c r="L437" s="192">
        <f t="shared" si="253"/>
        <v>0</v>
      </c>
      <c r="M437" s="109">
        <f t="shared" si="253"/>
        <v>1387552</v>
      </c>
      <c r="N437" s="109">
        <f t="shared" si="253"/>
        <v>0</v>
      </c>
      <c r="O437" s="192">
        <f t="shared" si="253"/>
        <v>0</v>
      </c>
      <c r="P437" s="109">
        <f t="shared" si="253"/>
        <v>1387552</v>
      </c>
      <c r="Q437" s="109">
        <f t="shared" si="253"/>
        <v>0</v>
      </c>
      <c r="R437" s="192">
        <f t="shared" si="253"/>
        <v>0</v>
      </c>
      <c r="S437" s="109">
        <f t="shared" si="253"/>
        <v>1387552</v>
      </c>
      <c r="T437" s="192">
        <f t="shared" si="253"/>
        <v>0</v>
      </c>
      <c r="U437" s="192">
        <f t="shared" si="253"/>
        <v>0</v>
      </c>
    </row>
    <row r="438" spans="1:24" ht="31.5" customHeight="1">
      <c r="F438" s="284" t="s">
        <v>945</v>
      </c>
      <c r="J438" s="192"/>
      <c r="K438" s="109">
        <v>1387552</v>
      </c>
      <c r="L438" s="192"/>
      <c r="M438" s="109">
        <f t="shared" ref="M438" si="254">J438+K438-L438</f>
        <v>1387552</v>
      </c>
      <c r="N438" s="109"/>
      <c r="O438" s="192"/>
      <c r="P438" s="109">
        <f t="shared" ref="P438" si="255">M438+N438-O438</f>
        <v>1387552</v>
      </c>
      <c r="Q438" s="109"/>
      <c r="R438" s="192"/>
      <c r="S438" s="109">
        <f t="shared" ref="S438" si="256">P438+Q438-R438</f>
        <v>1387552</v>
      </c>
      <c r="T438" s="192"/>
      <c r="U438" s="192"/>
    </row>
  </sheetData>
  <mergeCells count="13">
    <mergeCell ref="U15:U16"/>
    <mergeCell ref="E16:F16"/>
    <mergeCell ref="A17:E17"/>
    <mergeCell ref="A10:U10"/>
    <mergeCell ref="A12:E12"/>
    <mergeCell ref="G12:U14"/>
    <mergeCell ref="C14:F14"/>
    <mergeCell ref="G15:G16"/>
    <mergeCell ref="J15:J16"/>
    <mergeCell ref="M15:M16"/>
    <mergeCell ref="P15:P16"/>
    <mergeCell ref="S15:S16"/>
    <mergeCell ref="T15:T16"/>
  </mergeCells>
  <pageMargins left="0.78740157480314965" right="0.78740157480314965" top="0.78740157480314965" bottom="0.78740157480314965" header="0.39370078740157483" footer="0.39370078740157483"/>
  <pageSetup paperSize="9" firstPageNumber="23" orientation="landscape" useFirstPageNumber="1" r:id="rId1"/>
  <headerFooter>
    <oddHeader>&amp;C&amp;"Times New Roman,обычный"&amp;P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9:J109"/>
  <sheetViews>
    <sheetView view="pageBreakPreview" zoomScale="90" zoomScaleSheetLayoutView="90" workbookViewId="0">
      <selection activeCell="A11" sqref="A11:I11"/>
    </sheetView>
  </sheetViews>
  <sheetFormatPr defaultRowHeight="12.75"/>
  <cols>
    <col min="1" max="2" width="3.28515625" style="143" customWidth="1"/>
    <col min="3" max="3" width="4" style="143" customWidth="1"/>
    <col min="4" max="4" width="3.85546875" style="144" customWidth="1"/>
    <col min="5" max="5" width="3.28515625" style="144" customWidth="1"/>
    <col min="6" max="6" width="38.7109375" style="145" customWidth="1"/>
    <col min="7" max="9" width="9.7109375" style="145" customWidth="1"/>
    <col min="10" max="16384" width="9.140625" style="145"/>
  </cols>
  <sheetData>
    <row r="9" spans="1:9" ht="12.75" customHeight="1"/>
    <row r="10" spans="1:9">
      <c r="G10" s="159"/>
      <c r="H10" s="159"/>
      <c r="I10" s="159"/>
    </row>
    <row r="11" spans="1:9" s="146" customFormat="1" ht="12.75" customHeight="1">
      <c r="A11" s="372" t="s">
        <v>597</v>
      </c>
      <c r="B11" s="372"/>
      <c r="C11" s="372"/>
      <c r="D11" s="372"/>
      <c r="E11" s="372"/>
      <c r="F11" s="372"/>
      <c r="G11" s="372"/>
      <c r="H11" s="372"/>
      <c r="I11" s="372"/>
    </row>
    <row r="12" spans="1:9" ht="5.25" customHeight="1">
      <c r="G12" s="147"/>
      <c r="H12" s="147"/>
      <c r="I12" s="147"/>
    </row>
    <row r="13" spans="1:9" ht="12.75" customHeight="1">
      <c r="A13" s="373" t="s">
        <v>557</v>
      </c>
      <c r="B13" s="374"/>
      <c r="C13" s="374"/>
      <c r="D13" s="374"/>
      <c r="E13" s="148"/>
      <c r="F13" s="149" t="s">
        <v>26</v>
      </c>
      <c r="G13" s="375" t="s">
        <v>558</v>
      </c>
      <c r="H13" s="375" t="s">
        <v>559</v>
      </c>
      <c r="I13" s="375" t="s">
        <v>593</v>
      </c>
    </row>
    <row r="14" spans="1:9">
      <c r="A14" s="150"/>
      <c r="B14" s="378" t="s">
        <v>560</v>
      </c>
      <c r="C14" s="378"/>
      <c r="D14" s="378"/>
      <c r="E14" s="378"/>
      <c r="F14" s="379"/>
      <c r="G14" s="376"/>
      <c r="H14" s="376"/>
      <c r="I14" s="376"/>
    </row>
    <row r="15" spans="1:9">
      <c r="A15" s="150"/>
      <c r="B15" s="151"/>
      <c r="C15" s="378" t="s">
        <v>28</v>
      </c>
      <c r="D15" s="378"/>
      <c r="E15" s="378"/>
      <c r="F15" s="379"/>
      <c r="G15" s="376"/>
      <c r="H15" s="376"/>
      <c r="I15" s="376"/>
    </row>
    <row r="16" spans="1:9">
      <c r="A16" s="150"/>
      <c r="B16" s="151"/>
      <c r="C16" s="151"/>
      <c r="D16" s="380" t="s">
        <v>29</v>
      </c>
      <c r="E16" s="380"/>
      <c r="F16" s="381"/>
      <c r="G16" s="377"/>
      <c r="H16" s="377"/>
      <c r="I16" s="377"/>
    </row>
    <row r="17" spans="1:10" s="154" customFormat="1" ht="12">
      <c r="A17" s="369">
        <v>1</v>
      </c>
      <c r="B17" s="370"/>
      <c r="C17" s="370"/>
      <c r="D17" s="370"/>
      <c r="E17" s="371"/>
      <c r="F17" s="152">
        <v>2</v>
      </c>
      <c r="G17" s="153">
        <v>3</v>
      </c>
      <c r="H17" s="153">
        <v>4</v>
      </c>
      <c r="I17" s="153">
        <v>5</v>
      </c>
    </row>
    <row r="18" spans="1:10" s="143" customFormat="1">
      <c r="D18" s="144"/>
      <c r="E18" s="144"/>
      <c r="F18" s="155" t="s">
        <v>561</v>
      </c>
      <c r="G18" s="147">
        <f>G19+G44+G74+G94+G84</f>
        <v>43272912</v>
      </c>
      <c r="H18" s="147">
        <f>H19+H44+H74+H94</f>
        <v>35815633</v>
      </c>
      <c r="I18" s="147">
        <f>I19+I44+I74+I94</f>
        <v>35184299</v>
      </c>
    </row>
    <row r="19" spans="1:10" s="143" customFormat="1">
      <c r="A19" s="156" t="s">
        <v>44</v>
      </c>
      <c r="B19" s="156" t="s">
        <v>382</v>
      </c>
      <c r="C19" s="156" t="s">
        <v>382</v>
      </c>
      <c r="D19" s="144" t="s">
        <v>382</v>
      </c>
      <c r="E19" s="144"/>
      <c r="F19" s="155" t="s">
        <v>46</v>
      </c>
      <c r="G19" s="147">
        <f>G20</f>
        <v>2680597</v>
      </c>
      <c r="H19" s="147">
        <f>H20</f>
        <v>2354876</v>
      </c>
      <c r="I19" s="147">
        <f t="shared" ref="I19:I20" si="0">I20</f>
        <v>2380054</v>
      </c>
    </row>
    <row r="20" spans="1:10" ht="38.25">
      <c r="A20" s="156" t="s">
        <v>382</v>
      </c>
      <c r="B20" s="156" t="s">
        <v>31</v>
      </c>
      <c r="C20" s="156" t="s">
        <v>382</v>
      </c>
      <c r="D20" s="144" t="s">
        <v>382</v>
      </c>
      <c r="F20" s="155" t="s">
        <v>562</v>
      </c>
      <c r="G20" s="147">
        <f>G21</f>
        <v>2680597</v>
      </c>
      <c r="H20" s="147">
        <f>H21</f>
        <v>2354876</v>
      </c>
      <c r="I20" s="147">
        <f t="shared" si="0"/>
        <v>2380054</v>
      </c>
    </row>
    <row r="21" spans="1:10">
      <c r="A21" s="156" t="s">
        <v>382</v>
      </c>
      <c r="B21" s="156" t="s">
        <v>382</v>
      </c>
      <c r="C21" s="156" t="s">
        <v>175</v>
      </c>
      <c r="D21" s="144" t="s">
        <v>382</v>
      </c>
      <c r="F21" s="29" t="s">
        <v>429</v>
      </c>
      <c r="G21" s="147">
        <f>G22+G29+G36</f>
        <v>2680597</v>
      </c>
      <c r="H21" s="147">
        <f>H22+H29</f>
        <v>2354876</v>
      </c>
      <c r="I21" s="147">
        <f>I22+I29</f>
        <v>2380054</v>
      </c>
    </row>
    <row r="22" spans="1:10" ht="25.5">
      <c r="A22" s="156" t="s">
        <v>382</v>
      </c>
      <c r="B22" s="156" t="s">
        <v>382</v>
      </c>
      <c r="C22" s="156" t="s">
        <v>382</v>
      </c>
      <c r="D22" s="144" t="s">
        <v>48</v>
      </c>
      <c r="F22" s="29" t="s">
        <v>434</v>
      </c>
      <c r="G22" s="172">
        <f>G23</f>
        <v>2618849</v>
      </c>
      <c r="H22" s="157">
        <f t="shared" ref="H22:I22" si="1">H23</f>
        <v>2354876</v>
      </c>
      <c r="I22" s="157">
        <f t="shared" si="1"/>
        <v>2380054</v>
      </c>
    </row>
    <row r="23" spans="1:10">
      <c r="A23" s="156"/>
      <c r="B23" s="156"/>
      <c r="C23" s="156"/>
      <c r="E23" s="30" t="s">
        <v>113</v>
      </c>
      <c r="F23" s="29" t="s">
        <v>8</v>
      </c>
      <c r="G23" s="171">
        <f>SUM(G24:G28)</f>
        <v>2618849</v>
      </c>
      <c r="H23" s="147">
        <f>SUM(H24:H28)</f>
        <v>2354876</v>
      </c>
      <c r="I23" s="147">
        <f t="shared" ref="I23" si="2">SUM(I24:I28)</f>
        <v>2380054</v>
      </c>
    </row>
    <row r="24" spans="1:10">
      <c r="A24" s="156"/>
      <c r="B24" s="156"/>
      <c r="C24" s="156"/>
      <c r="F24" s="158" t="s">
        <v>563</v>
      </c>
      <c r="G24" s="172">
        <f>393944+4908+11123+22023+17214+16710-4516</f>
        <v>461406</v>
      </c>
      <c r="H24" s="157">
        <v>415232</v>
      </c>
      <c r="I24" s="157">
        <v>420137</v>
      </c>
      <c r="J24" s="159"/>
    </row>
    <row r="25" spans="1:10">
      <c r="A25" s="156"/>
      <c r="B25" s="156"/>
      <c r="C25" s="156"/>
      <c r="F25" s="158" t="s">
        <v>564</v>
      </c>
      <c r="G25" s="172">
        <f>487850+515+72182+10881-10736+2390</f>
        <v>563082</v>
      </c>
      <c r="H25" s="157">
        <v>497359</v>
      </c>
      <c r="I25" s="157">
        <v>501778</v>
      </c>
      <c r="J25" s="159"/>
    </row>
    <row r="26" spans="1:10">
      <c r="A26" s="156" t="s">
        <v>382</v>
      </c>
      <c r="B26" s="156" t="s">
        <v>382</v>
      </c>
      <c r="C26" s="156" t="s">
        <v>382</v>
      </c>
      <c r="D26" s="144" t="s">
        <v>382</v>
      </c>
      <c r="F26" s="158" t="s">
        <v>565</v>
      </c>
      <c r="G26" s="172">
        <f>473726+20958+515+27293+5242-4192+1489</f>
        <v>525031</v>
      </c>
      <c r="H26" s="157">
        <v>483316</v>
      </c>
      <c r="I26" s="157">
        <v>487720</v>
      </c>
      <c r="J26" s="159"/>
    </row>
    <row r="27" spans="1:10">
      <c r="A27" s="156" t="s">
        <v>382</v>
      </c>
      <c r="B27" s="156" t="s">
        <v>382</v>
      </c>
      <c r="C27" s="156" t="s">
        <v>382</v>
      </c>
      <c r="D27" s="144" t="s">
        <v>382</v>
      </c>
      <c r="F27" s="145" t="s">
        <v>566</v>
      </c>
      <c r="G27" s="172">
        <f>493065+7630+27815-5054</f>
        <v>523456</v>
      </c>
      <c r="H27" s="157">
        <v>505120</v>
      </c>
      <c r="I27" s="157">
        <v>513047</v>
      </c>
      <c r="J27" s="159"/>
    </row>
    <row r="28" spans="1:10">
      <c r="A28" s="156"/>
      <c r="B28" s="156"/>
      <c r="C28" s="156"/>
      <c r="F28" s="145" t="s">
        <v>567</v>
      </c>
      <c r="G28" s="172">
        <f>442927+63374+515+35251-4193+8000</f>
        <v>545874</v>
      </c>
      <c r="H28" s="157">
        <v>453849</v>
      </c>
      <c r="I28" s="157">
        <v>457372</v>
      </c>
    </row>
    <row r="29" spans="1:10" ht="25.5">
      <c r="A29" s="156" t="s">
        <v>382</v>
      </c>
      <c r="B29" s="156" t="s">
        <v>382</v>
      </c>
      <c r="C29" s="156" t="s">
        <v>382</v>
      </c>
      <c r="D29" s="144" t="s">
        <v>114</v>
      </c>
      <c r="F29" s="155" t="s">
        <v>45</v>
      </c>
      <c r="G29" s="147">
        <f>G30</f>
        <v>61748</v>
      </c>
      <c r="H29" s="147">
        <f>H30</f>
        <v>0</v>
      </c>
      <c r="I29" s="147">
        <f t="shared" ref="I29" si="3">I30</f>
        <v>0</v>
      </c>
    </row>
    <row r="30" spans="1:10">
      <c r="A30" s="156"/>
      <c r="B30" s="156"/>
      <c r="C30" s="156"/>
      <c r="E30" s="30" t="s">
        <v>113</v>
      </c>
      <c r="F30" s="29" t="s">
        <v>8</v>
      </c>
      <c r="G30" s="147">
        <f>SUM(G31:G35)</f>
        <v>61748</v>
      </c>
      <c r="H30" s="147">
        <f>SUM(H31:H35)</f>
        <v>0</v>
      </c>
      <c r="I30" s="147">
        <f t="shared" ref="I30" si="4">SUM(I31:I35)</f>
        <v>0</v>
      </c>
    </row>
    <row r="31" spans="1:10">
      <c r="A31" s="156"/>
      <c r="B31" s="156"/>
      <c r="C31" s="156"/>
      <c r="F31" s="158" t="s">
        <v>563</v>
      </c>
      <c r="G31" s="157">
        <f>36411+3807+2350</f>
        <v>42568</v>
      </c>
      <c r="H31" s="147"/>
      <c r="I31" s="147"/>
    </row>
    <row r="32" spans="1:10">
      <c r="A32" s="156"/>
      <c r="B32" s="156"/>
      <c r="C32" s="156"/>
      <c r="F32" s="158" t="s">
        <v>564</v>
      </c>
      <c r="G32" s="172">
        <v>2350</v>
      </c>
      <c r="H32" s="147"/>
      <c r="I32" s="147"/>
    </row>
    <row r="33" spans="1:9">
      <c r="A33" s="156"/>
      <c r="B33" s="156"/>
      <c r="C33" s="156"/>
      <c r="F33" s="158" t="s">
        <v>565</v>
      </c>
      <c r="G33" s="157">
        <f>9780+2350</f>
        <v>12130</v>
      </c>
      <c r="H33" s="147"/>
      <c r="I33" s="147"/>
    </row>
    <row r="34" spans="1:9">
      <c r="A34" s="156" t="s">
        <v>382</v>
      </c>
      <c r="B34" s="156" t="s">
        <v>382</v>
      </c>
      <c r="C34" s="156" t="s">
        <v>382</v>
      </c>
      <c r="D34" s="144" t="s">
        <v>382</v>
      </c>
      <c r="F34" s="145" t="s">
        <v>566</v>
      </c>
      <c r="G34" s="157">
        <v>2350</v>
      </c>
      <c r="H34" s="147"/>
      <c r="I34" s="147"/>
    </row>
    <row r="35" spans="1:9">
      <c r="A35" s="156"/>
      <c r="B35" s="156"/>
      <c r="C35" s="156"/>
      <c r="F35" s="145" t="s">
        <v>567</v>
      </c>
      <c r="G35" s="157">
        <v>2350</v>
      </c>
      <c r="H35" s="147"/>
      <c r="I35" s="147"/>
    </row>
    <row r="36" spans="1:9" ht="25.5" hidden="1">
      <c r="A36" s="156"/>
      <c r="B36" s="156"/>
      <c r="C36" s="156"/>
      <c r="D36" s="11" t="s">
        <v>66</v>
      </c>
      <c r="E36" s="11"/>
      <c r="F36" s="1" t="s">
        <v>89</v>
      </c>
      <c r="G36" s="157">
        <f>G37</f>
        <v>0</v>
      </c>
      <c r="H36" s="147"/>
      <c r="I36" s="147"/>
    </row>
    <row r="37" spans="1:9" hidden="1">
      <c r="A37" s="156"/>
      <c r="B37" s="156"/>
      <c r="C37" s="156"/>
      <c r="D37" s="11"/>
      <c r="E37" s="30" t="s">
        <v>113</v>
      </c>
      <c r="F37" s="1" t="s">
        <v>8</v>
      </c>
      <c r="G37" s="157">
        <f>SUM(G38:G42)</f>
        <v>0</v>
      </c>
      <c r="H37" s="147"/>
      <c r="I37" s="147"/>
    </row>
    <row r="38" spans="1:9" hidden="1">
      <c r="A38" s="156"/>
      <c r="B38" s="156"/>
      <c r="C38" s="156"/>
      <c r="D38" s="160"/>
      <c r="E38" s="160"/>
      <c r="F38" s="161" t="s">
        <v>563</v>
      </c>
      <c r="G38" s="172"/>
      <c r="H38" s="147"/>
      <c r="I38" s="147"/>
    </row>
    <row r="39" spans="1:9" hidden="1">
      <c r="A39" s="156"/>
      <c r="B39" s="156"/>
      <c r="C39" s="156"/>
      <c r="D39" s="160"/>
      <c r="E39" s="160"/>
      <c r="F39" s="161" t="s">
        <v>564</v>
      </c>
      <c r="G39" s="172"/>
      <c r="H39" s="147"/>
      <c r="I39" s="147"/>
    </row>
    <row r="40" spans="1:9" hidden="1">
      <c r="A40" s="156"/>
      <c r="B40" s="156"/>
      <c r="C40" s="156"/>
      <c r="D40" s="160"/>
      <c r="E40" s="160"/>
      <c r="F40" s="161" t="s">
        <v>565</v>
      </c>
      <c r="G40" s="172"/>
      <c r="H40" s="147"/>
      <c r="I40" s="147"/>
    </row>
    <row r="41" spans="1:9" hidden="1">
      <c r="A41" s="156"/>
      <c r="B41" s="156"/>
      <c r="C41" s="156"/>
      <c r="D41" s="160" t="s">
        <v>382</v>
      </c>
      <c r="E41" s="160"/>
      <c r="F41" s="162" t="s">
        <v>566</v>
      </c>
      <c r="G41" s="172"/>
      <c r="H41" s="147"/>
      <c r="I41" s="147"/>
    </row>
    <row r="42" spans="1:9" hidden="1">
      <c r="A42" s="156"/>
      <c r="B42" s="156"/>
      <c r="C42" s="156"/>
      <c r="D42" s="160"/>
      <c r="E42" s="160"/>
      <c r="F42" s="145" t="s">
        <v>567</v>
      </c>
      <c r="G42" s="172"/>
      <c r="H42" s="147"/>
      <c r="I42" s="147"/>
    </row>
    <row r="43" spans="1:9">
      <c r="A43" s="156" t="s">
        <v>70</v>
      </c>
      <c r="B43" s="156" t="s">
        <v>382</v>
      </c>
      <c r="C43" s="156" t="s">
        <v>382</v>
      </c>
      <c r="D43" s="144" t="s">
        <v>382</v>
      </c>
      <c r="F43" s="155" t="s">
        <v>71</v>
      </c>
      <c r="G43" s="147">
        <f>G44</f>
        <v>40518545</v>
      </c>
      <c r="H43" s="147">
        <f>H44</f>
        <v>33350507</v>
      </c>
      <c r="I43" s="147">
        <f t="shared" ref="I43:I44" si="5">I44</f>
        <v>32688495</v>
      </c>
    </row>
    <row r="44" spans="1:9">
      <c r="A44" s="156" t="s">
        <v>382</v>
      </c>
      <c r="B44" s="156" t="s">
        <v>33</v>
      </c>
      <c r="C44" s="156" t="s">
        <v>382</v>
      </c>
      <c r="D44" s="144" t="s">
        <v>382</v>
      </c>
      <c r="F44" s="155" t="s">
        <v>199</v>
      </c>
      <c r="G44" s="147">
        <f>G45</f>
        <v>40518545</v>
      </c>
      <c r="H44" s="147">
        <f>H45</f>
        <v>33350507</v>
      </c>
      <c r="I44" s="147">
        <f t="shared" si="5"/>
        <v>32688495</v>
      </c>
    </row>
    <row r="45" spans="1:9">
      <c r="A45" s="156" t="s">
        <v>382</v>
      </c>
      <c r="B45" s="156" t="s">
        <v>382</v>
      </c>
      <c r="C45" s="156" t="s">
        <v>175</v>
      </c>
      <c r="D45" s="144" t="s">
        <v>382</v>
      </c>
      <c r="F45" s="155" t="s">
        <v>429</v>
      </c>
      <c r="G45" s="163">
        <f>G53+G67+G60+G46</f>
        <v>40518545</v>
      </c>
      <c r="H45" s="163">
        <f>H53+H67+H60+H46</f>
        <v>33350507</v>
      </c>
      <c r="I45" s="163">
        <f>I53+I67+I60+I46</f>
        <v>32688495</v>
      </c>
    </row>
    <row r="46" spans="1:9">
      <c r="A46" s="156"/>
      <c r="B46" s="156"/>
      <c r="C46" s="156"/>
      <c r="D46" s="160">
        <v>8</v>
      </c>
      <c r="E46" s="160"/>
      <c r="F46" s="1" t="s">
        <v>284</v>
      </c>
      <c r="G46" s="157">
        <f>G47</f>
        <v>68246</v>
      </c>
      <c r="H46" s="157">
        <f>H47</f>
        <v>49496</v>
      </c>
      <c r="I46" s="157">
        <f t="shared" ref="I46" si="6">I47</f>
        <v>51971</v>
      </c>
    </row>
    <row r="47" spans="1:9">
      <c r="A47" s="156"/>
      <c r="B47" s="156"/>
      <c r="C47" s="156"/>
      <c r="D47" s="160"/>
      <c r="E47" s="30" t="s">
        <v>113</v>
      </c>
      <c r="F47" s="29" t="s">
        <v>8</v>
      </c>
      <c r="G47" s="157">
        <f>SUM(G48:G52)</f>
        <v>68246</v>
      </c>
      <c r="H47" s="157">
        <f t="shared" ref="H47:I47" si="7">SUM(H48:H52)</f>
        <v>49496</v>
      </c>
      <c r="I47" s="157">
        <f t="shared" si="7"/>
        <v>51971</v>
      </c>
    </row>
    <row r="48" spans="1:9">
      <c r="A48" s="156"/>
      <c r="B48" s="156"/>
      <c r="C48" s="156"/>
      <c r="D48" s="160"/>
      <c r="E48" s="160"/>
      <c r="F48" s="161" t="s">
        <v>563</v>
      </c>
      <c r="G48" s="163">
        <v>16662</v>
      </c>
      <c r="H48" s="157">
        <v>17495</v>
      </c>
      <c r="I48" s="157">
        <v>18370</v>
      </c>
    </row>
    <row r="49" spans="1:9">
      <c r="A49" s="156"/>
      <c r="B49" s="156"/>
      <c r="C49" s="156"/>
      <c r="D49" s="160"/>
      <c r="E49" s="160"/>
      <c r="F49" s="161" t="s">
        <v>564</v>
      </c>
      <c r="G49" s="163">
        <v>6080</v>
      </c>
      <c r="H49" s="157">
        <v>6384</v>
      </c>
      <c r="I49" s="157">
        <v>6703</v>
      </c>
    </row>
    <row r="50" spans="1:9" hidden="1">
      <c r="A50" s="156"/>
      <c r="B50" s="156"/>
      <c r="C50" s="156"/>
      <c r="D50" s="160" t="s">
        <v>382</v>
      </c>
      <c r="E50" s="160"/>
      <c r="F50" s="161" t="s">
        <v>565</v>
      </c>
      <c r="G50" s="163">
        <v>0</v>
      </c>
      <c r="H50" s="157"/>
      <c r="I50" s="157"/>
    </row>
    <row r="51" spans="1:9">
      <c r="A51" s="156"/>
      <c r="B51" s="156"/>
      <c r="C51" s="156"/>
      <c r="D51" s="160" t="s">
        <v>382</v>
      </c>
      <c r="E51" s="160"/>
      <c r="F51" s="162" t="s">
        <v>566</v>
      </c>
      <c r="G51" s="173">
        <f>19846+12279</f>
        <v>32125</v>
      </c>
      <c r="H51" s="157">
        <v>20838</v>
      </c>
      <c r="I51" s="157">
        <v>21880</v>
      </c>
    </row>
    <row r="52" spans="1:9">
      <c r="A52" s="156"/>
      <c r="B52" s="156"/>
      <c r="C52" s="156"/>
      <c r="D52" s="160"/>
      <c r="E52" s="160"/>
      <c r="F52" s="145" t="s">
        <v>567</v>
      </c>
      <c r="G52" s="171">
        <f>4551+8828</f>
        <v>13379</v>
      </c>
      <c r="H52" s="157">
        <v>4779</v>
      </c>
      <c r="I52" s="157">
        <v>5018</v>
      </c>
    </row>
    <row r="53" spans="1:9">
      <c r="A53" s="156" t="s">
        <v>382</v>
      </c>
      <c r="B53" s="156" t="s">
        <v>382</v>
      </c>
      <c r="C53" s="156" t="s">
        <v>382</v>
      </c>
      <c r="D53" s="144" t="s">
        <v>202</v>
      </c>
      <c r="F53" s="155" t="s">
        <v>200</v>
      </c>
      <c r="G53" s="147">
        <f>G54</f>
        <v>30428860</v>
      </c>
      <c r="H53" s="147">
        <f t="shared" ref="H53:I53" si="8">H54</f>
        <v>20801011</v>
      </c>
      <c r="I53" s="147">
        <f t="shared" si="8"/>
        <v>20136524</v>
      </c>
    </row>
    <row r="54" spans="1:9">
      <c r="A54" s="156"/>
      <c r="B54" s="156"/>
      <c r="C54" s="156"/>
      <c r="E54" s="30" t="s">
        <v>113</v>
      </c>
      <c r="F54" s="29" t="s">
        <v>8</v>
      </c>
      <c r="G54" s="147">
        <f>SUM(G55:G59)</f>
        <v>30428860</v>
      </c>
      <c r="H54" s="147">
        <f t="shared" ref="H54:I54" si="9">SUM(H55:H59)</f>
        <v>20801011</v>
      </c>
      <c r="I54" s="147">
        <f t="shared" si="9"/>
        <v>20136524</v>
      </c>
    </row>
    <row r="55" spans="1:9">
      <c r="A55" s="156"/>
      <c r="B55" s="156"/>
      <c r="C55" s="156"/>
      <c r="F55" s="158" t="s">
        <v>563</v>
      </c>
      <c r="G55" s="173">
        <f>4181114+472324+424238-152320+678746-34275+444102</f>
        <v>6013929</v>
      </c>
      <c r="H55" s="157">
        <v>4062612</v>
      </c>
      <c r="I55" s="157">
        <v>3929761</v>
      </c>
    </row>
    <row r="56" spans="1:9">
      <c r="A56" s="156"/>
      <c r="B56" s="156"/>
      <c r="C56" s="156"/>
      <c r="F56" s="158" t="s">
        <v>564</v>
      </c>
      <c r="G56" s="173">
        <f>4204243+456748+458417-188785+671602-61083+363258</f>
        <v>5904400</v>
      </c>
      <c r="H56" s="157">
        <v>4070510</v>
      </c>
      <c r="I56" s="157">
        <v>3937428</v>
      </c>
    </row>
    <row r="57" spans="1:9">
      <c r="A57" s="156" t="s">
        <v>382</v>
      </c>
      <c r="B57" s="156" t="s">
        <v>382</v>
      </c>
      <c r="C57" s="156" t="s">
        <v>382</v>
      </c>
      <c r="D57" s="144" t="s">
        <v>382</v>
      </c>
      <c r="F57" s="158" t="s">
        <v>565</v>
      </c>
      <c r="G57" s="173">
        <f>4268278+244261+10744+496189-152320+713735+276821-6484</f>
        <v>5851224</v>
      </c>
      <c r="H57" s="157">
        <v>4134776</v>
      </c>
      <c r="I57" s="157">
        <v>4001925</v>
      </c>
    </row>
    <row r="58" spans="1:9">
      <c r="A58" s="156" t="s">
        <v>382</v>
      </c>
      <c r="B58" s="156" t="s">
        <v>382</v>
      </c>
      <c r="C58" s="156" t="s">
        <v>382</v>
      </c>
      <c r="D58" s="144" t="s">
        <v>382</v>
      </c>
      <c r="F58" s="145" t="s">
        <v>566</v>
      </c>
      <c r="G58" s="173">
        <f>4359945+486928+595960-152320+725591+455063</f>
        <v>6471167</v>
      </c>
      <c r="H58" s="157">
        <v>4226443</v>
      </c>
      <c r="I58" s="157">
        <v>4093592</v>
      </c>
    </row>
    <row r="59" spans="1:9">
      <c r="A59" s="156"/>
      <c r="B59" s="156"/>
      <c r="C59" s="156"/>
      <c r="F59" s="145" t="s">
        <v>567</v>
      </c>
      <c r="G59" s="173">
        <f>4440171+376171+510912-192320+697168+356038</f>
        <v>6188140</v>
      </c>
      <c r="H59" s="157">
        <v>4306670</v>
      </c>
      <c r="I59" s="157">
        <v>4173818</v>
      </c>
    </row>
    <row r="60" spans="1:9" ht="25.5" hidden="1">
      <c r="A60" s="156"/>
      <c r="B60" s="156"/>
      <c r="C60" s="156"/>
      <c r="D60" s="11" t="s">
        <v>188</v>
      </c>
      <c r="E60" s="11"/>
      <c r="F60" s="1" t="s">
        <v>285</v>
      </c>
      <c r="G60" s="147">
        <f>SUM(G62:G66)</f>
        <v>0</v>
      </c>
      <c r="H60" s="147">
        <f>SUM(H62:H66)</f>
        <v>0</v>
      </c>
      <c r="I60" s="147">
        <f t="shared" ref="I60" si="10">SUM(I62:I66)</f>
        <v>0</v>
      </c>
    </row>
    <row r="61" spans="1:9" hidden="1">
      <c r="A61" s="156"/>
      <c r="B61" s="156"/>
      <c r="C61" s="156"/>
      <c r="D61" s="11"/>
      <c r="E61" s="30" t="s">
        <v>113</v>
      </c>
      <c r="F61" s="29" t="s">
        <v>8</v>
      </c>
      <c r="G61" s="147">
        <f>SUM(G62:G66)</f>
        <v>0</v>
      </c>
      <c r="H61" s="147">
        <f>SUM(H62:H66)</f>
        <v>0</v>
      </c>
      <c r="I61" s="147">
        <f t="shared" ref="I61" si="11">SUM(I62:I66)</f>
        <v>0</v>
      </c>
    </row>
    <row r="62" spans="1:9" hidden="1">
      <c r="A62" s="156"/>
      <c r="B62" s="156"/>
      <c r="C62" s="156"/>
      <c r="F62" s="158" t="s">
        <v>563</v>
      </c>
      <c r="G62" s="147"/>
      <c r="H62" s="147"/>
      <c r="I62" s="147"/>
    </row>
    <row r="63" spans="1:9" hidden="1">
      <c r="A63" s="156"/>
      <c r="B63" s="156"/>
      <c r="C63" s="156"/>
      <c r="F63" s="158" t="s">
        <v>564</v>
      </c>
      <c r="G63" s="147"/>
      <c r="H63" s="147"/>
      <c r="I63" s="147"/>
    </row>
    <row r="64" spans="1:9" hidden="1">
      <c r="A64" s="156"/>
      <c r="B64" s="156"/>
      <c r="C64" s="156"/>
      <c r="F64" s="158" t="s">
        <v>565</v>
      </c>
      <c r="G64" s="147"/>
      <c r="H64" s="147"/>
      <c r="I64" s="147"/>
    </row>
    <row r="65" spans="1:9" hidden="1">
      <c r="A65" s="156"/>
      <c r="B65" s="156"/>
      <c r="C65" s="156"/>
      <c r="F65" s="145" t="s">
        <v>566</v>
      </c>
      <c r="G65" s="147"/>
      <c r="H65" s="147"/>
      <c r="I65" s="147"/>
    </row>
    <row r="66" spans="1:9" hidden="1">
      <c r="A66" s="156"/>
      <c r="B66" s="156"/>
      <c r="C66" s="156"/>
      <c r="F66" s="145" t="s">
        <v>567</v>
      </c>
      <c r="G66" s="147"/>
      <c r="H66" s="147"/>
      <c r="I66" s="147"/>
    </row>
    <row r="67" spans="1:9" ht="25.5">
      <c r="A67" s="156" t="s">
        <v>382</v>
      </c>
      <c r="B67" s="156" t="s">
        <v>382</v>
      </c>
      <c r="C67" s="156" t="s">
        <v>382</v>
      </c>
      <c r="D67" s="144" t="s">
        <v>112</v>
      </c>
      <c r="F67" s="155" t="s">
        <v>201</v>
      </c>
      <c r="G67" s="147">
        <f>G68</f>
        <v>10021439</v>
      </c>
      <c r="H67" s="147">
        <f>H68</f>
        <v>12500000</v>
      </c>
      <c r="I67" s="147">
        <f t="shared" ref="I67" si="12">I68</f>
        <v>12500000</v>
      </c>
    </row>
    <row r="68" spans="1:9">
      <c r="A68" s="156"/>
      <c r="B68" s="156"/>
      <c r="C68" s="156"/>
      <c r="E68" s="30" t="s">
        <v>113</v>
      </c>
      <c r="F68" s="29" t="s">
        <v>8</v>
      </c>
      <c r="G68" s="147">
        <f>SUM(G69:G73)</f>
        <v>10021439</v>
      </c>
      <c r="H68" s="147">
        <f>SUM(H69:H73)</f>
        <v>12500000</v>
      </c>
      <c r="I68" s="147">
        <f t="shared" ref="I68" si="13">SUM(I69:I73)</f>
        <v>12500000</v>
      </c>
    </row>
    <row r="69" spans="1:9">
      <c r="A69" s="156"/>
      <c r="B69" s="156"/>
      <c r="C69" s="156"/>
      <c r="F69" s="158" t="s">
        <v>563</v>
      </c>
      <c r="G69" s="174">
        <f>2500000+420522-75319+37475+359963-426681-277893</f>
        <v>2538067</v>
      </c>
      <c r="H69" s="157">
        <v>2500000</v>
      </c>
      <c r="I69" s="157">
        <v>2500000</v>
      </c>
    </row>
    <row r="70" spans="1:9">
      <c r="A70" s="156"/>
      <c r="B70" s="156"/>
      <c r="C70" s="156"/>
      <c r="F70" s="158" t="s">
        <v>564</v>
      </c>
      <c r="G70" s="175">
        <f>982866+206978-247231+1228174-100000</f>
        <v>2070787</v>
      </c>
      <c r="H70" s="157">
        <v>2500000</v>
      </c>
      <c r="I70" s="157">
        <v>2500000</v>
      </c>
    </row>
    <row r="71" spans="1:9">
      <c r="A71" s="156" t="s">
        <v>382</v>
      </c>
      <c r="B71" s="156" t="s">
        <v>382</v>
      </c>
      <c r="C71" s="156" t="s">
        <v>382</v>
      </c>
      <c r="D71" s="144" t="s">
        <v>382</v>
      </c>
      <c r="F71" s="158" t="s">
        <v>565</v>
      </c>
      <c r="G71" s="175">
        <f>32067+1806807+295183-43185-117015</f>
        <v>1973857</v>
      </c>
      <c r="H71" s="157">
        <v>2500000</v>
      </c>
      <c r="I71" s="157">
        <v>2500000</v>
      </c>
    </row>
    <row r="72" spans="1:9">
      <c r="A72" s="156" t="s">
        <v>382</v>
      </c>
      <c r="B72" s="156" t="s">
        <v>382</v>
      </c>
      <c r="C72" s="156" t="s">
        <v>382</v>
      </c>
      <c r="D72" s="144" t="s">
        <v>382</v>
      </c>
      <c r="F72" s="145" t="s">
        <v>566</v>
      </c>
      <c r="G72" s="175">
        <f>2394748+277750+73860+220737-408082-237760+78435</f>
        <v>2399688</v>
      </c>
      <c r="H72" s="157">
        <v>2500000</v>
      </c>
      <c r="I72" s="157">
        <v>2500000</v>
      </c>
    </row>
    <row r="73" spans="1:9">
      <c r="A73" s="156"/>
      <c r="B73" s="156"/>
      <c r="C73" s="156"/>
      <c r="F73" s="145" t="s">
        <v>567</v>
      </c>
      <c r="G73" s="175">
        <f>1268269-1165055+1126403+174854-37681-327750</f>
        <v>1039040</v>
      </c>
      <c r="H73" s="157">
        <v>2500000</v>
      </c>
      <c r="I73" s="157">
        <v>2500000</v>
      </c>
    </row>
    <row r="74" spans="1:9" ht="25.5">
      <c r="A74" s="156" t="s">
        <v>74</v>
      </c>
      <c r="B74" s="156" t="s">
        <v>382</v>
      </c>
      <c r="C74" s="156" t="s">
        <v>382</v>
      </c>
      <c r="D74" s="144" t="s">
        <v>382</v>
      </c>
      <c r="F74" s="155" t="s">
        <v>75</v>
      </c>
      <c r="G74" s="147">
        <f>G75</f>
        <v>73770</v>
      </c>
      <c r="H74" s="147">
        <f t="shared" ref="H74:I77" si="14">H75</f>
        <v>110250</v>
      </c>
      <c r="I74" s="147">
        <f t="shared" si="14"/>
        <v>115750</v>
      </c>
    </row>
    <row r="75" spans="1:9">
      <c r="A75" s="156" t="s">
        <v>382</v>
      </c>
      <c r="B75" s="156" t="s">
        <v>31</v>
      </c>
      <c r="C75" s="156" t="s">
        <v>382</v>
      </c>
      <c r="D75" s="144" t="s">
        <v>382</v>
      </c>
      <c r="F75" s="155" t="s">
        <v>76</v>
      </c>
      <c r="G75" s="147">
        <f>G76</f>
        <v>73770</v>
      </c>
      <c r="H75" s="147">
        <f t="shared" si="14"/>
        <v>110250</v>
      </c>
      <c r="I75" s="147">
        <f t="shared" si="14"/>
        <v>115750</v>
      </c>
    </row>
    <row r="76" spans="1:9">
      <c r="A76" s="156"/>
      <c r="B76" s="156"/>
      <c r="C76" s="156" t="s">
        <v>175</v>
      </c>
      <c r="F76" s="164" t="s">
        <v>429</v>
      </c>
      <c r="G76" s="147">
        <f>G77</f>
        <v>73770</v>
      </c>
      <c r="H76" s="147">
        <f t="shared" si="14"/>
        <v>110250</v>
      </c>
      <c r="I76" s="147">
        <f t="shared" si="14"/>
        <v>115750</v>
      </c>
    </row>
    <row r="77" spans="1:9" ht="25.5">
      <c r="A77" s="156"/>
      <c r="B77" s="156"/>
      <c r="C77" s="156"/>
      <c r="D77" s="144">
        <v>6</v>
      </c>
      <c r="F77" s="164" t="s">
        <v>203</v>
      </c>
      <c r="G77" s="147">
        <f>G78</f>
        <v>73770</v>
      </c>
      <c r="H77" s="147">
        <f t="shared" si="14"/>
        <v>110250</v>
      </c>
      <c r="I77" s="147">
        <f t="shared" si="14"/>
        <v>115750</v>
      </c>
    </row>
    <row r="78" spans="1:9">
      <c r="A78" s="156"/>
      <c r="B78" s="156"/>
      <c r="C78" s="156"/>
      <c r="E78" s="30" t="s">
        <v>113</v>
      </c>
      <c r="F78" s="29" t="s">
        <v>8</v>
      </c>
      <c r="G78" s="147">
        <f>SUM(G79:G83)</f>
        <v>73770</v>
      </c>
      <c r="H78" s="147">
        <f>SUM(H79:H83)</f>
        <v>110250</v>
      </c>
      <c r="I78" s="147">
        <f t="shared" ref="I78" si="15">SUM(I79:I83)</f>
        <v>115750</v>
      </c>
    </row>
    <row r="79" spans="1:9">
      <c r="A79" s="156"/>
      <c r="B79" s="156"/>
      <c r="C79" s="156"/>
      <c r="F79" s="158" t="s">
        <v>563</v>
      </c>
      <c r="G79" s="171">
        <f>21000-3129-2360</f>
        <v>15511</v>
      </c>
      <c r="H79" s="157">
        <v>22050</v>
      </c>
      <c r="I79" s="157">
        <v>23150</v>
      </c>
    </row>
    <row r="80" spans="1:9">
      <c r="A80" s="156"/>
      <c r="B80" s="156"/>
      <c r="C80" s="156"/>
      <c r="F80" s="158" t="s">
        <v>564</v>
      </c>
      <c r="G80" s="171">
        <f>21000-3129-4526</f>
        <v>13345</v>
      </c>
      <c r="H80" s="157">
        <v>22050</v>
      </c>
      <c r="I80" s="157">
        <v>23150</v>
      </c>
    </row>
    <row r="81" spans="1:9">
      <c r="F81" s="158" t="s">
        <v>565</v>
      </c>
      <c r="G81" s="171">
        <f>21000-3129-4361</f>
        <v>13510</v>
      </c>
      <c r="H81" s="157">
        <v>22050</v>
      </c>
      <c r="I81" s="157">
        <v>23150</v>
      </c>
    </row>
    <row r="82" spans="1:9">
      <c r="F82" s="145" t="s">
        <v>566</v>
      </c>
      <c r="G82" s="147">
        <f>21000-3129-1138</f>
        <v>16733</v>
      </c>
      <c r="H82" s="157">
        <v>22050</v>
      </c>
      <c r="I82" s="157">
        <v>23150</v>
      </c>
    </row>
    <row r="83" spans="1:9">
      <c r="F83" s="145" t="s">
        <v>567</v>
      </c>
      <c r="G83" s="147">
        <f>21000-3129-3200</f>
        <v>14671</v>
      </c>
      <c r="H83" s="157">
        <v>22050</v>
      </c>
      <c r="I83" s="157">
        <v>23150</v>
      </c>
    </row>
    <row r="84" spans="1:9" hidden="1">
      <c r="A84" s="165" t="s">
        <v>39</v>
      </c>
      <c r="B84" s="165"/>
      <c r="C84" s="165"/>
      <c r="D84" s="165"/>
      <c r="E84" s="165"/>
      <c r="F84" s="166" t="s">
        <v>23</v>
      </c>
      <c r="G84" s="147">
        <f>G85</f>
        <v>0</v>
      </c>
      <c r="H84" s="147">
        <f t="shared" ref="H84:I87" si="16">H85</f>
        <v>0</v>
      </c>
      <c r="I84" s="147">
        <f t="shared" si="16"/>
        <v>0</v>
      </c>
    </row>
    <row r="85" spans="1:9" hidden="1">
      <c r="A85" s="11"/>
      <c r="B85" s="11" t="s">
        <v>31</v>
      </c>
      <c r="C85" s="11"/>
      <c r="D85" s="11"/>
      <c r="E85" s="11"/>
      <c r="F85" s="1" t="s">
        <v>24</v>
      </c>
      <c r="G85" s="147">
        <f>G86</f>
        <v>0</v>
      </c>
      <c r="H85" s="147">
        <f t="shared" si="16"/>
        <v>0</v>
      </c>
      <c r="I85" s="147">
        <f t="shared" si="16"/>
        <v>0</v>
      </c>
    </row>
    <row r="86" spans="1:9" hidden="1">
      <c r="A86" s="11"/>
      <c r="B86" s="11"/>
      <c r="C86" s="11">
        <v>123</v>
      </c>
      <c r="D86" s="11"/>
      <c r="E86" s="11"/>
      <c r="F86" s="1" t="s">
        <v>429</v>
      </c>
      <c r="G86" s="147">
        <f>G87</f>
        <v>0</v>
      </c>
      <c r="H86" s="147">
        <f t="shared" si="16"/>
        <v>0</v>
      </c>
      <c r="I86" s="147">
        <f t="shared" si="16"/>
        <v>0</v>
      </c>
    </row>
    <row r="87" spans="1:9" ht="25.5" hidden="1">
      <c r="A87" s="11"/>
      <c r="B87" s="11"/>
      <c r="C87" s="11"/>
      <c r="D87" s="11" t="s">
        <v>234</v>
      </c>
      <c r="E87" s="11"/>
      <c r="F87" s="1" t="s">
        <v>523</v>
      </c>
      <c r="G87" s="147">
        <f>G88</f>
        <v>0</v>
      </c>
      <c r="H87" s="147">
        <f t="shared" si="16"/>
        <v>0</v>
      </c>
      <c r="I87" s="147">
        <f t="shared" si="16"/>
        <v>0</v>
      </c>
    </row>
    <row r="88" spans="1:9" hidden="1">
      <c r="A88" s="11"/>
      <c r="B88" s="11"/>
      <c r="C88" s="11"/>
      <c r="D88" s="11"/>
      <c r="E88" s="11" t="s">
        <v>113</v>
      </c>
      <c r="F88" s="1" t="s">
        <v>8</v>
      </c>
      <c r="G88" s="147">
        <f>SUM(G89:G93)</f>
        <v>0</v>
      </c>
      <c r="H88" s="147">
        <f t="shared" ref="H88:I88" si="17">SUM(H89:H93)</f>
        <v>0</v>
      </c>
      <c r="I88" s="147">
        <f t="shared" si="17"/>
        <v>0</v>
      </c>
    </row>
    <row r="89" spans="1:9" hidden="1">
      <c r="F89" s="158" t="s">
        <v>563</v>
      </c>
      <c r="G89" s="147"/>
      <c r="H89" s="147"/>
      <c r="I89" s="147"/>
    </row>
    <row r="90" spans="1:9" hidden="1">
      <c r="F90" s="158" t="s">
        <v>564</v>
      </c>
      <c r="G90" s="147"/>
      <c r="H90" s="147"/>
      <c r="I90" s="147"/>
    </row>
    <row r="91" spans="1:9" hidden="1">
      <c r="F91" s="158" t="s">
        <v>565</v>
      </c>
      <c r="G91" s="147"/>
      <c r="H91" s="147"/>
      <c r="I91" s="147"/>
    </row>
    <row r="92" spans="1:9" hidden="1">
      <c r="F92" s="145" t="s">
        <v>566</v>
      </c>
      <c r="G92" s="147"/>
      <c r="H92" s="147"/>
      <c r="I92" s="147"/>
    </row>
    <row r="93" spans="1:9" hidden="1">
      <c r="F93" s="145" t="s">
        <v>567</v>
      </c>
      <c r="G93" s="147"/>
      <c r="H93" s="147"/>
      <c r="I93" s="147"/>
    </row>
    <row r="94" spans="1:9" hidden="1">
      <c r="A94" s="30" t="s">
        <v>40</v>
      </c>
      <c r="B94" s="30"/>
      <c r="C94" s="30"/>
      <c r="D94" s="30"/>
      <c r="E94" s="30"/>
      <c r="F94" s="29" t="s">
        <v>120</v>
      </c>
      <c r="G94" s="147">
        <f>G95</f>
        <v>0</v>
      </c>
      <c r="H94" s="147">
        <f t="shared" ref="H94:I97" si="18">H95</f>
        <v>0</v>
      </c>
      <c r="I94" s="147">
        <f t="shared" si="18"/>
        <v>0</v>
      </c>
    </row>
    <row r="95" spans="1:9" hidden="1">
      <c r="A95" s="30"/>
      <c r="B95" s="30" t="s">
        <v>36</v>
      </c>
      <c r="C95" s="30"/>
      <c r="D95" s="30"/>
      <c r="E95" s="30"/>
      <c r="F95" s="29" t="s">
        <v>120</v>
      </c>
      <c r="G95" s="147">
        <f>G96</f>
        <v>0</v>
      </c>
      <c r="H95" s="147">
        <f t="shared" si="18"/>
        <v>0</v>
      </c>
      <c r="I95" s="147">
        <f t="shared" si="18"/>
        <v>0</v>
      </c>
    </row>
    <row r="96" spans="1:9" hidden="1">
      <c r="A96" s="30"/>
      <c r="B96" s="30"/>
      <c r="C96" s="30">
        <v>123</v>
      </c>
      <c r="D96" s="30"/>
      <c r="E96" s="30"/>
      <c r="F96" s="29" t="s">
        <v>429</v>
      </c>
      <c r="G96" s="147">
        <f>G97</f>
        <v>0</v>
      </c>
      <c r="H96" s="147">
        <f t="shared" si="18"/>
        <v>0</v>
      </c>
      <c r="I96" s="147">
        <f>I97</f>
        <v>0</v>
      </c>
    </row>
    <row r="97" spans="1:9" ht="26.25" hidden="1" customHeight="1">
      <c r="A97" s="30"/>
      <c r="B97" s="30"/>
      <c r="C97" s="30"/>
      <c r="D97" s="30" t="s">
        <v>334</v>
      </c>
      <c r="E97" s="30"/>
      <c r="F97" s="29" t="s">
        <v>335</v>
      </c>
      <c r="G97" s="147">
        <f>G98</f>
        <v>0</v>
      </c>
      <c r="H97" s="147">
        <f t="shared" si="18"/>
        <v>0</v>
      </c>
      <c r="I97" s="147">
        <f t="shared" si="18"/>
        <v>0</v>
      </c>
    </row>
    <row r="98" spans="1:9" hidden="1">
      <c r="A98" s="30"/>
      <c r="B98" s="30"/>
      <c r="C98" s="30"/>
      <c r="D98" s="30"/>
      <c r="E98" s="30" t="s">
        <v>113</v>
      </c>
      <c r="F98" s="29" t="s">
        <v>8</v>
      </c>
      <c r="G98" s="147">
        <f>SUM(G99:G103)</f>
        <v>0</v>
      </c>
      <c r="H98" s="147">
        <f t="shared" ref="H98:I98" si="19">SUM(H99:H103)</f>
        <v>0</v>
      </c>
      <c r="I98" s="147">
        <f t="shared" si="19"/>
        <v>0</v>
      </c>
    </row>
    <row r="99" spans="1:9" hidden="1">
      <c r="F99" s="158" t="s">
        <v>563</v>
      </c>
      <c r="G99" s="171">
        <f>9089-9089</f>
        <v>0</v>
      </c>
      <c r="H99" s="147"/>
      <c r="I99" s="147"/>
    </row>
    <row r="100" spans="1:9" hidden="1">
      <c r="F100" s="158" t="s">
        <v>564</v>
      </c>
      <c r="G100" s="171"/>
      <c r="H100" s="147"/>
      <c r="I100" s="147"/>
    </row>
    <row r="101" spans="1:9" hidden="1">
      <c r="F101" s="158" t="s">
        <v>565</v>
      </c>
      <c r="G101" s="171"/>
      <c r="H101" s="147"/>
      <c r="I101" s="147"/>
    </row>
    <row r="102" spans="1:9" hidden="1">
      <c r="F102" s="145" t="s">
        <v>566</v>
      </c>
      <c r="G102" s="171"/>
      <c r="H102" s="147"/>
      <c r="I102" s="147"/>
    </row>
    <row r="103" spans="1:9" hidden="1">
      <c r="F103" s="145" t="s">
        <v>567</v>
      </c>
      <c r="G103" s="171">
        <f>72715-72715</f>
        <v>0</v>
      </c>
      <c r="H103" s="147"/>
      <c r="I103" s="147"/>
    </row>
    <row r="105" spans="1:9" hidden="1">
      <c r="F105" s="167" t="s">
        <v>563</v>
      </c>
      <c r="G105" s="168">
        <f t="shared" ref="G105:I108" si="20">G24+G31+G55+G69+G79+G99+G62+G48+G89</f>
        <v>9088143</v>
      </c>
      <c r="H105" s="168">
        <f t="shared" si="20"/>
        <v>7017389</v>
      </c>
      <c r="I105" s="168">
        <f t="shared" si="20"/>
        <v>6891418</v>
      </c>
    </row>
    <row r="106" spans="1:9" hidden="1">
      <c r="F106" s="167" t="s">
        <v>564</v>
      </c>
      <c r="G106" s="168">
        <f t="shared" si="20"/>
        <v>8560044</v>
      </c>
      <c r="H106" s="168">
        <f t="shared" si="20"/>
        <v>7096303</v>
      </c>
      <c r="I106" s="168">
        <f t="shared" si="20"/>
        <v>6969059</v>
      </c>
    </row>
    <row r="107" spans="1:9" hidden="1">
      <c r="F107" s="167" t="s">
        <v>565</v>
      </c>
      <c r="G107" s="168">
        <f t="shared" si="20"/>
        <v>8375752</v>
      </c>
      <c r="H107" s="168">
        <f t="shared" si="20"/>
        <v>7140142</v>
      </c>
      <c r="I107" s="168">
        <f t="shared" si="20"/>
        <v>7012795</v>
      </c>
    </row>
    <row r="108" spans="1:9" hidden="1">
      <c r="F108" s="169" t="s">
        <v>566</v>
      </c>
      <c r="G108" s="168">
        <f t="shared" si="20"/>
        <v>9445519</v>
      </c>
      <c r="H108" s="168">
        <f t="shared" si="20"/>
        <v>7274451</v>
      </c>
      <c r="I108" s="168">
        <f t="shared" si="20"/>
        <v>7151669</v>
      </c>
    </row>
    <row r="109" spans="1:9" hidden="1">
      <c r="F109" s="145" t="s">
        <v>568</v>
      </c>
      <c r="G109" s="159">
        <f>G35+G28+G59+G73+G66+G83+G93+G103+G52</f>
        <v>7803454</v>
      </c>
      <c r="H109" s="159">
        <f>H35+H28+H59+H73+H66+H83+H93+H103+H52</f>
        <v>7287348</v>
      </c>
      <c r="I109" s="159">
        <f>I35+I28+I59+I73+I66+I83+I93+I103+I52</f>
        <v>7159358</v>
      </c>
    </row>
  </sheetData>
  <mergeCells count="9">
    <mergeCell ref="A17:E17"/>
    <mergeCell ref="A11:I11"/>
    <mergeCell ref="A13:D13"/>
    <mergeCell ref="G13:G16"/>
    <mergeCell ref="H13:H16"/>
    <mergeCell ref="I13:I16"/>
    <mergeCell ref="B14:F14"/>
    <mergeCell ref="C15:F15"/>
    <mergeCell ref="D16:F16"/>
  </mergeCells>
  <pageMargins left="0.78740157480314965" right="0.78740157480314965" top="0.78740157480314965" bottom="0.78740157480314965" header="0.39370078740157483" footer="0.39370078740157483"/>
  <pageSetup paperSize="9" firstPageNumber="42" orientation="portrait" useFirstPageNumber="1" r:id="rId1"/>
  <headerFooter>
    <oddHeader>&amp;C&amp;"Times New Roman,обычный"&amp;10&amp;P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2026</vt:lpstr>
      <vt:lpstr>рус инв</vt:lpstr>
      <vt:lpstr>акиматы</vt:lpstr>
      <vt:lpstr>'2026'!Заголовки_для_печати</vt:lpstr>
      <vt:lpstr>акиматы!Заголовки_для_печати</vt:lpstr>
      <vt:lpstr>'рус инв'!Заголовки_для_печати</vt:lpstr>
      <vt:lpstr>'2026'!Область_печати</vt:lpstr>
      <vt:lpstr>акиматы!Область_печати</vt:lpstr>
      <vt:lpstr>'рус инв'!Область_печати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Дехкамбаева</dc:creator>
  <cp:lastModifiedBy>User 704</cp:lastModifiedBy>
  <cp:lastPrinted>2026-08-17T05:03:08Z</cp:lastPrinted>
  <dcterms:created xsi:type="dcterms:W3CDTF">2007-10-07T07:28:47Z</dcterms:created>
  <dcterms:modified xsi:type="dcterms:W3CDTF">2026-08-21T14:06:30Z</dcterms:modified>
</cp:coreProperties>
</file>